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showInkAnnotation="0" codeName="ThisWorkbook"/>
  <mc:AlternateContent xmlns:mc="http://schemas.openxmlformats.org/markup-compatibility/2006">
    <mc:Choice Requires="x15">
      <x15ac:absPath xmlns:x15ac="http://schemas.microsoft.com/office/spreadsheetml/2010/11/ac" url="/Users/carlo.veo/Documents/GitHub/wmt/wmt-worker/app/templates/"/>
    </mc:Choice>
  </mc:AlternateContent>
  <xr:revisionPtr revIDLastSave="0" documentId="8_{63A8FFC5-D641-FB42-9AE6-9054DDBD8879}" xr6:coauthVersionLast="47" xr6:coauthVersionMax="47" xr10:uidLastSave="{00000000-0000-0000-0000-000000000000}"/>
  <bookViews>
    <workbookView showSheetTabs="0" xWindow="0" yWindow="500" windowWidth="35800" windowHeight="21900" tabRatio="851" xr2:uid="{00000000-000D-0000-FFFF-FFFF00000000}"/>
  </bookViews>
  <sheets>
    <sheet name="home" sheetId="11" r:id="rId1"/>
    <sheet name="PDUs" sheetId="78" r:id="rId2"/>
    <sheet name="capacity data" sheetId="79" r:id="rId3"/>
    <sheet name="caseload data" sheetId="99" r:id="rId4"/>
    <sheet name="reductions data" sheetId="85" r:id="rId5"/>
    <sheet name="reductions workings" sheetId="106" r:id="rId6"/>
    <sheet name="FAQs" sheetId="112" r:id="rId7"/>
    <sheet name="divisional &amp; regional overview" sheetId="101" r:id="rId8"/>
    <sheet name="HMIP caseload divisional" sheetId="115" r:id="rId9"/>
    <sheet name="HMIP caseload cluster" sheetId="117" r:id="rId10"/>
    <sheet name="cluster overview" sheetId="98" r:id="rId11"/>
    <sheet name="team overview" sheetId="114" r:id="rId12"/>
    <sheet name="national caseload" sheetId="100" r:id="rId13"/>
    <sheet name="national tier ratios" sheetId="111" r:id="rId14"/>
    <sheet name="divisional &amp; regional caseload" sheetId="102" r:id="rId15"/>
    <sheet name="divisional &amp; regional caseload%" sheetId="105" r:id="rId16"/>
    <sheet name="cluster capacity, unallocateds" sheetId="81" r:id="rId17"/>
    <sheet name="custody caseload" sheetId="107" r:id="rId18"/>
    <sheet name="custody %" sheetId="109" r:id="rId19"/>
    <sheet name="community caseload" sheetId="108" r:id="rId20"/>
    <sheet name="community %" sheetId="110" r:id="rId21"/>
    <sheet name="divisional &amp; regional capacity" sheetId="80" r:id="rId22"/>
    <sheet name="cluster officer capacity ranks" sheetId="82" r:id="rId23"/>
    <sheet name="div &amp; regional over-capacities" sheetId="95" r:id="rId24"/>
    <sheet name="unallocated cases" sheetId="84" r:id="rId25"/>
    <sheet name="reasons for reduction division" sheetId="87" r:id="rId26"/>
    <sheet name="cluster reductions" sheetId="89" r:id="rId27"/>
    <sheet name="div &amp; regional reduction hours" sheetId="88" r:id="rId28"/>
    <sheet name="Caseload Buttons" sheetId="93" r:id="rId29"/>
    <sheet name="Capacity Buttons" sheetId="91" r:id="rId30"/>
    <sheet name="Reductions Buttons" sheetId="92" r:id="rId31"/>
  </sheets>
  <externalReferences>
    <externalReference r:id="rId32"/>
    <externalReference r:id="rId33"/>
    <externalReference r:id="rId34"/>
  </externalReferences>
  <definedNames>
    <definedName name="_xlnm._FilterDatabase" localSheetId="2" hidden="1">'capacity data'!$A$1:$U$3732</definedName>
    <definedName name="_xlnm._FilterDatabase" localSheetId="3" hidden="1">'caseload data'!$A$1:$X$1636</definedName>
    <definedName name="_xlnm._FilterDatabase" localSheetId="1" hidden="1">PDUs!$Y$1:$Y$461</definedName>
    <definedName name="_xlnm._FilterDatabase" localSheetId="4" hidden="1">'reductions data'!$A$1:$L$5156</definedName>
    <definedName name="Against_National_Average">'[1]Rating Lookup'!$C$2:$F$2</definedName>
    <definedName name="Against_Target">'[1]Rating Lookup'!$B$3:$B$6</definedName>
    <definedName name="Aggregation" localSheetId="29">#REF!</definedName>
    <definedName name="Aggregation" localSheetId="2">#REF!</definedName>
    <definedName name="Aggregation" localSheetId="28">#REF!</definedName>
    <definedName name="Aggregation" localSheetId="16">#REF!</definedName>
    <definedName name="Aggregation" localSheetId="22">#REF!</definedName>
    <definedName name="Aggregation" localSheetId="26">#REF!</definedName>
    <definedName name="Aggregation" localSheetId="20">#REF!</definedName>
    <definedName name="Aggregation" localSheetId="19">#REF!</definedName>
    <definedName name="Aggregation" localSheetId="18">#REF!</definedName>
    <definedName name="Aggregation" localSheetId="17">#REF!</definedName>
    <definedName name="Aggregation" localSheetId="27">#REF!</definedName>
    <definedName name="Aggregation" localSheetId="21">#REF!</definedName>
    <definedName name="Aggregation" localSheetId="15">#REF!</definedName>
    <definedName name="Aggregation" localSheetId="7">#REF!</definedName>
    <definedName name="Aggregation" localSheetId="8">#REF!</definedName>
    <definedName name="Aggregation" localSheetId="1">#REF!</definedName>
    <definedName name="Aggregation" localSheetId="25">#REF!</definedName>
    <definedName name="Aggregation" localSheetId="30">#REF!</definedName>
    <definedName name="Aggregation" localSheetId="4">#REF!</definedName>
    <definedName name="Aggregation" localSheetId="11">#REF!</definedName>
    <definedName name="Aggregation" localSheetId="24">#REF!</definedName>
    <definedName name="Aggregation">#REF!</definedName>
    <definedName name="AmberRating" localSheetId="29">#REF!</definedName>
    <definedName name="AmberRating" localSheetId="2">#REF!</definedName>
    <definedName name="AmberRating" localSheetId="28">#REF!</definedName>
    <definedName name="AmberRating" localSheetId="16">#REF!</definedName>
    <definedName name="AmberRating" localSheetId="22">#REF!</definedName>
    <definedName name="AmberRating" localSheetId="26">#REF!</definedName>
    <definedName name="AmberRating" localSheetId="20">#REF!</definedName>
    <definedName name="AmberRating" localSheetId="19">#REF!</definedName>
    <definedName name="AmberRating" localSheetId="18">#REF!</definedName>
    <definedName name="AmberRating" localSheetId="17">#REF!</definedName>
    <definedName name="AmberRating" localSheetId="27">#REF!</definedName>
    <definedName name="AmberRating" localSheetId="21">#REF!</definedName>
    <definedName name="AmberRating" localSheetId="15">#REF!</definedName>
    <definedName name="AmberRating" localSheetId="7">#REF!</definedName>
    <definedName name="AmberRating" localSheetId="8">#REF!</definedName>
    <definedName name="AmberRating" localSheetId="1">#REF!</definedName>
    <definedName name="AmberRating" localSheetId="25">#REF!</definedName>
    <definedName name="AmberRating" localSheetId="30">#REF!</definedName>
    <definedName name="AmberRating" localSheetId="4">#REF!</definedName>
    <definedName name="AmberRating" localSheetId="11">#REF!</definedName>
    <definedName name="AmberRating" localSheetId="24">#REF!</definedName>
    <definedName name="AmberRating">#REF!</definedName>
    <definedName name="Anchor_Cell">PDUs!$A$1</definedName>
    <definedName name="CurMonth" localSheetId="29">#REF!</definedName>
    <definedName name="CurMonth" localSheetId="2">#REF!</definedName>
    <definedName name="CurMonth" localSheetId="28">#REF!</definedName>
    <definedName name="CurMonth" localSheetId="16">#REF!</definedName>
    <definedName name="CurMonth" localSheetId="22">#REF!</definedName>
    <definedName name="CurMonth" localSheetId="26">#REF!</definedName>
    <definedName name="CurMonth" localSheetId="20">#REF!</definedName>
    <definedName name="CurMonth" localSheetId="19">#REF!</definedName>
    <definedName name="CurMonth" localSheetId="18">#REF!</definedName>
    <definedName name="CurMonth" localSheetId="17">#REF!</definedName>
    <definedName name="CurMonth" localSheetId="27">#REF!</definedName>
    <definedName name="CurMonth" localSheetId="21">#REF!</definedName>
    <definedName name="CurMonth" localSheetId="15">#REF!</definedName>
    <definedName name="CurMonth" localSheetId="7">#REF!</definedName>
    <definedName name="CurMonth" localSheetId="8">#REF!</definedName>
    <definedName name="CurMonth" localSheetId="1">#REF!</definedName>
    <definedName name="CurMonth" localSheetId="25">#REF!</definedName>
    <definedName name="CurMonth" localSheetId="30">#REF!</definedName>
    <definedName name="CurMonth" localSheetId="4">#REF!</definedName>
    <definedName name="CurMonth" localSheetId="11">#REF!</definedName>
    <definedName name="CurMonth" localSheetId="24">#REF!</definedName>
    <definedName name="CurMonth">#REF!</definedName>
    <definedName name="CurQuarter" localSheetId="29">#REF!</definedName>
    <definedName name="CurQuarter" localSheetId="2">#REF!</definedName>
    <definedName name="CurQuarter" localSheetId="28">#REF!</definedName>
    <definedName name="CurQuarter" localSheetId="16">#REF!</definedName>
    <definedName name="CurQuarter" localSheetId="22">#REF!</definedName>
    <definedName name="CurQuarter" localSheetId="26">#REF!</definedName>
    <definedName name="CurQuarter" localSheetId="20">#REF!</definedName>
    <definedName name="CurQuarter" localSheetId="19">#REF!</definedName>
    <definedName name="CurQuarter" localSheetId="18">#REF!</definedName>
    <definedName name="CurQuarter" localSheetId="17">#REF!</definedName>
    <definedName name="CurQuarter" localSheetId="27">#REF!</definedName>
    <definedName name="CurQuarter" localSheetId="21">#REF!</definedName>
    <definedName name="CurQuarter" localSheetId="15">#REF!</definedName>
    <definedName name="CurQuarter" localSheetId="7">#REF!</definedName>
    <definedName name="CurQuarter" localSheetId="8">#REF!</definedName>
    <definedName name="CurQuarter" localSheetId="1">#REF!</definedName>
    <definedName name="CurQuarter" localSheetId="25">#REF!</definedName>
    <definedName name="CurQuarter" localSheetId="30">#REF!</definedName>
    <definedName name="CurQuarter" localSheetId="4">#REF!</definedName>
    <definedName name="CurQuarter" localSheetId="11">#REF!</definedName>
    <definedName name="CurQuarter" localSheetId="24">#REF!</definedName>
    <definedName name="CurQuarter">#REF!</definedName>
    <definedName name="DateRange" localSheetId="29">#REF!</definedName>
    <definedName name="DateRange" localSheetId="2">#REF!</definedName>
    <definedName name="DateRange" localSheetId="28">#REF!</definedName>
    <definedName name="DateRange" localSheetId="16">#REF!</definedName>
    <definedName name="DateRange" localSheetId="22">#REF!</definedName>
    <definedName name="DateRange" localSheetId="26">#REF!</definedName>
    <definedName name="DateRange" localSheetId="20">#REF!</definedName>
    <definedName name="DateRange" localSheetId="19">#REF!</definedName>
    <definedName name="DateRange" localSheetId="18">#REF!</definedName>
    <definedName name="DateRange" localSheetId="17">#REF!</definedName>
    <definedName name="DateRange" localSheetId="27">#REF!</definedName>
    <definedName name="DateRange" localSheetId="21">#REF!</definedName>
    <definedName name="DateRange" localSheetId="15">#REF!</definedName>
    <definedName name="DateRange" localSheetId="7">#REF!</definedName>
    <definedName name="DateRange" localSheetId="8">#REF!</definedName>
    <definedName name="DateRange" localSheetId="1">#REF!</definedName>
    <definedName name="DateRange" localSheetId="25">#REF!</definedName>
    <definedName name="DateRange" localSheetId="30">#REF!</definedName>
    <definedName name="DateRange" localSheetId="4">#REF!</definedName>
    <definedName name="DateRange" localSheetId="11">#REF!</definedName>
    <definedName name="DateRange" localSheetId="24">#REF!</definedName>
    <definedName name="DateRange">#REF!</definedName>
    <definedName name="EMR">'national caseload'!$B$7</definedName>
    <definedName name="EoE">'national caseload'!$B$12</definedName>
    <definedName name="ForecastDate" localSheetId="29">#REF!</definedName>
    <definedName name="ForecastDate" localSheetId="2">#REF!</definedName>
    <definedName name="ForecastDate" localSheetId="28">#REF!</definedName>
    <definedName name="ForecastDate" localSheetId="16">#REF!</definedName>
    <definedName name="ForecastDate" localSheetId="22">#REF!</definedName>
    <definedName name="ForecastDate" localSheetId="26">#REF!</definedName>
    <definedName name="ForecastDate" localSheetId="20">#REF!</definedName>
    <definedName name="ForecastDate" localSheetId="19">#REF!</definedName>
    <definedName name="ForecastDate" localSheetId="18">#REF!</definedName>
    <definedName name="ForecastDate" localSheetId="17">#REF!</definedName>
    <definedName name="ForecastDate" localSheetId="27">#REF!</definedName>
    <definedName name="ForecastDate" localSheetId="21">#REF!</definedName>
    <definedName name="ForecastDate" localSheetId="15">#REF!</definedName>
    <definedName name="ForecastDate" localSheetId="7">#REF!</definedName>
    <definedName name="ForecastDate" localSheetId="8">#REF!</definedName>
    <definedName name="ForecastDate" localSheetId="1">#REF!</definedName>
    <definedName name="ForecastDate" localSheetId="25">#REF!</definedName>
    <definedName name="ForecastDate" localSheetId="30">#REF!</definedName>
    <definedName name="ForecastDate" localSheetId="4">#REF!</definedName>
    <definedName name="ForecastDate" localSheetId="11">#REF!</definedName>
    <definedName name="ForecastDate" localSheetId="24">#REF!</definedName>
    <definedName name="ForecastDate">#REF!</definedName>
    <definedName name="GM">'national caseload'!$B$17</definedName>
    <definedName name="HubData" localSheetId="29">#REF!</definedName>
    <definedName name="HubData" localSheetId="2">#REF!</definedName>
    <definedName name="HubData" localSheetId="28">#REF!</definedName>
    <definedName name="HubData" localSheetId="16">#REF!</definedName>
    <definedName name="HubData" localSheetId="22">#REF!</definedName>
    <definedName name="HubData" localSheetId="26">#REF!</definedName>
    <definedName name="HubData" localSheetId="20">#REF!</definedName>
    <definedName name="HubData" localSheetId="19">#REF!</definedName>
    <definedName name="HubData" localSheetId="18">#REF!</definedName>
    <definedName name="HubData" localSheetId="17">#REF!</definedName>
    <definedName name="HubData" localSheetId="27">#REF!</definedName>
    <definedName name="HubData" localSheetId="21">#REF!</definedName>
    <definedName name="HubData" localSheetId="15">#REF!</definedName>
    <definedName name="HubData" localSheetId="7">#REF!</definedName>
    <definedName name="HubData" localSheetId="8">#REF!</definedName>
    <definedName name="HubData" localSheetId="1">#REF!</definedName>
    <definedName name="HubData" localSheetId="25">#REF!</definedName>
    <definedName name="HubData" localSheetId="30">#REF!</definedName>
    <definedName name="HubData" localSheetId="4">#REF!</definedName>
    <definedName name="HubData" localSheetId="11">#REF!</definedName>
    <definedName name="HubData" localSheetId="24">#REF!</definedName>
    <definedName name="HubData">#REF!</definedName>
    <definedName name="KSSR">'national caseload'!$B$22</definedName>
    <definedName name="L">'national caseload'!$B$27</definedName>
    <definedName name="LDU" localSheetId="29">#REF!</definedName>
    <definedName name="LDU" localSheetId="2">#REF!</definedName>
    <definedName name="LDU" localSheetId="28">#REF!</definedName>
    <definedName name="LDU" localSheetId="16">#REF!</definedName>
    <definedName name="LDU" localSheetId="22">#REF!</definedName>
    <definedName name="LDU" localSheetId="26">#REF!</definedName>
    <definedName name="LDU" localSheetId="20">#REF!</definedName>
    <definedName name="LDU" localSheetId="19">#REF!</definedName>
    <definedName name="LDU" localSheetId="18">#REF!</definedName>
    <definedName name="LDU" localSheetId="17">#REF!</definedName>
    <definedName name="LDU" localSheetId="27">#REF!</definedName>
    <definedName name="LDU" localSheetId="21">#REF!</definedName>
    <definedName name="LDU" localSheetId="15">#REF!</definedName>
    <definedName name="LDU" localSheetId="7">#REF!</definedName>
    <definedName name="LDU" localSheetId="8">#REF!</definedName>
    <definedName name="LDU" localSheetId="1">#REF!</definedName>
    <definedName name="LDU" localSheetId="25">#REF!</definedName>
    <definedName name="LDU" localSheetId="30">#REF!</definedName>
    <definedName name="LDU" localSheetId="4">#REF!</definedName>
    <definedName name="LDU" localSheetId="11">#REF!</definedName>
    <definedName name="LDU" localSheetId="24">#REF!</definedName>
    <definedName name="LDU">#REF!</definedName>
    <definedName name="LDUCluster" localSheetId="29">#REF!</definedName>
    <definedName name="LDUCluster" localSheetId="2">#REF!</definedName>
    <definedName name="LDUCluster" localSheetId="28">#REF!</definedName>
    <definedName name="LDUCluster" localSheetId="16">#REF!</definedName>
    <definedName name="LDUCluster" localSheetId="22">#REF!</definedName>
    <definedName name="LDUCluster" localSheetId="26">#REF!</definedName>
    <definedName name="LDUCluster" localSheetId="20">#REF!</definedName>
    <definedName name="LDUCluster" localSheetId="19">#REF!</definedName>
    <definedName name="LDUCluster" localSheetId="18">#REF!</definedName>
    <definedName name="LDUCluster" localSheetId="17">#REF!</definedName>
    <definedName name="LDUCluster" localSheetId="27">#REF!</definedName>
    <definedName name="LDUCluster" localSheetId="21">#REF!</definedName>
    <definedName name="LDUCluster" localSheetId="15">#REF!</definedName>
    <definedName name="LDUCluster" localSheetId="7">#REF!</definedName>
    <definedName name="LDUCluster" localSheetId="8">#REF!</definedName>
    <definedName name="LDUCluster" localSheetId="1">#REF!</definedName>
    <definedName name="LDUCluster" localSheetId="25">#REF!</definedName>
    <definedName name="LDUCluster" localSheetId="30">#REF!</definedName>
    <definedName name="LDUCluster" localSheetId="4">#REF!</definedName>
    <definedName name="LDUCluster" localSheetId="11">#REF!</definedName>
    <definedName name="LDUCluster" localSheetId="24">#REF!</definedName>
    <definedName name="LDUCluster">#REF!</definedName>
    <definedName name="MonthNo" localSheetId="29">#REF!</definedName>
    <definedName name="MonthNo" localSheetId="2">#REF!</definedName>
    <definedName name="MonthNo" localSheetId="28">#REF!</definedName>
    <definedName name="MonthNo" localSheetId="16">#REF!</definedName>
    <definedName name="MonthNo" localSheetId="22">#REF!</definedName>
    <definedName name="MonthNo" localSheetId="26">#REF!</definedName>
    <definedName name="MonthNo" localSheetId="20">#REF!</definedName>
    <definedName name="MonthNo" localSheetId="19">#REF!</definedName>
    <definedName name="MonthNo" localSheetId="18">#REF!</definedName>
    <definedName name="MonthNo" localSheetId="17">#REF!</definedName>
    <definedName name="MonthNo" localSheetId="27">#REF!</definedName>
    <definedName name="MonthNo" localSheetId="21">#REF!</definedName>
    <definedName name="MonthNo" localSheetId="15">#REF!</definedName>
    <definedName name="MonthNo" localSheetId="7">#REF!</definedName>
    <definedName name="MonthNo" localSheetId="8">#REF!</definedName>
    <definedName name="MonthNo" localSheetId="1">#REF!</definedName>
    <definedName name="MonthNo" localSheetId="25">#REF!</definedName>
    <definedName name="MonthNo" localSheetId="30">#REF!</definedName>
    <definedName name="MonthNo" localSheetId="4">#REF!</definedName>
    <definedName name="MonthNo" localSheetId="11">#REF!</definedName>
    <definedName name="MonthNo" localSheetId="24">#REF!</definedName>
    <definedName name="MonthNo">#REF!</definedName>
    <definedName name="MonthRemain" localSheetId="29">#REF!</definedName>
    <definedName name="MonthRemain" localSheetId="2">#REF!</definedName>
    <definedName name="MonthRemain" localSheetId="28">#REF!</definedName>
    <definedName name="MonthRemain" localSheetId="16">#REF!</definedName>
    <definedName name="MonthRemain" localSheetId="22">#REF!</definedName>
    <definedName name="MonthRemain" localSheetId="26">#REF!</definedName>
    <definedName name="MonthRemain" localSheetId="20">#REF!</definedName>
    <definedName name="MonthRemain" localSheetId="19">#REF!</definedName>
    <definedName name="MonthRemain" localSheetId="18">#REF!</definedName>
    <definedName name="MonthRemain" localSheetId="17">#REF!</definedName>
    <definedName name="MonthRemain" localSheetId="27">#REF!</definedName>
    <definedName name="MonthRemain" localSheetId="21">#REF!</definedName>
    <definedName name="MonthRemain" localSheetId="15">#REF!</definedName>
    <definedName name="MonthRemain" localSheetId="7">#REF!</definedName>
    <definedName name="MonthRemain" localSheetId="8">#REF!</definedName>
    <definedName name="MonthRemain" localSheetId="1">#REF!</definedName>
    <definedName name="MonthRemain" localSheetId="25">#REF!</definedName>
    <definedName name="MonthRemain" localSheetId="30">#REF!</definedName>
    <definedName name="MonthRemain" localSheetId="4">#REF!</definedName>
    <definedName name="MonthRemain" localSheetId="11">#REF!</definedName>
    <definedName name="MonthRemain" localSheetId="24">#REF!</definedName>
    <definedName name="MonthRemain">#REF!</definedName>
    <definedName name="NE001Month" localSheetId="29">#REF!</definedName>
    <definedName name="NE001Month" localSheetId="2">#REF!</definedName>
    <definedName name="NE001Month" localSheetId="28">#REF!</definedName>
    <definedName name="NE001Month" localSheetId="16">#REF!</definedName>
    <definedName name="NE001Month" localSheetId="22">#REF!</definedName>
    <definedName name="NE001Month" localSheetId="26">#REF!</definedName>
    <definedName name="NE001Month" localSheetId="20">#REF!</definedName>
    <definedName name="NE001Month" localSheetId="19">#REF!</definedName>
    <definedName name="NE001Month" localSheetId="18">#REF!</definedName>
    <definedName name="NE001Month" localSheetId="17">#REF!</definedName>
    <definedName name="NE001Month" localSheetId="27">#REF!</definedName>
    <definedName name="NE001Month" localSheetId="21">#REF!</definedName>
    <definedName name="NE001Month" localSheetId="15">#REF!</definedName>
    <definedName name="NE001Month" localSheetId="7">#REF!</definedName>
    <definedName name="NE001Month" localSheetId="8">#REF!</definedName>
    <definedName name="NE001Month" localSheetId="1">#REF!</definedName>
    <definedName name="NE001Month" localSheetId="25">#REF!</definedName>
    <definedName name="NE001Month" localSheetId="30">#REF!</definedName>
    <definedName name="NE001Month" localSheetId="4">#REF!</definedName>
    <definedName name="NE001Month" localSheetId="11">#REF!</definedName>
    <definedName name="NE001Month" localSheetId="24">#REF!</definedName>
    <definedName name="NE001Month">#REF!</definedName>
    <definedName name="NE002Month" localSheetId="29">#REF!</definedName>
    <definedName name="NE002Month" localSheetId="2">#REF!</definedName>
    <definedName name="NE002Month" localSheetId="28">#REF!</definedName>
    <definedName name="NE002Month" localSheetId="16">#REF!</definedName>
    <definedName name="NE002Month" localSheetId="22">#REF!</definedName>
    <definedName name="NE002Month" localSheetId="26">#REF!</definedName>
    <definedName name="NE002Month" localSheetId="20">#REF!</definedName>
    <definedName name="NE002Month" localSheetId="19">#REF!</definedName>
    <definedName name="NE002Month" localSheetId="18">#REF!</definedName>
    <definedName name="NE002Month" localSheetId="17">#REF!</definedName>
    <definedName name="NE002Month" localSheetId="27">#REF!</definedName>
    <definedName name="NE002Month" localSheetId="21">#REF!</definedName>
    <definedName name="NE002Month" localSheetId="15">#REF!</definedName>
    <definedName name="NE002Month" localSheetId="7">#REF!</definedName>
    <definedName name="NE002Month" localSheetId="8">#REF!</definedName>
    <definedName name="NE002Month" localSheetId="1">#REF!</definedName>
    <definedName name="NE002Month" localSheetId="25">#REF!</definedName>
    <definedName name="NE002Month" localSheetId="30">#REF!</definedName>
    <definedName name="NE002Month" localSheetId="4">#REF!</definedName>
    <definedName name="NE002Month" localSheetId="11">#REF!</definedName>
    <definedName name="NE002Month" localSheetId="24">#REF!</definedName>
    <definedName name="NE002Month">#REF!</definedName>
    <definedName name="NE003Month" localSheetId="29">#REF!</definedName>
    <definedName name="NE003Month" localSheetId="2">#REF!</definedName>
    <definedName name="NE003Month" localSheetId="28">#REF!</definedName>
    <definedName name="NE003Month" localSheetId="16">#REF!</definedName>
    <definedName name="NE003Month" localSheetId="22">#REF!</definedName>
    <definedName name="NE003Month" localSheetId="26">#REF!</definedName>
    <definedName name="NE003Month" localSheetId="20">#REF!</definedName>
    <definedName name="NE003Month" localSheetId="19">#REF!</definedName>
    <definedName name="NE003Month" localSheetId="18">#REF!</definedName>
    <definedName name="NE003Month" localSheetId="17">#REF!</definedName>
    <definedName name="NE003Month" localSheetId="27">#REF!</definedName>
    <definedName name="NE003Month" localSheetId="21">#REF!</definedName>
    <definedName name="NE003Month" localSheetId="15">#REF!</definedName>
    <definedName name="NE003Month" localSheetId="7">#REF!</definedName>
    <definedName name="NE003Month" localSheetId="8">#REF!</definedName>
    <definedName name="NE003Month" localSheetId="1">#REF!</definedName>
    <definedName name="NE003Month" localSheetId="25">#REF!</definedName>
    <definedName name="NE003Month" localSheetId="30">#REF!</definedName>
    <definedName name="NE003Month" localSheetId="4">#REF!</definedName>
    <definedName name="NE003Month" localSheetId="11">#REF!</definedName>
    <definedName name="NE003Month" localSheetId="24">#REF!</definedName>
    <definedName name="NE003Month">#REF!</definedName>
    <definedName name="NE004AFMonth" localSheetId="29">#REF!</definedName>
    <definedName name="NE004AFMonth" localSheetId="2">#REF!</definedName>
    <definedName name="NE004AFMonth" localSheetId="28">#REF!</definedName>
    <definedName name="NE004AFMonth" localSheetId="16">#REF!</definedName>
    <definedName name="NE004AFMonth" localSheetId="22">#REF!</definedName>
    <definedName name="NE004AFMonth" localSheetId="26">#REF!</definedName>
    <definedName name="NE004AFMonth" localSheetId="20">#REF!</definedName>
    <definedName name="NE004AFMonth" localSheetId="19">#REF!</definedName>
    <definedName name="NE004AFMonth" localSheetId="18">#REF!</definedName>
    <definedName name="NE004AFMonth" localSheetId="17">#REF!</definedName>
    <definedName name="NE004AFMonth" localSheetId="27">#REF!</definedName>
    <definedName name="NE004AFMonth" localSheetId="21">#REF!</definedName>
    <definedName name="NE004AFMonth" localSheetId="15">#REF!</definedName>
    <definedName name="NE004AFMonth" localSheetId="7">#REF!</definedName>
    <definedName name="NE004AFMonth" localSheetId="8">#REF!</definedName>
    <definedName name="NE004AFMonth" localSheetId="1">#REF!</definedName>
    <definedName name="NE004AFMonth" localSheetId="25">#REF!</definedName>
    <definedName name="NE004AFMonth" localSheetId="30">#REF!</definedName>
    <definedName name="NE004AFMonth" localSheetId="4">#REF!</definedName>
    <definedName name="NE004AFMonth" localSheetId="11">#REF!</definedName>
    <definedName name="NE004AFMonth" localSheetId="24">#REF!</definedName>
    <definedName name="NE004AFMonth">#REF!</definedName>
    <definedName name="NE004AFYTD" localSheetId="29">#REF!</definedName>
    <definedName name="NE004AFYTD" localSheetId="2">#REF!</definedName>
    <definedName name="NE004AFYTD" localSheetId="28">#REF!</definedName>
    <definedName name="NE004AFYTD" localSheetId="16">#REF!</definedName>
    <definedName name="NE004AFYTD" localSheetId="22">#REF!</definedName>
    <definedName name="NE004AFYTD" localSheetId="26">#REF!</definedName>
    <definedName name="NE004AFYTD" localSheetId="20">#REF!</definedName>
    <definedName name="NE004AFYTD" localSheetId="19">#REF!</definedName>
    <definedName name="NE004AFYTD" localSheetId="18">#REF!</definedName>
    <definedName name="NE004AFYTD" localSheetId="17">#REF!</definedName>
    <definedName name="NE004AFYTD" localSheetId="27">#REF!</definedName>
    <definedName name="NE004AFYTD" localSheetId="21">#REF!</definedName>
    <definedName name="NE004AFYTD" localSheetId="15">#REF!</definedName>
    <definedName name="NE004AFYTD" localSheetId="7">#REF!</definedName>
    <definedName name="NE004AFYTD" localSheetId="8">#REF!</definedName>
    <definedName name="NE004AFYTD" localSheetId="1">#REF!</definedName>
    <definedName name="NE004AFYTD" localSheetId="25">#REF!</definedName>
    <definedName name="NE004AFYTD" localSheetId="30">#REF!</definedName>
    <definedName name="NE004AFYTD" localSheetId="4">#REF!</definedName>
    <definedName name="NE004AFYTD" localSheetId="11">#REF!</definedName>
    <definedName name="NE004AFYTD" localSheetId="24">#REF!</definedName>
    <definedName name="NE004AFYTD">#REF!</definedName>
    <definedName name="NE004ASMonth" localSheetId="29">#REF!</definedName>
    <definedName name="NE004ASMonth" localSheetId="2">#REF!</definedName>
    <definedName name="NE004ASMonth" localSheetId="28">#REF!</definedName>
    <definedName name="NE004ASMonth" localSheetId="16">#REF!</definedName>
    <definedName name="NE004ASMonth" localSheetId="22">#REF!</definedName>
    <definedName name="NE004ASMonth" localSheetId="26">#REF!</definedName>
    <definedName name="NE004ASMonth" localSheetId="20">#REF!</definedName>
    <definedName name="NE004ASMonth" localSheetId="19">#REF!</definedName>
    <definedName name="NE004ASMonth" localSheetId="18">#REF!</definedName>
    <definedName name="NE004ASMonth" localSheetId="17">#REF!</definedName>
    <definedName name="NE004ASMonth" localSheetId="27">#REF!</definedName>
    <definedName name="NE004ASMonth" localSheetId="21">#REF!</definedName>
    <definedName name="NE004ASMonth" localSheetId="15">#REF!</definedName>
    <definedName name="NE004ASMonth" localSheetId="7">#REF!</definedName>
    <definedName name="NE004ASMonth" localSheetId="8">#REF!</definedName>
    <definedName name="NE004ASMonth" localSheetId="1">#REF!</definedName>
    <definedName name="NE004ASMonth" localSheetId="25">#REF!</definedName>
    <definedName name="NE004ASMonth" localSheetId="30">#REF!</definedName>
    <definedName name="NE004ASMonth" localSheetId="4">#REF!</definedName>
    <definedName name="NE004ASMonth" localSheetId="11">#REF!</definedName>
    <definedName name="NE004ASMonth" localSheetId="24">#REF!</definedName>
    <definedName name="NE004ASMonth">#REF!</definedName>
    <definedName name="NE004ASYTD" localSheetId="29">#REF!</definedName>
    <definedName name="NE004ASYTD" localSheetId="2">#REF!</definedName>
    <definedName name="NE004ASYTD" localSheetId="28">#REF!</definedName>
    <definedName name="NE004ASYTD" localSheetId="16">#REF!</definedName>
    <definedName name="NE004ASYTD" localSheetId="22">#REF!</definedName>
    <definedName name="NE004ASYTD" localSheetId="26">#REF!</definedName>
    <definedName name="NE004ASYTD" localSheetId="20">#REF!</definedName>
    <definedName name="NE004ASYTD" localSheetId="19">#REF!</definedName>
    <definedName name="NE004ASYTD" localSheetId="18">#REF!</definedName>
    <definedName name="NE004ASYTD" localSheetId="17">#REF!</definedName>
    <definedName name="NE004ASYTD" localSheetId="27">#REF!</definedName>
    <definedName name="NE004ASYTD" localSheetId="21">#REF!</definedName>
    <definedName name="NE004ASYTD" localSheetId="15">#REF!</definedName>
    <definedName name="NE004ASYTD" localSheetId="7">#REF!</definedName>
    <definedName name="NE004ASYTD" localSheetId="8">#REF!</definedName>
    <definedName name="NE004ASYTD" localSheetId="1">#REF!</definedName>
    <definedName name="NE004ASYTD" localSheetId="25">#REF!</definedName>
    <definedName name="NE004ASYTD" localSheetId="30">#REF!</definedName>
    <definedName name="NE004ASYTD" localSheetId="4">#REF!</definedName>
    <definedName name="NE004ASYTD" localSheetId="11">#REF!</definedName>
    <definedName name="NE004ASYTD" localSheetId="24">#REF!</definedName>
    <definedName name="NE004ASYTD">#REF!</definedName>
    <definedName name="NE004MText" localSheetId="29">#REF!</definedName>
    <definedName name="NE004MText" localSheetId="2">#REF!</definedName>
    <definedName name="NE004MText" localSheetId="28">#REF!</definedName>
    <definedName name="NE004MText" localSheetId="16">#REF!</definedName>
    <definedName name="NE004MText" localSheetId="22">#REF!</definedName>
    <definedName name="NE004MText" localSheetId="26">#REF!</definedName>
    <definedName name="NE004MText" localSheetId="20">#REF!</definedName>
    <definedName name="NE004MText" localSheetId="19">#REF!</definedName>
    <definedName name="NE004MText" localSheetId="18">#REF!</definedName>
    <definedName name="NE004MText" localSheetId="17">#REF!</definedName>
    <definedName name="NE004MText" localSheetId="27">#REF!</definedName>
    <definedName name="NE004MText" localSheetId="21">#REF!</definedName>
    <definedName name="NE004MText" localSheetId="15">#REF!</definedName>
    <definedName name="NE004MText" localSheetId="7">#REF!</definedName>
    <definedName name="NE004MText" localSheetId="8">#REF!</definedName>
    <definedName name="NE004MText" localSheetId="1">#REF!</definedName>
    <definedName name="NE004MText" localSheetId="25">#REF!</definedName>
    <definedName name="NE004MText" localSheetId="30">#REF!</definedName>
    <definedName name="NE004MText" localSheetId="4">#REF!</definedName>
    <definedName name="NE004MText" localSheetId="11">#REF!</definedName>
    <definedName name="NE004MText" localSheetId="24">#REF!</definedName>
    <definedName name="NE004MText">#REF!</definedName>
    <definedName name="NE004MTitle" localSheetId="29">#REF!</definedName>
    <definedName name="NE004MTitle" localSheetId="2">#REF!</definedName>
    <definedName name="NE004MTitle" localSheetId="28">#REF!</definedName>
    <definedName name="NE004MTitle" localSheetId="16">#REF!</definedName>
    <definedName name="NE004MTitle" localSheetId="22">#REF!</definedName>
    <definedName name="NE004MTitle" localSheetId="26">#REF!</definedName>
    <definedName name="NE004MTitle" localSheetId="20">#REF!</definedName>
    <definedName name="NE004MTitle" localSheetId="19">#REF!</definedName>
    <definedName name="NE004MTitle" localSheetId="18">#REF!</definedName>
    <definedName name="NE004MTitle" localSheetId="17">#REF!</definedName>
    <definedName name="NE004MTitle" localSheetId="27">#REF!</definedName>
    <definedName name="NE004MTitle" localSheetId="21">#REF!</definedName>
    <definedName name="NE004MTitle" localSheetId="15">#REF!</definedName>
    <definedName name="NE004MTitle" localSheetId="7">#REF!</definedName>
    <definedName name="NE004MTitle" localSheetId="8">#REF!</definedName>
    <definedName name="NE004MTitle" localSheetId="1">#REF!</definedName>
    <definedName name="NE004MTitle" localSheetId="25">#REF!</definedName>
    <definedName name="NE004MTitle" localSheetId="30">#REF!</definedName>
    <definedName name="NE004MTitle" localSheetId="4">#REF!</definedName>
    <definedName name="NE004MTitle" localSheetId="11">#REF!</definedName>
    <definedName name="NE004MTitle" localSheetId="24">#REF!</definedName>
    <definedName name="NE004MTitle">#REF!</definedName>
    <definedName name="NE004ODMonth" localSheetId="29">#REF!</definedName>
    <definedName name="NE004ODMonth" localSheetId="2">#REF!</definedName>
    <definedName name="NE004ODMonth" localSheetId="28">#REF!</definedName>
    <definedName name="NE004ODMonth" localSheetId="16">#REF!</definedName>
    <definedName name="NE004ODMonth" localSheetId="22">#REF!</definedName>
    <definedName name="NE004ODMonth" localSheetId="26">#REF!</definedName>
    <definedName name="NE004ODMonth" localSheetId="20">#REF!</definedName>
    <definedName name="NE004ODMonth" localSheetId="19">#REF!</definedName>
    <definedName name="NE004ODMonth" localSheetId="18">#REF!</definedName>
    <definedName name="NE004ODMonth" localSheetId="17">#REF!</definedName>
    <definedName name="NE004ODMonth" localSheetId="27">#REF!</definedName>
    <definedName name="NE004ODMonth" localSheetId="21">#REF!</definedName>
    <definedName name="NE004ODMonth" localSheetId="15">#REF!</definedName>
    <definedName name="NE004ODMonth" localSheetId="7">#REF!</definedName>
    <definedName name="NE004ODMonth" localSheetId="8">#REF!</definedName>
    <definedName name="NE004ODMonth" localSheetId="1">#REF!</definedName>
    <definedName name="NE004ODMonth" localSheetId="25">#REF!</definedName>
    <definedName name="NE004ODMonth" localSheetId="30">#REF!</definedName>
    <definedName name="NE004ODMonth" localSheetId="4">#REF!</definedName>
    <definedName name="NE004ODMonth" localSheetId="11">#REF!</definedName>
    <definedName name="NE004ODMonth" localSheetId="24">#REF!</definedName>
    <definedName name="NE004ODMonth">#REF!</definedName>
    <definedName name="NE004ODYTD" localSheetId="29">#REF!</definedName>
    <definedName name="NE004ODYTD" localSheetId="2">#REF!</definedName>
    <definedName name="NE004ODYTD" localSheetId="28">#REF!</definedName>
    <definedName name="NE004ODYTD" localSheetId="16">#REF!</definedName>
    <definedName name="NE004ODYTD" localSheetId="22">#REF!</definedName>
    <definedName name="NE004ODYTD" localSheetId="26">#REF!</definedName>
    <definedName name="NE004ODYTD" localSheetId="20">#REF!</definedName>
    <definedName name="NE004ODYTD" localSheetId="19">#REF!</definedName>
    <definedName name="NE004ODYTD" localSheetId="18">#REF!</definedName>
    <definedName name="NE004ODYTD" localSheetId="17">#REF!</definedName>
    <definedName name="NE004ODYTD" localSheetId="27">#REF!</definedName>
    <definedName name="NE004ODYTD" localSheetId="21">#REF!</definedName>
    <definedName name="NE004ODYTD" localSheetId="15">#REF!</definedName>
    <definedName name="NE004ODYTD" localSheetId="7">#REF!</definedName>
    <definedName name="NE004ODYTD" localSheetId="8">#REF!</definedName>
    <definedName name="NE004ODYTD" localSheetId="1">#REF!</definedName>
    <definedName name="NE004ODYTD" localSheetId="25">#REF!</definedName>
    <definedName name="NE004ODYTD" localSheetId="30">#REF!</definedName>
    <definedName name="NE004ODYTD" localSheetId="4">#REF!</definedName>
    <definedName name="NE004ODYTD" localSheetId="11">#REF!</definedName>
    <definedName name="NE004ODYTD" localSheetId="24">#REF!</definedName>
    <definedName name="NE004ODYTD">#REF!</definedName>
    <definedName name="NER">'national caseload'!$B$32</definedName>
    <definedName name="NWR">'national caseload'!$B$37</definedName>
    <definedName name="obbbbbj" localSheetId="29">'[2]List Data'!#REF!</definedName>
    <definedName name="obbbbbj" localSheetId="28">'[2]List Data'!#REF!</definedName>
    <definedName name="obbbbbj" localSheetId="20">'[2]List Data'!#REF!</definedName>
    <definedName name="obbbbbj" localSheetId="19">'[2]List Data'!#REF!</definedName>
    <definedName name="obbbbbj" localSheetId="18">'[2]List Data'!#REF!</definedName>
    <definedName name="obbbbbj" localSheetId="17">'[2]List Data'!#REF!</definedName>
    <definedName name="obbbbbj" localSheetId="15">'[2]List Data'!#REF!</definedName>
    <definedName name="obbbbbj" localSheetId="7">'[2]List Data'!#REF!</definedName>
    <definedName name="obbbbbj" localSheetId="8">'[2]List Data'!#REF!</definedName>
    <definedName name="obbbbbj" localSheetId="30">'[2]List Data'!#REF!</definedName>
    <definedName name="obbbbbj" localSheetId="11">'[2]List Data'!#REF!</definedName>
    <definedName name="obbbbbj">'[2]List Data'!#REF!</definedName>
    <definedName name="obbbjj" localSheetId="29">'[2]List Data'!#REF!</definedName>
    <definedName name="obbbjj" localSheetId="28">'[2]List Data'!#REF!</definedName>
    <definedName name="obbbjj" localSheetId="20">'[2]List Data'!#REF!</definedName>
    <definedName name="obbbjj" localSheetId="19">'[2]List Data'!#REF!</definedName>
    <definedName name="obbbjj" localSheetId="18">'[2]List Data'!#REF!</definedName>
    <definedName name="obbbjj" localSheetId="17">'[2]List Data'!#REF!</definedName>
    <definedName name="obbbjj" localSheetId="15">'[2]List Data'!#REF!</definedName>
    <definedName name="obbbjj" localSheetId="7">'[2]List Data'!#REF!</definedName>
    <definedName name="obbbjj" localSheetId="8">'[2]List Data'!#REF!</definedName>
    <definedName name="obbbjj" localSheetId="30">'[2]List Data'!#REF!</definedName>
    <definedName name="obbbjj" localSheetId="11">'[2]List Data'!#REF!</definedName>
    <definedName name="obbbjj">'[2]List Data'!#REF!</definedName>
    <definedName name="obbbjjj" localSheetId="29">'[2]List Data'!#REF!</definedName>
    <definedName name="obbbjjj" localSheetId="28">'[2]List Data'!#REF!</definedName>
    <definedName name="obbbjjj" localSheetId="20">'[2]List Data'!#REF!</definedName>
    <definedName name="obbbjjj" localSheetId="19">'[2]List Data'!#REF!</definedName>
    <definedName name="obbbjjj" localSheetId="18">'[2]List Data'!#REF!</definedName>
    <definedName name="obbbjjj" localSheetId="17">'[2]List Data'!#REF!</definedName>
    <definedName name="obbbjjj" localSheetId="15">'[2]List Data'!#REF!</definedName>
    <definedName name="obbbjjj" localSheetId="7">'[2]List Data'!#REF!</definedName>
    <definedName name="obbbjjj" localSheetId="8">'[2]List Data'!#REF!</definedName>
    <definedName name="obbbjjj" localSheetId="30">'[2]List Data'!#REF!</definedName>
    <definedName name="obbbjjj" localSheetId="11">'[2]List Data'!#REF!</definedName>
    <definedName name="obbbjjj">'[2]List Data'!#REF!</definedName>
    <definedName name="obbj" localSheetId="29">'[2]List Data'!#REF!</definedName>
    <definedName name="obbj" localSheetId="28">'[2]List Data'!#REF!</definedName>
    <definedName name="obbj" localSheetId="20">'[2]List Data'!#REF!</definedName>
    <definedName name="obbj" localSheetId="19">'[2]List Data'!#REF!</definedName>
    <definedName name="obbj" localSheetId="18">'[2]List Data'!#REF!</definedName>
    <definedName name="obbj" localSheetId="17">'[2]List Data'!#REF!</definedName>
    <definedName name="obbj" localSheetId="15">'[2]List Data'!#REF!</definedName>
    <definedName name="obbj" localSheetId="7">'[2]List Data'!#REF!</definedName>
    <definedName name="obbj" localSheetId="8">'[2]List Data'!#REF!</definedName>
    <definedName name="obbj" localSheetId="30">'[2]List Data'!#REF!</definedName>
    <definedName name="obbj" localSheetId="11">'[2]List Data'!#REF!</definedName>
    <definedName name="obbj">'[2]List Data'!#REF!</definedName>
    <definedName name="obbjj" localSheetId="29">'[2]List Data'!#REF!</definedName>
    <definedName name="obbjj" localSheetId="28">'[2]List Data'!#REF!</definedName>
    <definedName name="obbjj" localSheetId="20">'[2]List Data'!#REF!</definedName>
    <definedName name="obbjj" localSheetId="19">'[2]List Data'!#REF!</definedName>
    <definedName name="obbjj" localSheetId="18">'[2]List Data'!#REF!</definedName>
    <definedName name="obbjj" localSheetId="17">'[2]List Data'!#REF!</definedName>
    <definedName name="obbjj" localSheetId="15">'[2]List Data'!#REF!</definedName>
    <definedName name="obbjj" localSheetId="7">'[2]List Data'!#REF!</definedName>
    <definedName name="obbjj" localSheetId="8">'[2]List Data'!#REF!</definedName>
    <definedName name="obbjj" localSheetId="30">'[2]List Data'!#REF!</definedName>
    <definedName name="obbjj" localSheetId="11">'[2]List Data'!#REF!</definedName>
    <definedName name="obbjj">'[2]List Data'!#REF!</definedName>
    <definedName name="obj" localSheetId="29">'[2]List Data'!#REF!</definedName>
    <definedName name="obj" localSheetId="28">'[2]List Data'!#REF!</definedName>
    <definedName name="obj" localSheetId="20">'[2]List Data'!#REF!</definedName>
    <definedName name="obj" localSheetId="19">'[2]List Data'!#REF!</definedName>
    <definedName name="obj" localSheetId="18">'[2]List Data'!#REF!</definedName>
    <definedName name="obj" localSheetId="17">'[2]List Data'!#REF!</definedName>
    <definedName name="obj" localSheetId="15">'[2]List Data'!#REF!</definedName>
    <definedName name="obj" localSheetId="7">'[2]List Data'!#REF!</definedName>
    <definedName name="obj" localSheetId="8">'[2]List Data'!#REF!</definedName>
    <definedName name="obj" localSheetId="30">'[2]List Data'!#REF!</definedName>
    <definedName name="obj" localSheetId="11">'[2]List Data'!#REF!</definedName>
    <definedName name="obj">'[2]List Data'!#REF!</definedName>
    <definedName name="Objective" localSheetId="29">'[2]List Data'!#REF!</definedName>
    <definedName name="Objective" localSheetId="2">'[3]List Data'!#REF!</definedName>
    <definedName name="Objective" localSheetId="28">'[2]List Data'!#REF!</definedName>
    <definedName name="Objective" localSheetId="16">'[3]List Data'!#REF!</definedName>
    <definedName name="Objective" localSheetId="22">'[3]List Data'!#REF!</definedName>
    <definedName name="Objective" localSheetId="26">'[3]List Data'!#REF!</definedName>
    <definedName name="Objective" localSheetId="20">'[2]List Data'!#REF!</definedName>
    <definedName name="Objective" localSheetId="19">'[2]List Data'!#REF!</definedName>
    <definedName name="Objective" localSheetId="18">'[2]List Data'!#REF!</definedName>
    <definedName name="Objective" localSheetId="17">'[2]List Data'!#REF!</definedName>
    <definedName name="Objective" localSheetId="27">'[3]List Data'!#REF!</definedName>
    <definedName name="Objective" localSheetId="21">'[3]List Data'!#REF!</definedName>
    <definedName name="Objective" localSheetId="15">'[2]List Data'!#REF!</definedName>
    <definedName name="Objective" localSheetId="7">'[2]List Data'!#REF!</definedName>
    <definedName name="Objective" localSheetId="8">'[2]List Data'!#REF!</definedName>
    <definedName name="Objective" localSheetId="1">'[3]List Data'!#REF!</definedName>
    <definedName name="Objective" localSheetId="25">'[3]List Data'!#REF!</definedName>
    <definedName name="Objective" localSheetId="30">'[2]List Data'!#REF!</definedName>
    <definedName name="Objective" localSheetId="4">'[3]List Data'!#REF!</definedName>
    <definedName name="Objective" localSheetId="11">'[2]List Data'!#REF!</definedName>
    <definedName name="Objective" localSheetId="24">'[3]List Data'!#REF!</definedName>
    <definedName name="Objective">'[2]List Data'!#REF!</definedName>
    <definedName name="objj" localSheetId="29">'[2]List Data'!#REF!</definedName>
    <definedName name="objj" localSheetId="28">'[2]List Data'!#REF!</definedName>
    <definedName name="objj" localSheetId="20">'[2]List Data'!#REF!</definedName>
    <definedName name="objj" localSheetId="19">'[2]List Data'!#REF!</definedName>
    <definedName name="objj" localSheetId="18">'[2]List Data'!#REF!</definedName>
    <definedName name="objj" localSheetId="17">'[2]List Data'!#REF!</definedName>
    <definedName name="objj" localSheetId="15">'[2]List Data'!#REF!</definedName>
    <definedName name="objj" localSheetId="7">'[2]List Data'!#REF!</definedName>
    <definedName name="objj" localSheetId="8">'[2]List Data'!#REF!</definedName>
    <definedName name="objj" localSheetId="30">'[2]List Data'!#REF!</definedName>
    <definedName name="objj" localSheetId="11">'[2]List Data'!#REF!</definedName>
    <definedName name="objj">'[2]List Data'!#REF!</definedName>
    <definedName name="oobbbjjj" localSheetId="29">'[2]List Data'!#REF!</definedName>
    <definedName name="oobbbjjj" localSheetId="28">'[2]List Data'!#REF!</definedName>
    <definedName name="oobbbjjj" localSheetId="20">'[2]List Data'!#REF!</definedName>
    <definedName name="oobbbjjj" localSheetId="19">'[2]List Data'!#REF!</definedName>
    <definedName name="oobbbjjj" localSheetId="18">'[2]List Data'!#REF!</definedName>
    <definedName name="oobbbjjj" localSheetId="17">'[2]List Data'!#REF!</definedName>
    <definedName name="oobbbjjj" localSheetId="15">'[2]List Data'!#REF!</definedName>
    <definedName name="oobbbjjj" localSheetId="7">'[2]List Data'!#REF!</definedName>
    <definedName name="oobbbjjj" localSheetId="8">'[2]List Data'!#REF!</definedName>
    <definedName name="oobbbjjj" localSheetId="30">'[2]List Data'!#REF!</definedName>
    <definedName name="oobbbjjj" localSheetId="11">'[2]List Data'!#REF!</definedName>
    <definedName name="oobbbjjj">'[2]List Data'!#REF!</definedName>
    <definedName name="ooobbbbjjj" localSheetId="29">'[2]List Data'!#REF!</definedName>
    <definedName name="ooobbbbjjj" localSheetId="28">'[2]List Data'!#REF!</definedName>
    <definedName name="ooobbbbjjj" localSheetId="20">'[2]List Data'!#REF!</definedName>
    <definedName name="ooobbbbjjj" localSheetId="19">'[2]List Data'!#REF!</definedName>
    <definedName name="ooobbbbjjj" localSheetId="18">'[2]List Data'!#REF!</definedName>
    <definedName name="ooobbbbjjj" localSheetId="17">'[2]List Data'!#REF!</definedName>
    <definedName name="ooobbbbjjj" localSheetId="15">'[2]List Data'!#REF!</definedName>
    <definedName name="ooobbbbjjj" localSheetId="7">'[2]List Data'!#REF!</definedName>
    <definedName name="ooobbbbjjj" localSheetId="8">'[2]List Data'!#REF!</definedName>
    <definedName name="ooobbbbjjj" localSheetId="30">'[2]List Data'!#REF!</definedName>
    <definedName name="ooobbbbjjj" localSheetId="11">'[2]List Data'!#REF!</definedName>
    <definedName name="ooobbbbjjj">'[2]List Data'!#REF!</definedName>
    <definedName name="ooobbbjjj" localSheetId="29">'[2]List Data'!#REF!</definedName>
    <definedName name="ooobbbjjj" localSheetId="28">'[2]List Data'!#REF!</definedName>
    <definedName name="ooobbbjjj" localSheetId="20">'[2]List Data'!#REF!</definedName>
    <definedName name="ooobbbjjj" localSheetId="19">'[2]List Data'!#REF!</definedName>
    <definedName name="ooobbbjjj" localSheetId="18">'[2]List Data'!#REF!</definedName>
    <definedName name="ooobbbjjj" localSheetId="17">'[2]List Data'!#REF!</definedName>
    <definedName name="ooobbbjjj" localSheetId="15">'[2]List Data'!#REF!</definedName>
    <definedName name="ooobbbjjj" localSheetId="7">'[2]List Data'!#REF!</definedName>
    <definedName name="ooobbbjjj" localSheetId="8">'[2]List Data'!#REF!</definedName>
    <definedName name="ooobbbjjj" localSheetId="30">'[2]List Data'!#REF!</definedName>
    <definedName name="ooobbbjjj" localSheetId="11">'[2]List Data'!#REF!</definedName>
    <definedName name="ooobbbjjj">'[2]List Data'!#REF!</definedName>
    <definedName name="ooobbbjjjj" localSheetId="29">'[2]List Data'!#REF!</definedName>
    <definedName name="ooobbbjjjj" localSheetId="28">'[2]List Data'!#REF!</definedName>
    <definedName name="ooobbbjjjj" localSheetId="20">'[2]List Data'!#REF!</definedName>
    <definedName name="ooobbbjjjj" localSheetId="19">'[2]List Data'!#REF!</definedName>
    <definedName name="ooobbbjjjj" localSheetId="18">'[2]List Data'!#REF!</definedName>
    <definedName name="ooobbbjjjj" localSheetId="17">'[2]List Data'!#REF!</definedName>
    <definedName name="ooobbbjjjj" localSheetId="15">'[2]List Data'!#REF!</definedName>
    <definedName name="ooobbbjjjj" localSheetId="7">'[2]List Data'!#REF!</definedName>
    <definedName name="ooobbbjjjj" localSheetId="8">'[2]List Data'!#REF!</definedName>
    <definedName name="ooobbbjjjj" localSheetId="30">'[2]List Data'!#REF!</definedName>
    <definedName name="ooobbbjjjj" localSheetId="11">'[2]List Data'!#REF!</definedName>
    <definedName name="ooobbbjjjj">'[2]List Data'!#REF!</definedName>
    <definedName name="ooobbjjjjj" localSheetId="29">'[2]List Data'!#REF!</definedName>
    <definedName name="ooobbjjjjj" localSheetId="28">'[2]List Data'!#REF!</definedName>
    <definedName name="ooobbjjjjj" localSheetId="20">'[2]List Data'!#REF!</definedName>
    <definedName name="ooobbjjjjj" localSheetId="19">'[2]List Data'!#REF!</definedName>
    <definedName name="ooobbjjjjj" localSheetId="18">'[2]List Data'!#REF!</definedName>
    <definedName name="ooobbjjjjj" localSheetId="17">'[2]List Data'!#REF!</definedName>
    <definedName name="ooobbjjjjj" localSheetId="15">'[2]List Data'!#REF!</definedName>
    <definedName name="ooobbjjjjj" localSheetId="7">'[2]List Data'!#REF!</definedName>
    <definedName name="ooobbjjjjj" localSheetId="8">'[2]List Data'!#REF!</definedName>
    <definedName name="ooobbjjjjj" localSheetId="30">'[2]List Data'!#REF!</definedName>
    <definedName name="ooobbjjjjj" localSheetId="11">'[2]List Data'!#REF!</definedName>
    <definedName name="ooobbjjjjj">'[2]List Data'!#REF!</definedName>
    <definedName name="oooobbbjjj" localSheetId="29">'[2]List Data'!#REF!</definedName>
    <definedName name="oooobbbjjj" localSheetId="28">'[2]List Data'!#REF!</definedName>
    <definedName name="oooobbbjjj" localSheetId="20">'[2]List Data'!#REF!</definedName>
    <definedName name="oooobbbjjj" localSheetId="19">'[2]List Data'!#REF!</definedName>
    <definedName name="oooobbbjjj" localSheetId="18">'[2]List Data'!#REF!</definedName>
    <definedName name="oooobbbjjj" localSheetId="17">'[2]List Data'!#REF!</definedName>
    <definedName name="oooobbbjjj" localSheetId="15">'[2]List Data'!#REF!</definedName>
    <definedName name="oooobbbjjj" localSheetId="7">'[2]List Data'!#REF!</definedName>
    <definedName name="oooobbbjjj" localSheetId="8">'[2]List Data'!#REF!</definedName>
    <definedName name="oooobbbjjj" localSheetId="30">'[2]List Data'!#REF!</definedName>
    <definedName name="oooobbbjjj" localSheetId="11">'[2]List Data'!#REF!</definedName>
    <definedName name="oooobbbjjj">'[2]List Data'!#REF!</definedName>
    <definedName name="_xlnm.Print_Area" localSheetId="29">#REF!,'Capacity Buttons'!#REF!,'Capacity Buttons'!#REF!,'Capacity Buttons'!#REF!,'Capacity Buttons'!#REF!,'Capacity Buttons'!#REF!,'Capacity Buttons'!#REF!,'Capacity Buttons'!#REF!</definedName>
    <definedName name="_xlnm.Print_Area" localSheetId="28">#REF!,'Caseload Buttons'!#REF!,'Caseload Buttons'!#REF!,'Caseload Buttons'!#REF!,'Caseload Buttons'!#REF!,'Caseload Buttons'!#REF!,'Caseload Buttons'!#REF!,'Caseload Buttons'!#REF!</definedName>
    <definedName name="_xlnm.Print_Area" localSheetId="27">'div &amp; regional reduction hours'!$B$1:$N$18</definedName>
    <definedName name="_xlnm.Print_Area" localSheetId="21">'divisional &amp; regional capacity'!$B$1:$F$17</definedName>
    <definedName name="_xlnm.Print_Area" localSheetId="0">home!$A$1:$Q$28</definedName>
    <definedName name="_xlnm.Print_Area" localSheetId="30">#REF!,'Reductions Buttons'!#REF!,'Reductions Buttons'!#REF!,'Reductions Buttons'!#REF!,'Reductions Buttons'!#REF!,'Reductions Buttons'!#REF!,'Reductions Buttons'!#REF!,'Reductions Buttons'!#REF!</definedName>
    <definedName name="QtrRange" localSheetId="29">#REF!</definedName>
    <definedName name="QtrRange" localSheetId="2">#REF!</definedName>
    <definedName name="QtrRange" localSheetId="28">#REF!</definedName>
    <definedName name="QtrRange" localSheetId="16">#REF!</definedName>
    <definedName name="QtrRange" localSheetId="22">#REF!</definedName>
    <definedName name="QtrRange" localSheetId="26">#REF!</definedName>
    <definedName name="QtrRange" localSheetId="20">#REF!</definedName>
    <definedName name="QtrRange" localSheetId="19">#REF!</definedName>
    <definedName name="QtrRange" localSheetId="18">#REF!</definedName>
    <definedName name="QtrRange" localSheetId="17">#REF!</definedName>
    <definedName name="QtrRange" localSheetId="27">#REF!</definedName>
    <definedName name="QtrRange" localSheetId="21">#REF!</definedName>
    <definedName name="QtrRange" localSheetId="15">#REF!</definedName>
    <definedName name="QtrRange" localSheetId="7">#REF!</definedName>
    <definedName name="QtrRange" localSheetId="8">#REF!</definedName>
    <definedName name="QtrRange" localSheetId="1">#REF!</definedName>
    <definedName name="QtrRange" localSheetId="25">#REF!</definedName>
    <definedName name="QtrRange" localSheetId="30">#REF!</definedName>
    <definedName name="QtrRange" localSheetId="4">#REF!</definedName>
    <definedName name="QtrRange" localSheetId="11">#REF!</definedName>
    <definedName name="QtrRange" localSheetId="24">#REF!</definedName>
    <definedName name="QtrRange">#REF!</definedName>
    <definedName name="Rank_Rating_Lookup">'[1]Rating Lookup'!$I$2:$J$36</definedName>
    <definedName name="Rating">'[1]Rating Lookup'!$C$3:$F$6</definedName>
    <definedName name="Region_Table">PDUs!$A$1:$L$30</definedName>
    <definedName name="Regions">PDUs!$A$1:$L$1</definedName>
    <definedName name="Second_Anchor">PDUs!$N$1</definedName>
    <definedName name="Selection_LDUCluster" localSheetId="29">#REF!</definedName>
    <definedName name="Selection_LDUCluster" localSheetId="2">#REF!</definedName>
    <definedName name="Selection_LDUCluster" localSheetId="28">#REF!</definedName>
    <definedName name="Selection_LDUCluster" localSheetId="16">#REF!</definedName>
    <definedName name="Selection_LDUCluster" localSheetId="22">#REF!</definedName>
    <definedName name="Selection_LDUCluster" localSheetId="26">#REF!</definedName>
    <definedName name="Selection_LDUCluster" localSheetId="20">#REF!</definedName>
    <definedName name="Selection_LDUCluster" localSheetId="19">#REF!</definedName>
    <definedName name="Selection_LDUCluster" localSheetId="18">#REF!</definedName>
    <definedName name="Selection_LDUCluster" localSheetId="17">#REF!</definedName>
    <definedName name="Selection_LDUCluster" localSheetId="27">#REF!</definedName>
    <definedName name="Selection_LDUCluster" localSheetId="21">#REF!</definedName>
    <definedName name="Selection_LDUCluster" localSheetId="15">#REF!</definedName>
    <definedName name="Selection_LDUCluster" localSheetId="7">#REF!</definedName>
    <definedName name="Selection_LDUCluster" localSheetId="8">#REF!</definedName>
    <definedName name="Selection_LDUCluster" localSheetId="1">#REF!</definedName>
    <definedName name="Selection_LDUCluster" localSheetId="25">#REF!</definedName>
    <definedName name="Selection_LDUCluster" localSheetId="30">#REF!</definedName>
    <definedName name="Selection_LDUCluster" localSheetId="4">#REF!</definedName>
    <definedName name="Selection_LDUCluster" localSheetId="11">#REF!</definedName>
    <definedName name="Selection_LDUCluster" localSheetId="24">#REF!</definedName>
    <definedName name="Selection_LDUCluster">#REF!</definedName>
    <definedName name="Selection_Metric" localSheetId="29">#REF!</definedName>
    <definedName name="Selection_Metric" localSheetId="2">#REF!</definedName>
    <definedName name="Selection_Metric" localSheetId="28">#REF!</definedName>
    <definedName name="Selection_Metric" localSheetId="16">#REF!</definedName>
    <definedName name="Selection_Metric" localSheetId="22">#REF!</definedName>
    <definedName name="Selection_Metric" localSheetId="26">#REF!</definedName>
    <definedName name="Selection_Metric" localSheetId="20">#REF!</definedName>
    <definedName name="Selection_Metric" localSheetId="19">#REF!</definedName>
    <definedName name="Selection_Metric" localSheetId="18">#REF!</definedName>
    <definedName name="Selection_Metric" localSheetId="17">#REF!</definedName>
    <definedName name="Selection_Metric" localSheetId="27">#REF!</definedName>
    <definedName name="Selection_Metric" localSheetId="21">#REF!</definedName>
    <definedName name="Selection_Metric" localSheetId="15">#REF!</definedName>
    <definedName name="Selection_Metric" localSheetId="7">#REF!</definedName>
    <definedName name="Selection_Metric" localSheetId="8">#REF!</definedName>
    <definedName name="Selection_Metric" localSheetId="1">#REF!</definedName>
    <definedName name="Selection_Metric" localSheetId="25">#REF!</definedName>
    <definedName name="Selection_Metric" localSheetId="30">#REF!</definedName>
    <definedName name="Selection_Metric" localSheetId="4">#REF!</definedName>
    <definedName name="Selection_Metric" localSheetId="11">#REF!</definedName>
    <definedName name="Selection_Metric" localSheetId="24">#REF!</definedName>
    <definedName name="Selection_Metric">#REF!</definedName>
    <definedName name="SL001Month" localSheetId="29">#REF!</definedName>
    <definedName name="SL001Month" localSheetId="2">#REF!</definedName>
    <definedName name="SL001Month" localSheetId="28">#REF!</definedName>
    <definedName name="SL001Month" localSheetId="16">#REF!</definedName>
    <definedName name="SL001Month" localSheetId="22">#REF!</definedName>
    <definedName name="SL001Month" localSheetId="26">#REF!</definedName>
    <definedName name="SL001Month" localSheetId="20">#REF!</definedName>
    <definedName name="SL001Month" localSheetId="19">#REF!</definedName>
    <definedName name="SL001Month" localSheetId="18">#REF!</definedName>
    <definedName name="SL001Month" localSheetId="17">#REF!</definedName>
    <definedName name="SL001Month" localSheetId="27">#REF!</definedName>
    <definedName name="SL001Month" localSheetId="21">#REF!</definedName>
    <definedName name="SL001Month" localSheetId="15">#REF!</definedName>
    <definedName name="SL001Month" localSheetId="7">#REF!</definedName>
    <definedName name="SL001Month" localSheetId="8">#REF!</definedName>
    <definedName name="SL001Month" localSheetId="1">#REF!</definedName>
    <definedName name="SL001Month" localSheetId="25">#REF!</definedName>
    <definedName name="SL001Month" localSheetId="30">#REF!</definedName>
    <definedName name="SL001Month" localSheetId="4">#REF!</definedName>
    <definedName name="SL001Month" localSheetId="11">#REF!</definedName>
    <definedName name="SL001Month" localSheetId="24">#REF!</definedName>
    <definedName name="SL001Month">#REF!</definedName>
    <definedName name="SL001Text" localSheetId="29">#REF!</definedName>
    <definedName name="SL001Text" localSheetId="2">#REF!</definedName>
    <definedName name="SL001Text" localSheetId="28">#REF!</definedName>
    <definedName name="SL001Text" localSheetId="16">#REF!</definedName>
    <definedName name="SL001Text" localSheetId="22">#REF!</definedName>
    <definedName name="SL001Text" localSheetId="26">#REF!</definedName>
    <definedName name="SL001Text" localSheetId="20">#REF!</definedName>
    <definedName name="SL001Text" localSheetId="19">#REF!</definedName>
    <definedName name="SL001Text" localSheetId="18">#REF!</definedName>
    <definedName name="SL001Text" localSheetId="17">#REF!</definedName>
    <definedName name="SL001Text" localSheetId="27">#REF!</definedName>
    <definedName name="SL001Text" localSheetId="21">#REF!</definedName>
    <definedName name="SL001Text" localSheetId="15">#REF!</definedName>
    <definedName name="SL001Text" localSheetId="7">#REF!</definedName>
    <definedName name="SL001Text" localSheetId="8">#REF!</definedName>
    <definedName name="SL001Text" localSheetId="1">#REF!</definedName>
    <definedName name="SL001Text" localSheetId="25">#REF!</definedName>
    <definedName name="SL001Text" localSheetId="30">#REF!</definedName>
    <definedName name="SL001Text" localSheetId="4">#REF!</definedName>
    <definedName name="SL001Text" localSheetId="11">#REF!</definedName>
    <definedName name="SL001Text" localSheetId="24">#REF!</definedName>
    <definedName name="SL001Text">#REF!</definedName>
    <definedName name="SL001Title" localSheetId="29">#REF!</definedName>
    <definedName name="SL001Title" localSheetId="2">#REF!</definedName>
    <definedName name="SL001Title" localSheetId="28">#REF!</definedName>
    <definedName name="SL001Title" localSheetId="16">#REF!</definedName>
    <definedName name="SL001Title" localSheetId="22">#REF!</definedName>
    <definedName name="SL001Title" localSheetId="26">#REF!</definedName>
    <definedName name="SL001Title" localSheetId="20">#REF!</definedName>
    <definedName name="SL001Title" localSheetId="19">#REF!</definedName>
    <definedName name="SL001Title" localSheetId="18">#REF!</definedName>
    <definedName name="SL001Title" localSheetId="17">#REF!</definedName>
    <definedName name="SL001Title" localSheetId="27">#REF!</definedName>
    <definedName name="SL001Title" localSheetId="21">#REF!</definedName>
    <definedName name="SL001Title" localSheetId="15">#REF!</definedName>
    <definedName name="SL001Title" localSheetId="7">#REF!</definedName>
    <definedName name="SL001Title" localSheetId="8">#REF!</definedName>
    <definedName name="SL001Title" localSheetId="1">#REF!</definedName>
    <definedName name="SL001Title" localSheetId="25">#REF!</definedName>
    <definedName name="SL001Title" localSheetId="30">#REF!</definedName>
    <definedName name="SL001Title" localSheetId="4">#REF!</definedName>
    <definedName name="SL001Title" localSheetId="11">#REF!</definedName>
    <definedName name="SL001Title" localSheetId="24">#REF!</definedName>
    <definedName name="SL001Title">#REF!</definedName>
    <definedName name="SL001YTD" localSheetId="29">#REF!</definedName>
    <definedName name="SL001YTD" localSheetId="2">#REF!</definedName>
    <definedName name="SL001YTD" localSheetId="28">#REF!</definedName>
    <definedName name="SL001YTD" localSheetId="16">#REF!</definedName>
    <definedName name="SL001YTD" localSheetId="22">#REF!</definedName>
    <definedName name="SL001YTD" localSheetId="26">#REF!</definedName>
    <definedName name="SL001YTD" localSheetId="20">#REF!</definedName>
    <definedName name="SL001YTD" localSheetId="19">#REF!</definedName>
    <definedName name="SL001YTD" localSheetId="18">#REF!</definedName>
    <definedName name="SL001YTD" localSheetId="17">#REF!</definedName>
    <definedName name="SL001YTD" localSheetId="27">#REF!</definedName>
    <definedName name="SL001YTD" localSheetId="21">#REF!</definedName>
    <definedName name="SL001YTD" localSheetId="15">#REF!</definedName>
    <definedName name="SL001YTD" localSheetId="7">#REF!</definedName>
    <definedName name="SL001YTD" localSheetId="8">#REF!</definedName>
    <definedName name="SL001YTD" localSheetId="1">#REF!</definedName>
    <definedName name="SL001YTD" localSheetId="25">#REF!</definedName>
    <definedName name="SL001YTD" localSheetId="30">#REF!</definedName>
    <definedName name="SL001YTD" localSheetId="4">#REF!</definedName>
    <definedName name="SL001YTD" localSheetId="11">#REF!</definedName>
    <definedName name="SL001YTD" localSheetId="24">#REF!</definedName>
    <definedName name="SL001YTD">#REF!</definedName>
    <definedName name="SL002AMonth" localSheetId="29">#REF!</definedName>
    <definedName name="SL002AMonth" localSheetId="2">#REF!</definedName>
    <definedName name="SL002AMonth" localSheetId="28">#REF!</definedName>
    <definedName name="SL002AMonth" localSheetId="16">#REF!</definedName>
    <definedName name="SL002AMonth" localSheetId="22">#REF!</definedName>
    <definedName name="SL002AMonth" localSheetId="26">#REF!</definedName>
    <definedName name="SL002AMonth" localSheetId="20">#REF!</definedName>
    <definedName name="SL002AMonth" localSheetId="19">#REF!</definedName>
    <definedName name="SL002AMonth" localSheetId="18">#REF!</definedName>
    <definedName name="SL002AMonth" localSheetId="17">#REF!</definedName>
    <definedName name="SL002AMonth" localSheetId="27">#REF!</definedName>
    <definedName name="SL002AMonth" localSheetId="21">#REF!</definedName>
    <definedName name="SL002AMonth" localSheetId="15">#REF!</definedName>
    <definedName name="SL002AMonth" localSheetId="7">#REF!</definedName>
    <definedName name="SL002AMonth" localSheetId="8">#REF!</definedName>
    <definedName name="SL002AMonth" localSheetId="1">#REF!</definedName>
    <definedName name="SL002AMonth" localSheetId="25">#REF!</definedName>
    <definedName name="SL002AMonth" localSheetId="30">#REF!</definedName>
    <definedName name="SL002AMonth" localSheetId="4">#REF!</definedName>
    <definedName name="SL002AMonth" localSheetId="11">#REF!</definedName>
    <definedName name="SL002AMonth" localSheetId="24">#REF!</definedName>
    <definedName name="SL002AMonth">#REF!</definedName>
    <definedName name="SL002AText" localSheetId="29">#REF!</definedName>
    <definedName name="SL002AText" localSheetId="2">#REF!</definedName>
    <definedName name="SL002AText" localSheetId="28">#REF!</definedName>
    <definedName name="SL002AText" localSheetId="16">#REF!</definedName>
    <definedName name="SL002AText" localSheetId="22">#REF!</definedName>
    <definedName name="SL002AText" localSheetId="26">#REF!</definedName>
    <definedName name="SL002AText" localSheetId="20">#REF!</definedName>
    <definedName name="SL002AText" localSheetId="19">#REF!</definedName>
    <definedName name="SL002AText" localSheetId="18">#REF!</definedName>
    <definedName name="SL002AText" localSheetId="17">#REF!</definedName>
    <definedName name="SL002AText" localSheetId="27">#REF!</definedName>
    <definedName name="SL002AText" localSheetId="21">#REF!</definedName>
    <definedName name="SL002AText" localSheetId="15">#REF!</definedName>
    <definedName name="SL002AText" localSheetId="7">#REF!</definedName>
    <definedName name="SL002AText" localSheetId="8">#REF!</definedName>
    <definedName name="SL002AText" localSheetId="1">#REF!</definedName>
    <definedName name="SL002AText" localSheetId="25">#REF!</definedName>
    <definedName name="SL002AText" localSheetId="30">#REF!</definedName>
    <definedName name="SL002AText" localSheetId="4">#REF!</definedName>
    <definedName name="SL002AText" localSheetId="11">#REF!</definedName>
    <definedName name="SL002AText" localSheetId="24">#REF!</definedName>
    <definedName name="SL002AText">#REF!</definedName>
    <definedName name="SL002ATitle" localSheetId="29">#REF!</definedName>
    <definedName name="SL002ATitle" localSheetId="2">#REF!</definedName>
    <definedName name="SL002ATitle" localSheetId="28">#REF!</definedName>
    <definedName name="SL002ATitle" localSheetId="16">#REF!</definedName>
    <definedName name="SL002ATitle" localSheetId="22">#REF!</definedName>
    <definedName name="SL002ATitle" localSheetId="26">#REF!</definedName>
    <definedName name="SL002ATitle" localSheetId="20">#REF!</definedName>
    <definedName name="SL002ATitle" localSheetId="19">#REF!</definedName>
    <definedName name="SL002ATitle" localSheetId="18">#REF!</definedName>
    <definedName name="SL002ATitle" localSheetId="17">#REF!</definedName>
    <definedName name="SL002ATitle" localSheetId="27">#REF!</definedName>
    <definedName name="SL002ATitle" localSheetId="21">#REF!</definedName>
    <definedName name="SL002ATitle" localSheetId="15">#REF!</definedName>
    <definedName name="SL002ATitle" localSheetId="7">#REF!</definedName>
    <definedName name="SL002ATitle" localSheetId="8">#REF!</definedName>
    <definedName name="SL002ATitle" localSheetId="1">#REF!</definedName>
    <definedName name="SL002ATitle" localSheetId="25">#REF!</definedName>
    <definedName name="SL002ATitle" localSheetId="30">#REF!</definedName>
    <definedName name="SL002ATitle" localSheetId="4">#REF!</definedName>
    <definedName name="SL002ATitle" localSheetId="11">#REF!</definedName>
    <definedName name="SL002ATitle" localSheetId="24">#REF!</definedName>
    <definedName name="SL002ATitle">#REF!</definedName>
    <definedName name="SL002AYTD" localSheetId="29">#REF!</definedName>
    <definedName name="SL002AYTD" localSheetId="2">#REF!</definedName>
    <definedName name="SL002AYTD" localSheetId="28">#REF!</definedName>
    <definedName name="SL002AYTD" localSheetId="16">#REF!</definedName>
    <definedName name="SL002AYTD" localSheetId="22">#REF!</definedName>
    <definedName name="SL002AYTD" localSheetId="26">#REF!</definedName>
    <definedName name="SL002AYTD" localSheetId="20">#REF!</definedName>
    <definedName name="SL002AYTD" localSheetId="19">#REF!</definedName>
    <definedName name="SL002AYTD" localSheetId="18">#REF!</definedName>
    <definedName name="SL002AYTD" localSheetId="17">#REF!</definedName>
    <definedName name="SL002AYTD" localSheetId="27">#REF!</definedName>
    <definedName name="SL002AYTD" localSheetId="21">#REF!</definedName>
    <definedName name="SL002AYTD" localSheetId="15">#REF!</definedName>
    <definedName name="SL002AYTD" localSheetId="7">#REF!</definedName>
    <definedName name="SL002AYTD" localSheetId="8">#REF!</definedName>
    <definedName name="SL002AYTD" localSheetId="1">#REF!</definedName>
    <definedName name="SL002AYTD" localSheetId="25">#REF!</definedName>
    <definedName name="SL002AYTD" localSheetId="30">#REF!</definedName>
    <definedName name="SL002AYTD" localSheetId="4">#REF!</definedName>
    <definedName name="SL002AYTD" localSheetId="11">#REF!</definedName>
    <definedName name="SL002AYTD" localSheetId="24">#REF!</definedName>
    <definedName name="SL002AYTD">#REF!</definedName>
    <definedName name="SL002BMonth" localSheetId="29">#REF!</definedName>
    <definedName name="SL002BMonth" localSheetId="2">#REF!</definedName>
    <definedName name="SL002BMonth" localSheetId="28">#REF!</definedName>
    <definedName name="SL002BMonth" localSheetId="16">#REF!</definedName>
    <definedName name="SL002BMonth" localSheetId="22">#REF!</definedName>
    <definedName name="SL002BMonth" localSheetId="26">#REF!</definedName>
    <definedName name="SL002BMonth" localSheetId="20">#REF!</definedName>
    <definedName name="SL002BMonth" localSheetId="19">#REF!</definedName>
    <definedName name="SL002BMonth" localSheetId="18">#REF!</definedName>
    <definedName name="SL002BMonth" localSheetId="17">#REF!</definedName>
    <definedName name="SL002BMonth" localSheetId="27">#REF!</definedName>
    <definedName name="SL002BMonth" localSheetId="21">#REF!</definedName>
    <definedName name="SL002BMonth" localSheetId="15">#REF!</definedName>
    <definedName name="SL002BMonth" localSheetId="7">#REF!</definedName>
    <definedName name="SL002BMonth" localSheetId="8">#REF!</definedName>
    <definedName name="SL002BMonth" localSheetId="1">#REF!</definedName>
    <definedName name="SL002BMonth" localSheetId="25">#REF!</definedName>
    <definedName name="SL002BMonth" localSheetId="30">#REF!</definedName>
    <definedName name="SL002BMonth" localSheetId="4">#REF!</definedName>
    <definedName name="SL002BMonth" localSheetId="11">#REF!</definedName>
    <definedName name="SL002BMonth" localSheetId="24">#REF!</definedName>
    <definedName name="SL002BMonth">#REF!</definedName>
    <definedName name="SL002BText" localSheetId="29">#REF!</definedName>
    <definedName name="SL002BText" localSheetId="2">#REF!</definedName>
    <definedName name="SL002BText" localSheetId="28">#REF!</definedName>
    <definedName name="SL002BText" localSheetId="16">#REF!</definedName>
    <definedName name="SL002BText" localSheetId="22">#REF!</definedName>
    <definedName name="SL002BText" localSheetId="26">#REF!</definedName>
    <definedName name="SL002BText" localSheetId="20">#REF!</definedName>
    <definedName name="SL002BText" localSheetId="19">#REF!</definedName>
    <definedName name="SL002BText" localSheetId="18">#REF!</definedName>
    <definedName name="SL002BText" localSheetId="17">#REF!</definedName>
    <definedName name="SL002BText" localSheetId="27">#REF!</definedName>
    <definedName name="SL002BText" localSheetId="21">#REF!</definedName>
    <definedName name="SL002BText" localSheetId="15">#REF!</definedName>
    <definedName name="SL002BText" localSheetId="7">#REF!</definedName>
    <definedName name="SL002BText" localSheetId="8">#REF!</definedName>
    <definedName name="SL002BText" localSheetId="1">#REF!</definedName>
    <definedName name="SL002BText" localSheetId="25">#REF!</definedName>
    <definedName name="SL002BText" localSheetId="30">#REF!</definedName>
    <definedName name="SL002BText" localSheetId="4">#REF!</definedName>
    <definedName name="SL002BText" localSheetId="11">#REF!</definedName>
    <definedName name="SL002BText" localSheetId="24">#REF!</definedName>
    <definedName name="SL002BText">#REF!</definedName>
    <definedName name="SL002BTitle" localSheetId="29">#REF!</definedName>
    <definedName name="SL002BTitle" localSheetId="2">#REF!</definedName>
    <definedName name="SL002BTitle" localSheetId="28">#REF!</definedName>
    <definedName name="SL002BTitle" localSheetId="16">#REF!</definedName>
    <definedName name="SL002BTitle" localSheetId="22">#REF!</definedName>
    <definedName name="SL002BTitle" localSheetId="26">#REF!</definedName>
    <definedName name="SL002BTitle" localSheetId="20">#REF!</definedName>
    <definedName name="SL002BTitle" localSheetId="19">#REF!</definedName>
    <definedName name="SL002BTitle" localSheetId="18">#REF!</definedName>
    <definedName name="SL002BTitle" localSheetId="17">#REF!</definedName>
    <definedName name="SL002BTitle" localSheetId="27">#REF!</definedName>
    <definedName name="SL002BTitle" localSheetId="21">#REF!</definedName>
    <definedName name="SL002BTitle" localSheetId="15">#REF!</definedName>
    <definedName name="SL002BTitle" localSheetId="7">#REF!</definedName>
    <definedName name="SL002BTitle" localSheetId="8">#REF!</definedName>
    <definedName name="SL002BTitle" localSheetId="1">#REF!</definedName>
    <definedName name="SL002BTitle" localSheetId="25">#REF!</definedName>
    <definedName name="SL002BTitle" localSheetId="30">#REF!</definedName>
    <definedName name="SL002BTitle" localSheetId="4">#REF!</definedName>
    <definedName name="SL002BTitle" localSheetId="11">#REF!</definedName>
    <definedName name="SL002BTitle" localSheetId="24">#REF!</definedName>
    <definedName name="SL002BTitle">#REF!</definedName>
    <definedName name="SL002BYTD" localSheetId="29">#REF!</definedName>
    <definedName name="SL002BYTD" localSheetId="2">#REF!</definedName>
    <definedName name="SL002BYTD" localSheetId="28">#REF!</definedName>
    <definedName name="SL002BYTD" localSheetId="16">#REF!</definedName>
    <definedName name="SL002BYTD" localSheetId="22">#REF!</definedName>
    <definedName name="SL002BYTD" localSheetId="26">#REF!</definedName>
    <definedName name="SL002BYTD" localSheetId="20">#REF!</definedName>
    <definedName name="SL002BYTD" localSheetId="19">#REF!</definedName>
    <definedName name="SL002BYTD" localSheetId="18">#REF!</definedName>
    <definedName name="SL002BYTD" localSheetId="17">#REF!</definedName>
    <definedName name="SL002BYTD" localSheetId="27">#REF!</definedName>
    <definedName name="SL002BYTD" localSheetId="21">#REF!</definedName>
    <definedName name="SL002BYTD" localSheetId="15">#REF!</definedName>
    <definedName name="SL002BYTD" localSheetId="7">#REF!</definedName>
    <definedName name="SL002BYTD" localSheetId="8">#REF!</definedName>
    <definedName name="SL002BYTD" localSheetId="1">#REF!</definedName>
    <definedName name="SL002BYTD" localSheetId="25">#REF!</definedName>
    <definedName name="SL002BYTD" localSheetId="30">#REF!</definedName>
    <definedName name="SL002BYTD" localSheetId="4">#REF!</definedName>
    <definedName name="SL002BYTD" localSheetId="11">#REF!</definedName>
    <definedName name="SL002BYTD" localSheetId="24">#REF!</definedName>
    <definedName name="SL002BYTD">#REF!</definedName>
    <definedName name="SL002Month" localSheetId="29">#REF!</definedName>
    <definedName name="SL002Month" localSheetId="2">#REF!</definedName>
    <definedName name="SL002Month" localSheetId="28">#REF!</definedName>
    <definedName name="SL002Month" localSheetId="16">#REF!</definedName>
    <definedName name="SL002Month" localSheetId="22">#REF!</definedName>
    <definedName name="SL002Month" localSheetId="26">#REF!</definedName>
    <definedName name="SL002Month" localSheetId="20">#REF!</definedName>
    <definedName name="SL002Month" localSheetId="19">#REF!</definedName>
    <definedName name="SL002Month" localSheetId="18">#REF!</definedName>
    <definedName name="SL002Month" localSheetId="17">#REF!</definedName>
    <definedName name="SL002Month" localSheetId="27">#REF!</definedName>
    <definedName name="SL002Month" localSheetId="21">#REF!</definedName>
    <definedName name="SL002Month" localSheetId="15">#REF!</definedName>
    <definedName name="SL002Month" localSheetId="7">#REF!</definedName>
    <definedName name="SL002Month" localSheetId="8">#REF!</definedName>
    <definedName name="SL002Month" localSheetId="1">#REF!</definedName>
    <definedName name="SL002Month" localSheetId="25">#REF!</definedName>
    <definedName name="SL002Month" localSheetId="30">#REF!</definedName>
    <definedName name="SL002Month" localSheetId="4">#REF!</definedName>
    <definedName name="SL002Month" localSheetId="11">#REF!</definedName>
    <definedName name="SL002Month" localSheetId="24">#REF!</definedName>
    <definedName name="SL002Month">#REF!</definedName>
    <definedName name="SL002Text" localSheetId="29">#REF!</definedName>
    <definedName name="SL002Text" localSheetId="2">#REF!</definedName>
    <definedName name="SL002Text" localSheetId="28">#REF!</definedName>
    <definedName name="SL002Text" localSheetId="16">#REF!</definedName>
    <definedName name="SL002Text" localSheetId="22">#REF!</definedName>
    <definedName name="SL002Text" localSheetId="26">#REF!</definedName>
    <definedName name="SL002Text" localSheetId="20">#REF!</definedName>
    <definedName name="SL002Text" localSheetId="19">#REF!</definedName>
    <definedName name="SL002Text" localSheetId="18">#REF!</definedName>
    <definedName name="SL002Text" localSheetId="17">#REF!</definedName>
    <definedName name="SL002Text" localSheetId="27">#REF!</definedName>
    <definedName name="SL002Text" localSheetId="21">#REF!</definedName>
    <definedName name="SL002Text" localSheetId="15">#REF!</definedName>
    <definedName name="SL002Text" localSheetId="7">#REF!</definedName>
    <definedName name="SL002Text" localSheetId="8">#REF!</definedName>
    <definedName name="SL002Text" localSheetId="1">#REF!</definedName>
    <definedName name="SL002Text" localSheetId="25">#REF!</definedName>
    <definedName name="SL002Text" localSheetId="30">#REF!</definedName>
    <definedName name="SL002Text" localSheetId="4">#REF!</definedName>
    <definedName name="SL002Text" localSheetId="11">#REF!</definedName>
    <definedName name="SL002Text" localSheetId="24">#REF!</definedName>
    <definedName name="SL002Text">#REF!</definedName>
    <definedName name="SL002Title" localSheetId="29">#REF!</definedName>
    <definedName name="SL002Title" localSheetId="2">#REF!</definedName>
    <definedName name="SL002Title" localSheetId="28">#REF!</definedName>
    <definedName name="SL002Title" localSheetId="16">#REF!</definedName>
    <definedName name="SL002Title" localSheetId="22">#REF!</definedName>
    <definedName name="SL002Title" localSheetId="26">#REF!</definedName>
    <definedName name="SL002Title" localSheetId="20">#REF!</definedName>
    <definedName name="SL002Title" localSheetId="19">#REF!</definedName>
    <definedName name="SL002Title" localSheetId="18">#REF!</definedName>
    <definedName name="SL002Title" localSheetId="17">#REF!</definedName>
    <definedName name="SL002Title" localSheetId="27">#REF!</definedName>
    <definedName name="SL002Title" localSheetId="21">#REF!</definedName>
    <definedName name="SL002Title" localSheetId="15">#REF!</definedName>
    <definedName name="SL002Title" localSheetId="7">#REF!</definedName>
    <definedName name="SL002Title" localSheetId="8">#REF!</definedName>
    <definedName name="SL002Title" localSheetId="1">#REF!</definedName>
    <definedName name="SL002Title" localSheetId="25">#REF!</definedName>
    <definedName name="SL002Title" localSheetId="30">#REF!</definedName>
    <definedName name="SL002Title" localSheetId="4">#REF!</definedName>
    <definedName name="SL002Title" localSheetId="11">#REF!</definedName>
    <definedName name="SL002Title" localSheetId="24">#REF!</definedName>
    <definedName name="SL002Title">#REF!</definedName>
    <definedName name="SL002YTD" localSheetId="29">#REF!</definedName>
    <definedName name="SL002YTD" localSheetId="2">#REF!</definedName>
    <definedName name="SL002YTD" localSheetId="28">#REF!</definedName>
    <definedName name="SL002YTD" localSheetId="16">#REF!</definedName>
    <definedName name="SL002YTD" localSheetId="22">#REF!</definedName>
    <definedName name="SL002YTD" localSheetId="26">#REF!</definedName>
    <definedName name="SL002YTD" localSheetId="20">#REF!</definedName>
    <definedName name="SL002YTD" localSheetId="19">#REF!</definedName>
    <definedName name="SL002YTD" localSheetId="18">#REF!</definedName>
    <definedName name="SL002YTD" localSheetId="17">#REF!</definedName>
    <definedName name="SL002YTD" localSheetId="27">#REF!</definedName>
    <definedName name="SL002YTD" localSheetId="21">#REF!</definedName>
    <definedName name="SL002YTD" localSheetId="15">#REF!</definedName>
    <definedName name="SL002YTD" localSheetId="7">#REF!</definedName>
    <definedName name="SL002YTD" localSheetId="8">#REF!</definedName>
    <definedName name="SL002YTD" localSheetId="1">#REF!</definedName>
    <definedName name="SL002YTD" localSheetId="25">#REF!</definedName>
    <definedName name="SL002YTD" localSheetId="30">#REF!</definedName>
    <definedName name="SL002YTD" localSheetId="4">#REF!</definedName>
    <definedName name="SL002YTD" localSheetId="11">#REF!</definedName>
    <definedName name="SL002YTD" localSheetId="24">#REF!</definedName>
    <definedName name="SL002YTD">#REF!</definedName>
    <definedName name="SL003Month" localSheetId="29">#REF!</definedName>
    <definedName name="SL003Month" localSheetId="2">#REF!</definedName>
    <definedName name="SL003Month" localSheetId="28">#REF!</definedName>
    <definedName name="SL003Month" localSheetId="16">#REF!</definedName>
    <definedName name="SL003Month" localSheetId="22">#REF!</definedName>
    <definedName name="SL003Month" localSheetId="26">#REF!</definedName>
    <definedName name="SL003Month" localSheetId="20">#REF!</definedName>
    <definedName name="SL003Month" localSheetId="19">#REF!</definedName>
    <definedName name="SL003Month" localSheetId="18">#REF!</definedName>
    <definedName name="SL003Month" localSheetId="17">#REF!</definedName>
    <definedName name="SL003Month" localSheetId="27">#REF!</definedName>
    <definedName name="SL003Month" localSheetId="21">#REF!</definedName>
    <definedName name="SL003Month" localSheetId="15">#REF!</definedName>
    <definedName name="SL003Month" localSheetId="7">#REF!</definedName>
    <definedName name="SL003Month" localSheetId="8">#REF!</definedName>
    <definedName name="SL003Month" localSheetId="1">#REF!</definedName>
    <definedName name="SL003Month" localSheetId="25">#REF!</definedName>
    <definedName name="SL003Month" localSheetId="30">#REF!</definedName>
    <definedName name="SL003Month" localSheetId="4">#REF!</definedName>
    <definedName name="SL003Month" localSheetId="11">#REF!</definedName>
    <definedName name="SL003Month" localSheetId="24">#REF!</definedName>
    <definedName name="SL003Month">#REF!</definedName>
    <definedName name="SL003Text" localSheetId="29">#REF!</definedName>
    <definedName name="SL003Text" localSheetId="2">#REF!</definedName>
    <definedName name="SL003Text" localSheetId="28">#REF!</definedName>
    <definedName name="SL003Text" localSheetId="16">#REF!</definedName>
    <definedName name="SL003Text" localSheetId="22">#REF!</definedName>
    <definedName name="SL003Text" localSheetId="26">#REF!</definedName>
    <definedName name="SL003Text" localSheetId="20">#REF!</definedName>
    <definedName name="SL003Text" localSheetId="19">#REF!</definedName>
    <definedName name="SL003Text" localSheetId="18">#REF!</definedName>
    <definedName name="SL003Text" localSheetId="17">#REF!</definedName>
    <definedName name="SL003Text" localSheetId="27">#REF!</definedName>
    <definedName name="SL003Text" localSheetId="21">#REF!</definedName>
    <definedName name="SL003Text" localSheetId="15">#REF!</definedName>
    <definedName name="SL003Text" localSheetId="7">#REF!</definedName>
    <definedName name="SL003Text" localSheetId="8">#REF!</definedName>
    <definedName name="SL003Text" localSheetId="1">#REF!</definedName>
    <definedName name="SL003Text" localSheetId="25">#REF!</definedName>
    <definedName name="SL003Text" localSheetId="30">#REF!</definedName>
    <definedName name="SL003Text" localSheetId="4">#REF!</definedName>
    <definedName name="SL003Text" localSheetId="11">#REF!</definedName>
    <definedName name="SL003Text" localSheetId="24">#REF!</definedName>
    <definedName name="SL003Text">#REF!</definedName>
    <definedName name="SL003Title" localSheetId="29">#REF!</definedName>
    <definedName name="SL003Title" localSheetId="2">#REF!</definedName>
    <definedName name="SL003Title" localSheetId="28">#REF!</definedName>
    <definedName name="SL003Title" localSheetId="16">#REF!</definedName>
    <definedName name="SL003Title" localSheetId="22">#REF!</definedName>
    <definedName name="SL003Title" localSheetId="26">#REF!</definedName>
    <definedName name="SL003Title" localSheetId="20">#REF!</definedName>
    <definedName name="SL003Title" localSheetId="19">#REF!</definedName>
    <definedName name="SL003Title" localSheetId="18">#REF!</definedName>
    <definedName name="SL003Title" localSheetId="17">#REF!</definedName>
    <definedName name="SL003Title" localSheetId="27">#REF!</definedName>
    <definedName name="SL003Title" localSheetId="21">#REF!</definedName>
    <definedName name="SL003Title" localSheetId="15">#REF!</definedName>
    <definedName name="SL003Title" localSheetId="7">#REF!</definedName>
    <definedName name="SL003Title" localSheetId="8">#REF!</definedName>
    <definedName name="SL003Title" localSheetId="1">#REF!</definedName>
    <definedName name="SL003Title" localSheetId="25">#REF!</definedName>
    <definedName name="SL003Title" localSheetId="30">#REF!</definedName>
    <definedName name="SL003Title" localSheetId="4">#REF!</definedName>
    <definedName name="SL003Title" localSheetId="11">#REF!</definedName>
    <definedName name="SL003Title" localSheetId="24">#REF!</definedName>
    <definedName name="SL003Title">#REF!</definedName>
    <definedName name="SL003YTD" localSheetId="29">#REF!</definedName>
    <definedName name="SL003YTD" localSheetId="2">#REF!</definedName>
    <definedName name="SL003YTD" localSheetId="28">#REF!</definedName>
    <definedName name="SL003YTD" localSheetId="16">#REF!</definedName>
    <definedName name="SL003YTD" localSheetId="22">#REF!</definedName>
    <definedName name="SL003YTD" localSheetId="26">#REF!</definedName>
    <definedName name="SL003YTD" localSheetId="20">#REF!</definedName>
    <definedName name="SL003YTD" localSheetId="19">#REF!</definedName>
    <definedName name="SL003YTD" localSheetId="18">#REF!</definedName>
    <definedName name="SL003YTD" localSheetId="17">#REF!</definedName>
    <definedName name="SL003YTD" localSheetId="27">#REF!</definedName>
    <definedName name="SL003YTD" localSheetId="21">#REF!</definedName>
    <definedName name="SL003YTD" localSheetId="15">#REF!</definedName>
    <definedName name="SL003YTD" localSheetId="7">#REF!</definedName>
    <definedName name="SL003YTD" localSheetId="8">#REF!</definedName>
    <definedName name="SL003YTD" localSheetId="1">#REF!</definedName>
    <definedName name="SL003YTD" localSheetId="25">#REF!</definedName>
    <definedName name="SL003YTD" localSheetId="30">#REF!</definedName>
    <definedName name="SL003YTD" localSheetId="4">#REF!</definedName>
    <definedName name="SL003YTD" localSheetId="11">#REF!</definedName>
    <definedName name="SL003YTD" localSheetId="24">#REF!</definedName>
    <definedName name="SL003YTD">#REF!</definedName>
    <definedName name="SL004Month" localSheetId="29">#REF!</definedName>
    <definedName name="SL004Month" localSheetId="2">#REF!</definedName>
    <definedName name="SL004Month" localSheetId="28">#REF!</definedName>
    <definedName name="SL004Month" localSheetId="16">#REF!</definedName>
    <definedName name="SL004Month" localSheetId="22">#REF!</definedName>
    <definedName name="SL004Month" localSheetId="26">#REF!</definedName>
    <definedName name="SL004Month" localSheetId="20">#REF!</definedName>
    <definedName name="SL004Month" localSheetId="19">#REF!</definedName>
    <definedName name="SL004Month" localSheetId="18">#REF!</definedName>
    <definedName name="SL004Month" localSheetId="17">#REF!</definedName>
    <definedName name="SL004Month" localSheetId="27">#REF!</definedName>
    <definedName name="SL004Month" localSheetId="21">#REF!</definedName>
    <definedName name="SL004Month" localSheetId="15">#REF!</definedName>
    <definedName name="SL004Month" localSheetId="7">#REF!</definedName>
    <definedName name="SL004Month" localSheetId="8">#REF!</definedName>
    <definedName name="SL004Month" localSheetId="1">#REF!</definedName>
    <definedName name="SL004Month" localSheetId="25">#REF!</definedName>
    <definedName name="SL004Month" localSheetId="30">#REF!</definedName>
    <definedName name="SL004Month" localSheetId="4">#REF!</definedName>
    <definedName name="SL004Month" localSheetId="11">#REF!</definedName>
    <definedName name="SL004Month" localSheetId="24">#REF!</definedName>
    <definedName name="SL004Month">#REF!</definedName>
    <definedName name="SL004Text" localSheetId="29">#REF!</definedName>
    <definedName name="SL004Text" localSheetId="2">#REF!</definedName>
    <definedName name="SL004Text" localSheetId="28">#REF!</definedName>
    <definedName name="SL004Text" localSheetId="16">#REF!</definedName>
    <definedName name="SL004Text" localSheetId="22">#REF!</definedName>
    <definedName name="SL004Text" localSheetId="26">#REF!</definedName>
    <definedName name="SL004Text" localSheetId="20">#REF!</definedName>
    <definedName name="SL004Text" localSheetId="19">#REF!</definedName>
    <definedName name="SL004Text" localSheetId="18">#REF!</definedName>
    <definedName name="SL004Text" localSheetId="17">#REF!</definedName>
    <definedName name="SL004Text" localSheetId="27">#REF!</definedName>
    <definedName name="SL004Text" localSheetId="21">#REF!</definedName>
    <definedName name="SL004Text" localSheetId="15">#REF!</definedName>
    <definedName name="SL004Text" localSheetId="7">#REF!</definedName>
    <definedName name="SL004Text" localSheetId="8">#REF!</definedName>
    <definedName name="SL004Text" localSheetId="1">#REF!</definedName>
    <definedName name="SL004Text" localSheetId="25">#REF!</definedName>
    <definedName name="SL004Text" localSheetId="30">#REF!</definedName>
    <definedName name="SL004Text" localSheetId="4">#REF!</definedName>
    <definedName name="SL004Text" localSheetId="11">#REF!</definedName>
    <definedName name="SL004Text" localSheetId="24">#REF!</definedName>
    <definedName name="SL004Text">#REF!</definedName>
    <definedName name="SL004Title" localSheetId="29">#REF!</definedName>
    <definedName name="SL004Title" localSheetId="2">#REF!</definedName>
    <definedName name="SL004Title" localSheetId="28">#REF!</definedName>
    <definedName name="SL004Title" localSheetId="16">#REF!</definedName>
    <definedName name="SL004Title" localSheetId="22">#REF!</definedName>
    <definedName name="SL004Title" localSheetId="26">#REF!</definedName>
    <definedName name="SL004Title" localSheetId="20">#REF!</definedName>
    <definedName name="SL004Title" localSheetId="19">#REF!</definedName>
    <definedName name="SL004Title" localSheetId="18">#REF!</definedName>
    <definedName name="SL004Title" localSheetId="17">#REF!</definedName>
    <definedName name="SL004Title" localSheetId="27">#REF!</definedName>
    <definedName name="SL004Title" localSheetId="21">#REF!</definedName>
    <definedName name="SL004Title" localSheetId="15">#REF!</definedName>
    <definedName name="SL004Title" localSheetId="7">#REF!</definedName>
    <definedName name="SL004Title" localSheetId="8">#REF!</definedName>
    <definedName name="SL004Title" localSheetId="1">#REF!</definedName>
    <definedName name="SL004Title" localSheetId="25">#REF!</definedName>
    <definedName name="SL004Title" localSheetId="30">#REF!</definedName>
    <definedName name="SL004Title" localSheetId="4">#REF!</definedName>
    <definedName name="SL004Title" localSheetId="11">#REF!</definedName>
    <definedName name="SL004Title" localSheetId="24">#REF!</definedName>
    <definedName name="SL004Title">#REF!</definedName>
    <definedName name="SL004YTD" localSheetId="29">#REF!</definedName>
    <definedName name="SL004YTD" localSheetId="2">#REF!</definedName>
    <definedName name="SL004YTD" localSheetId="28">#REF!</definedName>
    <definedName name="SL004YTD" localSheetId="16">#REF!</definedName>
    <definedName name="SL004YTD" localSheetId="22">#REF!</definedName>
    <definedName name="SL004YTD" localSheetId="26">#REF!</definedName>
    <definedName name="SL004YTD" localSheetId="20">#REF!</definedName>
    <definedName name="SL004YTD" localSheetId="19">#REF!</definedName>
    <definedName name="SL004YTD" localSheetId="18">#REF!</definedName>
    <definedName name="SL004YTD" localSheetId="17">#REF!</definedName>
    <definedName name="SL004YTD" localSheetId="27">#REF!</definedName>
    <definedName name="SL004YTD" localSheetId="21">#REF!</definedName>
    <definedName name="SL004YTD" localSheetId="15">#REF!</definedName>
    <definedName name="SL004YTD" localSheetId="7">#REF!</definedName>
    <definedName name="SL004YTD" localSheetId="8">#REF!</definedName>
    <definedName name="SL004YTD" localSheetId="1">#REF!</definedName>
    <definedName name="SL004YTD" localSheetId="25">#REF!</definedName>
    <definedName name="SL004YTD" localSheetId="30">#REF!</definedName>
    <definedName name="SL004YTD" localSheetId="4">#REF!</definedName>
    <definedName name="SL004YTD" localSheetId="11">#REF!</definedName>
    <definedName name="SL004YTD" localSheetId="24">#REF!</definedName>
    <definedName name="SL004YTD">#REF!</definedName>
    <definedName name="SL005Month" localSheetId="29">#REF!</definedName>
    <definedName name="SL005Month" localSheetId="2">#REF!</definedName>
    <definedName name="SL005Month" localSheetId="28">#REF!</definedName>
    <definedName name="SL005Month" localSheetId="16">#REF!</definedName>
    <definedName name="SL005Month" localSheetId="22">#REF!</definedName>
    <definedName name="SL005Month" localSheetId="26">#REF!</definedName>
    <definedName name="SL005Month" localSheetId="20">#REF!</definedName>
    <definedName name="SL005Month" localSheetId="19">#REF!</definedName>
    <definedName name="SL005Month" localSheetId="18">#REF!</definedName>
    <definedName name="SL005Month" localSheetId="17">#REF!</definedName>
    <definedName name="SL005Month" localSheetId="27">#REF!</definedName>
    <definedName name="SL005Month" localSheetId="21">#REF!</definedName>
    <definedName name="SL005Month" localSheetId="15">#REF!</definedName>
    <definedName name="SL005Month" localSheetId="7">#REF!</definedName>
    <definedName name="SL005Month" localSheetId="8">#REF!</definedName>
    <definedName name="SL005Month" localSheetId="1">#REF!</definedName>
    <definedName name="SL005Month" localSheetId="25">#REF!</definedName>
    <definedName name="SL005Month" localSheetId="30">#REF!</definedName>
    <definedName name="SL005Month" localSheetId="4">#REF!</definedName>
    <definedName name="SL005Month" localSheetId="11">#REF!</definedName>
    <definedName name="SL005Month" localSheetId="24">#REF!</definedName>
    <definedName name="SL005Month">#REF!</definedName>
    <definedName name="SL005Text" localSheetId="29">#REF!</definedName>
    <definedName name="SL005Text" localSheetId="2">#REF!</definedName>
    <definedName name="SL005Text" localSheetId="28">#REF!</definedName>
    <definedName name="SL005Text" localSheetId="16">#REF!</definedName>
    <definedName name="SL005Text" localSheetId="22">#REF!</definedName>
    <definedName name="SL005Text" localSheetId="26">#REF!</definedName>
    <definedName name="SL005Text" localSheetId="20">#REF!</definedName>
    <definedName name="SL005Text" localSheetId="19">#REF!</definedName>
    <definedName name="SL005Text" localSheetId="18">#REF!</definedName>
    <definedName name="SL005Text" localSheetId="17">#REF!</definedName>
    <definedName name="SL005Text" localSheetId="27">#REF!</definedName>
    <definedName name="SL005Text" localSheetId="21">#REF!</definedName>
    <definedName name="SL005Text" localSheetId="15">#REF!</definedName>
    <definedName name="SL005Text" localSheetId="7">#REF!</definedName>
    <definedName name="SL005Text" localSheetId="8">#REF!</definedName>
    <definedName name="SL005Text" localSheetId="1">#REF!</definedName>
    <definedName name="SL005Text" localSheetId="25">#REF!</definedName>
    <definedName name="SL005Text" localSheetId="30">#REF!</definedName>
    <definedName name="SL005Text" localSheetId="4">#REF!</definedName>
    <definedName name="SL005Text" localSheetId="11">#REF!</definedName>
    <definedName name="SL005Text" localSheetId="24">#REF!</definedName>
    <definedName name="SL005Text">#REF!</definedName>
    <definedName name="SL005Title" localSheetId="29">#REF!</definedName>
    <definedName name="SL005Title" localSheetId="2">#REF!</definedName>
    <definedName name="SL005Title" localSheetId="28">#REF!</definedName>
    <definedName name="SL005Title" localSheetId="16">#REF!</definedName>
    <definedName name="SL005Title" localSheetId="22">#REF!</definedName>
    <definedName name="SL005Title" localSheetId="26">#REF!</definedName>
    <definedName name="SL005Title" localSheetId="20">#REF!</definedName>
    <definedName name="SL005Title" localSheetId="19">#REF!</definedName>
    <definedName name="SL005Title" localSheetId="18">#REF!</definedName>
    <definedName name="SL005Title" localSheetId="17">#REF!</definedName>
    <definedName name="SL005Title" localSheetId="27">#REF!</definedName>
    <definedName name="SL005Title" localSheetId="21">#REF!</definedName>
    <definedName name="SL005Title" localSheetId="15">#REF!</definedName>
    <definedName name="SL005Title" localSheetId="7">#REF!</definedName>
    <definedName name="SL005Title" localSheetId="8">#REF!</definedName>
    <definedName name="SL005Title" localSheetId="1">#REF!</definedName>
    <definedName name="SL005Title" localSheetId="25">#REF!</definedName>
    <definedName name="SL005Title" localSheetId="30">#REF!</definedName>
    <definedName name="SL005Title" localSheetId="4">#REF!</definedName>
    <definedName name="SL005Title" localSheetId="11">#REF!</definedName>
    <definedName name="SL005Title" localSheetId="24">#REF!</definedName>
    <definedName name="SL005Title">#REF!</definedName>
    <definedName name="SL005YTD" localSheetId="29">#REF!</definedName>
    <definedName name="SL005YTD" localSheetId="2">#REF!</definedName>
    <definedName name="SL005YTD" localSheetId="28">#REF!</definedName>
    <definedName name="SL005YTD" localSheetId="16">#REF!</definedName>
    <definedName name="SL005YTD" localSheetId="22">#REF!</definedName>
    <definedName name="SL005YTD" localSheetId="26">#REF!</definedName>
    <definedName name="SL005YTD" localSheetId="20">#REF!</definedName>
    <definedName name="SL005YTD" localSheetId="19">#REF!</definedName>
    <definedName name="SL005YTD" localSheetId="18">#REF!</definedName>
    <definedName name="SL005YTD" localSheetId="17">#REF!</definedName>
    <definedName name="SL005YTD" localSheetId="27">#REF!</definedName>
    <definedName name="SL005YTD" localSheetId="21">#REF!</definedName>
    <definedName name="SL005YTD" localSheetId="15">#REF!</definedName>
    <definedName name="SL005YTD" localSheetId="7">#REF!</definedName>
    <definedName name="SL005YTD" localSheetId="8">#REF!</definedName>
    <definedName name="SL005YTD" localSheetId="1">#REF!</definedName>
    <definedName name="SL005YTD" localSheetId="25">#REF!</definedName>
    <definedName name="SL005YTD" localSheetId="30">#REF!</definedName>
    <definedName name="SL005YTD" localSheetId="4">#REF!</definedName>
    <definedName name="SL005YTD" localSheetId="11">#REF!</definedName>
    <definedName name="SL005YTD" localSheetId="24">#REF!</definedName>
    <definedName name="SL005YTD">#REF!</definedName>
    <definedName name="SL006Month" localSheetId="29">#REF!</definedName>
    <definedName name="SL006Month" localSheetId="2">#REF!</definedName>
    <definedName name="SL006Month" localSheetId="28">#REF!</definedName>
    <definedName name="SL006Month" localSheetId="16">#REF!</definedName>
    <definedName name="SL006Month" localSheetId="22">#REF!</definedName>
    <definedName name="SL006Month" localSheetId="26">#REF!</definedName>
    <definedName name="SL006Month" localSheetId="20">#REF!</definedName>
    <definedName name="SL006Month" localSheetId="19">#REF!</definedName>
    <definedName name="SL006Month" localSheetId="18">#REF!</definedName>
    <definedName name="SL006Month" localSheetId="17">#REF!</definedName>
    <definedName name="SL006Month" localSheetId="27">#REF!</definedName>
    <definedName name="SL006Month" localSheetId="21">#REF!</definedName>
    <definedName name="SL006Month" localSheetId="15">#REF!</definedName>
    <definedName name="SL006Month" localSheetId="7">#REF!</definedName>
    <definedName name="SL006Month" localSheetId="8">#REF!</definedName>
    <definedName name="SL006Month" localSheetId="1">#REF!</definedName>
    <definedName name="SL006Month" localSheetId="25">#REF!</definedName>
    <definedName name="SL006Month" localSheetId="30">#REF!</definedName>
    <definedName name="SL006Month" localSheetId="4">#REF!</definedName>
    <definedName name="SL006Month" localSheetId="11">#REF!</definedName>
    <definedName name="SL006Month" localSheetId="24">#REF!</definedName>
    <definedName name="SL006Month">#REF!</definedName>
    <definedName name="SL006Text" localSheetId="29">#REF!</definedName>
    <definedName name="SL006Text" localSheetId="2">#REF!</definedName>
    <definedName name="SL006Text" localSheetId="28">#REF!</definedName>
    <definedName name="SL006Text" localSheetId="16">#REF!</definedName>
    <definedName name="SL006Text" localSheetId="22">#REF!</definedName>
    <definedName name="SL006Text" localSheetId="26">#REF!</definedName>
    <definedName name="SL006Text" localSheetId="20">#REF!</definedName>
    <definedName name="SL006Text" localSheetId="19">#REF!</definedName>
    <definedName name="SL006Text" localSheetId="18">#REF!</definedName>
    <definedName name="SL006Text" localSheetId="17">#REF!</definedName>
    <definedName name="SL006Text" localSheetId="27">#REF!</definedName>
    <definedName name="SL006Text" localSheetId="21">#REF!</definedName>
    <definedName name="SL006Text" localSheetId="15">#REF!</definedName>
    <definedName name="SL006Text" localSheetId="7">#REF!</definedName>
    <definedName name="SL006Text" localSheetId="8">#REF!</definedName>
    <definedName name="SL006Text" localSheetId="1">#REF!</definedName>
    <definedName name="SL006Text" localSheetId="25">#REF!</definedName>
    <definedName name="SL006Text" localSheetId="30">#REF!</definedName>
    <definedName name="SL006Text" localSheetId="4">#REF!</definedName>
    <definedName name="SL006Text" localSheetId="11">#REF!</definedName>
    <definedName name="SL006Text" localSheetId="24">#REF!</definedName>
    <definedName name="SL006Text">#REF!</definedName>
    <definedName name="SL006Title" localSheetId="29">#REF!</definedName>
    <definedName name="SL006Title" localSheetId="2">#REF!</definedName>
    <definedName name="SL006Title" localSheetId="28">#REF!</definedName>
    <definedName name="SL006Title" localSheetId="16">#REF!</definedName>
    <definedName name="SL006Title" localSheetId="22">#REF!</definedName>
    <definedName name="SL006Title" localSheetId="26">#REF!</definedName>
    <definedName name="SL006Title" localSheetId="20">#REF!</definedName>
    <definedName name="SL006Title" localSheetId="19">#REF!</definedName>
    <definedName name="SL006Title" localSheetId="18">#REF!</definedName>
    <definedName name="SL006Title" localSheetId="17">#REF!</definedName>
    <definedName name="SL006Title" localSheetId="27">#REF!</definedName>
    <definedName name="SL006Title" localSheetId="21">#REF!</definedName>
    <definedName name="SL006Title" localSheetId="15">#REF!</definedName>
    <definedName name="SL006Title" localSheetId="7">#REF!</definedName>
    <definedName name="SL006Title" localSheetId="8">#REF!</definedName>
    <definedName name="SL006Title" localSheetId="1">#REF!</definedName>
    <definedName name="SL006Title" localSheetId="25">#REF!</definedName>
    <definedName name="SL006Title" localSheetId="30">#REF!</definedName>
    <definedName name="SL006Title" localSheetId="4">#REF!</definedName>
    <definedName name="SL006Title" localSheetId="11">#REF!</definedName>
    <definedName name="SL006Title" localSheetId="24">#REF!</definedName>
    <definedName name="SL006Title">#REF!</definedName>
    <definedName name="SL006YTD" localSheetId="29">#REF!</definedName>
    <definedName name="SL006YTD" localSheetId="2">#REF!</definedName>
    <definedName name="SL006YTD" localSheetId="28">#REF!</definedName>
    <definedName name="SL006YTD" localSheetId="16">#REF!</definedName>
    <definedName name="SL006YTD" localSheetId="22">#REF!</definedName>
    <definedName name="SL006YTD" localSheetId="26">#REF!</definedName>
    <definedName name="SL006YTD" localSheetId="20">#REF!</definedName>
    <definedName name="SL006YTD" localSheetId="19">#REF!</definedName>
    <definedName name="SL006YTD" localSheetId="18">#REF!</definedName>
    <definedName name="SL006YTD" localSheetId="17">#REF!</definedName>
    <definedName name="SL006YTD" localSheetId="27">#REF!</definedName>
    <definedName name="SL006YTD" localSheetId="21">#REF!</definedName>
    <definedName name="SL006YTD" localSheetId="15">#REF!</definedName>
    <definedName name="SL006YTD" localSheetId="7">#REF!</definedName>
    <definedName name="SL006YTD" localSheetId="8">#REF!</definedName>
    <definedName name="SL006YTD" localSheetId="1">#REF!</definedName>
    <definedName name="SL006YTD" localSheetId="25">#REF!</definedName>
    <definedName name="SL006YTD" localSheetId="30">#REF!</definedName>
    <definedName name="SL006YTD" localSheetId="4">#REF!</definedName>
    <definedName name="SL006YTD" localSheetId="11">#REF!</definedName>
    <definedName name="SL006YTD" localSheetId="24">#REF!</definedName>
    <definedName name="SL006YTD">#REF!</definedName>
    <definedName name="SL007Month" localSheetId="29">#REF!</definedName>
    <definedName name="SL007Month" localSheetId="2">#REF!</definedName>
    <definedName name="SL007Month" localSheetId="28">#REF!</definedName>
    <definedName name="SL007Month" localSheetId="16">#REF!</definedName>
    <definedName name="SL007Month" localSheetId="22">#REF!</definedName>
    <definedName name="SL007Month" localSheetId="26">#REF!</definedName>
    <definedName name="SL007Month" localSheetId="20">#REF!</definedName>
    <definedName name="SL007Month" localSheetId="19">#REF!</definedName>
    <definedName name="SL007Month" localSheetId="18">#REF!</definedName>
    <definedName name="SL007Month" localSheetId="17">#REF!</definedName>
    <definedName name="SL007Month" localSheetId="27">#REF!</definedName>
    <definedName name="SL007Month" localSheetId="21">#REF!</definedName>
    <definedName name="SL007Month" localSheetId="15">#REF!</definedName>
    <definedName name="SL007Month" localSheetId="7">#REF!</definedName>
    <definedName name="SL007Month" localSheetId="8">#REF!</definedName>
    <definedName name="SL007Month" localSheetId="1">#REF!</definedName>
    <definedName name="SL007Month" localSheetId="25">#REF!</definedName>
    <definedName name="SL007Month" localSheetId="30">#REF!</definedName>
    <definedName name="SL007Month" localSheetId="4">#REF!</definedName>
    <definedName name="SL007Month" localSheetId="11">#REF!</definedName>
    <definedName name="SL007Month" localSheetId="24">#REF!</definedName>
    <definedName name="SL007Month">#REF!</definedName>
    <definedName name="SL007Text" localSheetId="29">#REF!</definedName>
    <definedName name="SL007Text" localSheetId="2">#REF!</definedName>
    <definedName name="SL007Text" localSheetId="28">#REF!</definedName>
    <definedName name="SL007Text" localSheetId="16">#REF!</definedName>
    <definedName name="SL007Text" localSheetId="22">#REF!</definedName>
    <definedName name="SL007Text" localSheetId="26">#REF!</definedName>
    <definedName name="SL007Text" localSheetId="20">#REF!</definedName>
    <definedName name="SL007Text" localSheetId="19">#REF!</definedName>
    <definedName name="SL007Text" localSheetId="18">#REF!</definedName>
    <definedName name="SL007Text" localSheetId="17">#REF!</definedName>
    <definedName name="SL007Text" localSheetId="27">#REF!</definedName>
    <definedName name="SL007Text" localSheetId="21">#REF!</definedName>
    <definedName name="SL007Text" localSheetId="15">#REF!</definedName>
    <definedName name="SL007Text" localSheetId="7">#REF!</definedName>
    <definedName name="SL007Text" localSheetId="8">#REF!</definedName>
    <definedName name="SL007Text" localSheetId="1">#REF!</definedName>
    <definedName name="SL007Text" localSheetId="25">#REF!</definedName>
    <definedName name="SL007Text" localSheetId="30">#REF!</definedName>
    <definedName name="SL007Text" localSheetId="4">#REF!</definedName>
    <definedName name="SL007Text" localSheetId="11">#REF!</definedName>
    <definedName name="SL007Text" localSheetId="24">#REF!</definedName>
    <definedName name="SL007Text">#REF!</definedName>
    <definedName name="SL007Title" localSheetId="29">#REF!</definedName>
    <definedName name="SL007Title" localSheetId="2">#REF!</definedName>
    <definedName name="SL007Title" localSheetId="28">#REF!</definedName>
    <definedName name="SL007Title" localSheetId="16">#REF!</definedName>
    <definedName name="SL007Title" localSheetId="22">#REF!</definedName>
    <definedName name="SL007Title" localSheetId="26">#REF!</definedName>
    <definedName name="SL007Title" localSheetId="20">#REF!</definedName>
    <definedName name="SL007Title" localSheetId="19">#REF!</definedName>
    <definedName name="SL007Title" localSheetId="18">#REF!</definedName>
    <definedName name="SL007Title" localSheetId="17">#REF!</definedName>
    <definedName name="SL007Title" localSheetId="27">#REF!</definedName>
    <definedName name="SL007Title" localSheetId="21">#REF!</definedName>
    <definedName name="SL007Title" localSheetId="15">#REF!</definedName>
    <definedName name="SL007Title" localSheetId="7">#REF!</definedName>
    <definedName name="SL007Title" localSheetId="8">#REF!</definedName>
    <definedName name="SL007Title" localSheetId="1">#REF!</definedName>
    <definedName name="SL007Title" localSheetId="25">#REF!</definedName>
    <definedName name="SL007Title" localSheetId="30">#REF!</definedName>
    <definedName name="SL007Title" localSheetId="4">#REF!</definedName>
    <definedName name="SL007Title" localSheetId="11">#REF!</definedName>
    <definedName name="SL007Title" localSheetId="24">#REF!</definedName>
    <definedName name="SL007Title">#REF!</definedName>
    <definedName name="SL007YTD" localSheetId="29">#REF!</definedName>
    <definedName name="SL007YTD" localSheetId="2">#REF!</definedName>
    <definedName name="SL007YTD" localSheetId="28">#REF!</definedName>
    <definedName name="SL007YTD" localSheetId="16">#REF!</definedName>
    <definedName name="SL007YTD" localSheetId="22">#REF!</definedName>
    <definedName name="SL007YTD" localSheetId="26">#REF!</definedName>
    <definedName name="SL007YTD" localSheetId="20">#REF!</definedName>
    <definedName name="SL007YTD" localSheetId="19">#REF!</definedName>
    <definedName name="SL007YTD" localSheetId="18">#REF!</definedName>
    <definedName name="SL007YTD" localSheetId="17">#REF!</definedName>
    <definedName name="SL007YTD" localSheetId="27">#REF!</definedName>
    <definedName name="SL007YTD" localSheetId="21">#REF!</definedName>
    <definedName name="SL007YTD" localSheetId="15">#REF!</definedName>
    <definedName name="SL007YTD" localSheetId="7">#REF!</definedName>
    <definedName name="SL007YTD" localSheetId="8">#REF!</definedName>
    <definedName name="SL007YTD" localSheetId="1">#REF!</definedName>
    <definedName name="SL007YTD" localSheetId="25">#REF!</definedName>
    <definedName name="SL007YTD" localSheetId="30">#REF!</definedName>
    <definedName name="SL007YTD" localSheetId="4">#REF!</definedName>
    <definedName name="SL007YTD" localSheetId="11">#REF!</definedName>
    <definedName name="SL007YTD" localSheetId="24">#REF!</definedName>
    <definedName name="SL007YTD">#REF!</definedName>
    <definedName name="SL008Month" localSheetId="29">#REF!</definedName>
    <definedName name="SL008Month" localSheetId="2">#REF!</definedName>
    <definedName name="SL008Month" localSheetId="28">#REF!</definedName>
    <definedName name="SL008Month" localSheetId="16">#REF!</definedName>
    <definedName name="SL008Month" localSheetId="22">#REF!</definedName>
    <definedName name="SL008Month" localSheetId="26">#REF!</definedName>
    <definedName name="SL008Month" localSheetId="20">#REF!</definedName>
    <definedName name="SL008Month" localSheetId="19">#REF!</definedName>
    <definedName name="SL008Month" localSheetId="18">#REF!</definedName>
    <definedName name="SL008Month" localSheetId="17">#REF!</definedName>
    <definedName name="SL008Month" localSheetId="27">#REF!</definedName>
    <definedName name="SL008Month" localSheetId="21">#REF!</definedName>
    <definedName name="SL008Month" localSheetId="15">#REF!</definedName>
    <definedName name="SL008Month" localSheetId="7">#REF!</definedName>
    <definedName name="SL008Month" localSheetId="8">#REF!</definedName>
    <definedName name="SL008Month" localSheetId="1">#REF!</definedName>
    <definedName name="SL008Month" localSheetId="25">#REF!</definedName>
    <definedName name="SL008Month" localSheetId="30">#REF!</definedName>
    <definedName name="SL008Month" localSheetId="4">#REF!</definedName>
    <definedName name="SL008Month" localSheetId="11">#REF!</definedName>
    <definedName name="SL008Month" localSheetId="24">#REF!</definedName>
    <definedName name="SL008Month">#REF!</definedName>
    <definedName name="SL008Text" localSheetId="29">#REF!</definedName>
    <definedName name="SL008Text" localSheetId="2">#REF!</definedName>
    <definedName name="SL008Text" localSheetId="28">#REF!</definedName>
    <definedName name="SL008Text" localSheetId="16">#REF!</definedName>
    <definedName name="SL008Text" localSheetId="22">#REF!</definedName>
    <definedName name="SL008Text" localSheetId="26">#REF!</definedName>
    <definedName name="SL008Text" localSheetId="20">#REF!</definedName>
    <definedName name="SL008Text" localSheetId="19">#REF!</definedName>
    <definedName name="SL008Text" localSheetId="18">#REF!</definedName>
    <definedName name="SL008Text" localSheetId="17">#REF!</definedName>
    <definedName name="SL008Text" localSheetId="27">#REF!</definedName>
    <definedName name="SL008Text" localSheetId="21">#REF!</definedName>
    <definedName name="SL008Text" localSheetId="15">#REF!</definedName>
    <definedName name="SL008Text" localSheetId="7">#REF!</definedName>
    <definedName name="SL008Text" localSheetId="8">#REF!</definedName>
    <definedName name="SL008Text" localSheetId="1">#REF!</definedName>
    <definedName name="SL008Text" localSheetId="25">#REF!</definedName>
    <definedName name="SL008Text" localSheetId="30">#REF!</definedName>
    <definedName name="SL008Text" localSheetId="4">#REF!</definedName>
    <definedName name="SL008Text" localSheetId="11">#REF!</definedName>
    <definedName name="SL008Text" localSheetId="24">#REF!</definedName>
    <definedName name="SL008Text">#REF!</definedName>
    <definedName name="SL008Title" localSheetId="29">#REF!</definedName>
    <definedName name="SL008Title" localSheetId="2">#REF!</definedName>
    <definedName name="SL008Title" localSheetId="28">#REF!</definedName>
    <definedName name="SL008Title" localSheetId="16">#REF!</definedName>
    <definedName name="SL008Title" localSheetId="22">#REF!</definedName>
    <definedName name="SL008Title" localSheetId="26">#REF!</definedName>
    <definedName name="SL008Title" localSheetId="20">#REF!</definedName>
    <definedName name="SL008Title" localSheetId="19">#REF!</definedName>
    <definedName name="SL008Title" localSheetId="18">#REF!</definedName>
    <definedName name="SL008Title" localSheetId="17">#REF!</definedName>
    <definedName name="SL008Title" localSheetId="27">#REF!</definedName>
    <definedName name="SL008Title" localSheetId="21">#REF!</definedName>
    <definedName name="SL008Title" localSheetId="15">#REF!</definedName>
    <definedName name="SL008Title" localSheetId="7">#REF!</definedName>
    <definedName name="SL008Title" localSheetId="8">#REF!</definedName>
    <definedName name="SL008Title" localSheetId="1">#REF!</definedName>
    <definedName name="SL008Title" localSheetId="25">#REF!</definedName>
    <definedName name="SL008Title" localSheetId="30">#REF!</definedName>
    <definedName name="SL008Title" localSheetId="4">#REF!</definedName>
    <definedName name="SL008Title" localSheetId="11">#REF!</definedName>
    <definedName name="SL008Title" localSheetId="24">#REF!</definedName>
    <definedName name="SL008Title">#REF!</definedName>
    <definedName name="SL008YTD" localSheetId="29">#REF!</definedName>
    <definedName name="SL008YTD" localSheetId="2">#REF!</definedName>
    <definedName name="SL008YTD" localSheetId="28">#REF!</definedName>
    <definedName name="SL008YTD" localSheetId="16">#REF!</definedName>
    <definedName name="SL008YTD" localSheetId="22">#REF!</definedName>
    <definedName name="SL008YTD" localSheetId="26">#REF!</definedName>
    <definedName name="SL008YTD" localSheetId="20">#REF!</definedName>
    <definedName name="SL008YTD" localSheetId="19">#REF!</definedName>
    <definedName name="SL008YTD" localSheetId="18">#REF!</definedName>
    <definedName name="SL008YTD" localSheetId="17">#REF!</definedName>
    <definedName name="SL008YTD" localSheetId="27">#REF!</definedName>
    <definedName name="SL008YTD" localSheetId="21">#REF!</definedName>
    <definedName name="SL008YTD" localSheetId="15">#REF!</definedName>
    <definedName name="SL008YTD" localSheetId="7">#REF!</definedName>
    <definedName name="SL008YTD" localSheetId="8">#REF!</definedName>
    <definedName name="SL008YTD" localSheetId="1">#REF!</definedName>
    <definedName name="SL008YTD" localSheetId="25">#REF!</definedName>
    <definedName name="SL008YTD" localSheetId="30">#REF!</definedName>
    <definedName name="SL008YTD" localSheetId="4">#REF!</definedName>
    <definedName name="SL008YTD" localSheetId="11">#REF!</definedName>
    <definedName name="SL008YTD" localSheetId="24">#REF!</definedName>
    <definedName name="SL008YTD">#REF!</definedName>
    <definedName name="SL009Month" localSheetId="29">#REF!</definedName>
    <definedName name="SL009Month" localSheetId="2">#REF!</definedName>
    <definedName name="SL009Month" localSheetId="28">#REF!</definedName>
    <definedName name="SL009Month" localSheetId="16">#REF!</definedName>
    <definedName name="SL009Month" localSheetId="22">#REF!</definedName>
    <definedName name="SL009Month" localSheetId="26">#REF!</definedName>
    <definedName name="SL009Month" localSheetId="20">#REF!</definedName>
    <definedName name="SL009Month" localSheetId="19">#REF!</definedName>
    <definedName name="SL009Month" localSheetId="18">#REF!</definedName>
    <definedName name="SL009Month" localSheetId="17">#REF!</definedName>
    <definedName name="SL009Month" localSheetId="27">#REF!</definedName>
    <definedName name="SL009Month" localSheetId="21">#REF!</definedName>
    <definedName name="SL009Month" localSheetId="15">#REF!</definedName>
    <definedName name="SL009Month" localSheetId="7">#REF!</definedName>
    <definedName name="SL009Month" localSheetId="8">#REF!</definedName>
    <definedName name="SL009Month" localSheetId="1">#REF!</definedName>
    <definedName name="SL009Month" localSheetId="25">#REF!</definedName>
    <definedName name="SL009Month" localSheetId="30">#REF!</definedName>
    <definedName name="SL009Month" localSheetId="4">#REF!</definedName>
    <definedName name="SL009Month" localSheetId="11">#REF!</definedName>
    <definedName name="SL009Month" localSheetId="24">#REF!</definedName>
    <definedName name="SL009Month">#REF!</definedName>
    <definedName name="SL009Text" localSheetId="29">#REF!</definedName>
    <definedName name="SL009Text" localSheetId="2">#REF!</definedName>
    <definedName name="SL009Text" localSheetId="28">#REF!</definedName>
    <definedName name="SL009Text" localSheetId="16">#REF!</definedName>
    <definedName name="SL009Text" localSheetId="22">#REF!</definedName>
    <definedName name="SL009Text" localSheetId="26">#REF!</definedName>
    <definedName name="SL009Text" localSheetId="20">#REF!</definedName>
    <definedName name="SL009Text" localSheetId="19">#REF!</definedName>
    <definedName name="SL009Text" localSheetId="18">#REF!</definedName>
    <definedName name="SL009Text" localSheetId="17">#REF!</definedName>
    <definedName name="SL009Text" localSheetId="27">#REF!</definedName>
    <definedName name="SL009Text" localSheetId="21">#REF!</definedName>
    <definedName name="SL009Text" localSheetId="15">#REF!</definedName>
    <definedName name="SL009Text" localSheetId="7">#REF!</definedName>
    <definedName name="SL009Text" localSheetId="8">#REF!</definedName>
    <definedName name="SL009Text" localSheetId="1">#REF!</definedName>
    <definedName name="SL009Text" localSheetId="25">#REF!</definedName>
    <definedName name="SL009Text" localSheetId="30">#REF!</definedName>
    <definedName name="SL009Text" localSheetId="4">#REF!</definedName>
    <definedName name="SL009Text" localSheetId="11">#REF!</definedName>
    <definedName name="SL009Text" localSheetId="24">#REF!</definedName>
    <definedName name="SL009Text">#REF!</definedName>
    <definedName name="SL009Title" localSheetId="29">#REF!</definedName>
    <definedName name="SL009Title" localSheetId="2">#REF!</definedName>
    <definedName name="SL009Title" localSheetId="28">#REF!</definedName>
    <definedName name="SL009Title" localSheetId="16">#REF!</definedName>
    <definedName name="SL009Title" localSheetId="22">#REF!</definedName>
    <definedName name="SL009Title" localSheetId="26">#REF!</definedName>
    <definedName name="SL009Title" localSheetId="20">#REF!</definedName>
    <definedName name="SL009Title" localSheetId="19">#REF!</definedName>
    <definedName name="SL009Title" localSheetId="18">#REF!</definedName>
    <definedName name="SL009Title" localSheetId="17">#REF!</definedName>
    <definedName name="SL009Title" localSheetId="27">#REF!</definedName>
    <definedName name="SL009Title" localSheetId="21">#REF!</definedName>
    <definedName name="SL009Title" localSheetId="15">#REF!</definedName>
    <definedName name="SL009Title" localSheetId="7">#REF!</definedName>
    <definedName name="SL009Title" localSheetId="8">#REF!</definedName>
    <definedName name="SL009Title" localSheetId="1">#REF!</definedName>
    <definedName name="SL009Title" localSheetId="25">#REF!</definedName>
    <definedName name="SL009Title" localSheetId="30">#REF!</definedName>
    <definedName name="SL009Title" localSheetId="4">#REF!</definedName>
    <definedName name="SL009Title" localSheetId="11">#REF!</definedName>
    <definedName name="SL009Title" localSheetId="24">#REF!</definedName>
    <definedName name="SL009Title">#REF!</definedName>
    <definedName name="SL009YTD" localSheetId="29">#REF!</definedName>
    <definedName name="SL009YTD" localSheetId="2">#REF!</definedName>
    <definedName name="SL009YTD" localSheetId="28">#REF!</definedName>
    <definedName name="SL009YTD" localSheetId="16">#REF!</definedName>
    <definedName name="SL009YTD" localSheetId="22">#REF!</definedName>
    <definedName name="SL009YTD" localSheetId="26">#REF!</definedName>
    <definedName name="SL009YTD" localSheetId="20">#REF!</definedName>
    <definedName name="SL009YTD" localSheetId="19">#REF!</definedName>
    <definedName name="SL009YTD" localSheetId="18">#REF!</definedName>
    <definedName name="SL009YTD" localSheetId="17">#REF!</definedName>
    <definedName name="SL009YTD" localSheetId="27">#REF!</definedName>
    <definedName name="SL009YTD" localSheetId="21">#REF!</definedName>
    <definedName name="SL009YTD" localSheetId="15">#REF!</definedName>
    <definedName name="SL009YTD" localSheetId="7">#REF!</definedName>
    <definedName name="SL009YTD" localSheetId="8">#REF!</definedName>
    <definedName name="SL009YTD" localSheetId="1">#REF!</definedName>
    <definedName name="SL009YTD" localSheetId="25">#REF!</definedName>
    <definedName name="SL009YTD" localSheetId="30">#REF!</definedName>
    <definedName name="SL009YTD" localSheetId="4">#REF!</definedName>
    <definedName name="SL009YTD" localSheetId="11">#REF!</definedName>
    <definedName name="SL009YTD" localSheetId="24">#REF!</definedName>
    <definedName name="SL009YTD">#REF!</definedName>
    <definedName name="SL010Text" localSheetId="29">#REF!</definedName>
    <definedName name="SL010Text" localSheetId="2">#REF!</definedName>
    <definedName name="SL010Text" localSheetId="28">#REF!</definedName>
    <definedName name="SL010Text" localSheetId="16">#REF!</definedName>
    <definedName name="SL010Text" localSheetId="22">#REF!</definedName>
    <definedName name="SL010Text" localSheetId="26">#REF!</definedName>
    <definedName name="SL010Text" localSheetId="20">#REF!</definedName>
    <definedName name="SL010Text" localSheetId="19">#REF!</definedName>
    <definedName name="SL010Text" localSheetId="18">#REF!</definedName>
    <definedName name="SL010Text" localSheetId="17">#REF!</definedName>
    <definedName name="SL010Text" localSheetId="27">#REF!</definedName>
    <definedName name="SL010Text" localSheetId="21">#REF!</definedName>
    <definedName name="SL010Text" localSheetId="15">#REF!</definedName>
    <definedName name="SL010Text" localSheetId="7">#REF!</definedName>
    <definedName name="SL010Text" localSheetId="8">#REF!</definedName>
    <definedName name="SL010Text" localSheetId="1">#REF!</definedName>
    <definedName name="SL010Text" localSheetId="25">#REF!</definedName>
    <definedName name="SL010Text" localSheetId="30">#REF!</definedName>
    <definedName name="SL010Text" localSheetId="4">#REF!</definedName>
    <definedName name="SL010Text" localSheetId="11">#REF!</definedName>
    <definedName name="SL010Text" localSheetId="24">#REF!</definedName>
    <definedName name="SL010Text">#REF!</definedName>
    <definedName name="SL010Title" localSheetId="29">#REF!</definedName>
    <definedName name="SL010Title" localSheetId="2">#REF!</definedName>
    <definedName name="SL010Title" localSheetId="28">#REF!</definedName>
    <definedName name="SL010Title" localSheetId="16">#REF!</definedName>
    <definedName name="SL010Title" localSheetId="22">#REF!</definedName>
    <definedName name="SL010Title" localSheetId="26">#REF!</definedName>
    <definedName name="SL010Title" localSheetId="20">#REF!</definedName>
    <definedName name="SL010Title" localSheetId="19">#REF!</definedName>
    <definedName name="SL010Title" localSheetId="18">#REF!</definedName>
    <definedName name="SL010Title" localSheetId="17">#REF!</definedName>
    <definedName name="SL010Title" localSheetId="27">#REF!</definedName>
    <definedName name="SL010Title" localSheetId="21">#REF!</definedName>
    <definedName name="SL010Title" localSheetId="15">#REF!</definedName>
    <definedName name="SL010Title" localSheetId="7">#REF!</definedName>
    <definedName name="SL010Title" localSheetId="8">#REF!</definedName>
    <definedName name="SL010Title" localSheetId="1">#REF!</definedName>
    <definedName name="SL010Title" localSheetId="25">#REF!</definedName>
    <definedName name="SL010Title" localSheetId="30">#REF!</definedName>
    <definedName name="SL010Title" localSheetId="4">#REF!</definedName>
    <definedName name="SL010Title" localSheetId="11">#REF!</definedName>
    <definedName name="SL010Title" localSheetId="24">#REF!</definedName>
    <definedName name="SL010Title">#REF!</definedName>
    <definedName name="SL011Month" localSheetId="29">#REF!</definedName>
    <definedName name="SL011Month" localSheetId="2">#REF!</definedName>
    <definedName name="SL011Month" localSheetId="28">#REF!</definedName>
    <definedName name="SL011Month" localSheetId="16">#REF!</definedName>
    <definedName name="SL011Month" localSheetId="22">#REF!</definedName>
    <definedName name="SL011Month" localSheetId="26">#REF!</definedName>
    <definedName name="SL011Month" localSheetId="20">#REF!</definedName>
    <definedName name="SL011Month" localSheetId="19">#REF!</definedName>
    <definedName name="SL011Month" localSheetId="18">#REF!</definedName>
    <definedName name="SL011Month" localSheetId="17">#REF!</definedName>
    <definedName name="SL011Month" localSheetId="27">#REF!</definedName>
    <definedName name="SL011Month" localSheetId="21">#REF!</definedName>
    <definedName name="SL011Month" localSheetId="15">#REF!</definedName>
    <definedName name="SL011Month" localSheetId="7">#REF!</definedName>
    <definedName name="SL011Month" localSheetId="8">#REF!</definedName>
    <definedName name="SL011Month" localSheetId="1">#REF!</definedName>
    <definedName name="SL011Month" localSheetId="25">#REF!</definedName>
    <definedName name="SL011Month" localSheetId="30">#REF!</definedName>
    <definedName name="SL011Month" localSheetId="4">#REF!</definedName>
    <definedName name="SL011Month" localSheetId="11">#REF!</definedName>
    <definedName name="SL011Month" localSheetId="24">#REF!</definedName>
    <definedName name="SL011Month">#REF!</definedName>
    <definedName name="SL011Text" localSheetId="29">#REF!</definedName>
    <definedName name="SL011Text" localSheetId="2">#REF!</definedName>
    <definedName name="SL011Text" localSheetId="28">#REF!</definedName>
    <definedName name="SL011Text" localSheetId="16">#REF!</definedName>
    <definedName name="SL011Text" localSheetId="22">#REF!</definedName>
    <definedName name="SL011Text" localSheetId="26">#REF!</definedName>
    <definedName name="SL011Text" localSheetId="20">#REF!</definedName>
    <definedName name="SL011Text" localSheetId="19">#REF!</definedName>
    <definedName name="SL011Text" localSheetId="18">#REF!</definedName>
    <definedName name="SL011Text" localSheetId="17">#REF!</definedName>
    <definedName name="SL011Text" localSheetId="27">#REF!</definedName>
    <definedName name="SL011Text" localSheetId="21">#REF!</definedName>
    <definedName name="SL011Text" localSheetId="15">#REF!</definedName>
    <definedName name="SL011Text" localSheetId="7">#REF!</definedName>
    <definedName name="SL011Text" localSheetId="8">#REF!</definedName>
    <definedName name="SL011Text" localSheetId="1">#REF!</definedName>
    <definedName name="SL011Text" localSheetId="25">#REF!</definedName>
    <definedName name="SL011Text" localSheetId="30">#REF!</definedName>
    <definedName name="SL011Text" localSheetId="4">#REF!</definedName>
    <definedName name="SL011Text" localSheetId="11">#REF!</definedName>
    <definedName name="SL011Text" localSheetId="24">#REF!</definedName>
    <definedName name="SL011Text">#REF!</definedName>
    <definedName name="SL011Title" localSheetId="29">#REF!</definedName>
    <definedName name="SL011Title" localSheetId="2">#REF!</definedName>
    <definedName name="SL011Title" localSheetId="28">#REF!</definedName>
    <definedName name="SL011Title" localSheetId="16">#REF!</definedName>
    <definedName name="SL011Title" localSheetId="22">#REF!</definedName>
    <definedName name="SL011Title" localSheetId="26">#REF!</definedName>
    <definedName name="SL011Title" localSheetId="20">#REF!</definedName>
    <definedName name="SL011Title" localSheetId="19">#REF!</definedName>
    <definedName name="SL011Title" localSheetId="18">#REF!</definedName>
    <definedName name="SL011Title" localSheetId="17">#REF!</definedName>
    <definedName name="SL011Title" localSheetId="27">#REF!</definedName>
    <definedName name="SL011Title" localSheetId="21">#REF!</definedName>
    <definedName name="SL011Title" localSheetId="15">#REF!</definedName>
    <definedName name="SL011Title" localSheetId="7">#REF!</definedName>
    <definedName name="SL011Title" localSheetId="8">#REF!</definedName>
    <definedName name="SL011Title" localSheetId="1">#REF!</definedName>
    <definedName name="SL011Title" localSheetId="25">#REF!</definedName>
    <definedName name="SL011Title" localSheetId="30">#REF!</definedName>
    <definedName name="SL011Title" localSheetId="4">#REF!</definedName>
    <definedName name="SL011Title" localSheetId="11">#REF!</definedName>
    <definedName name="SL011Title" localSheetId="24">#REF!</definedName>
    <definedName name="SL011Title">#REF!</definedName>
    <definedName name="SL011YTD" localSheetId="29">#REF!</definedName>
    <definedName name="SL011YTD" localSheetId="2">#REF!</definedName>
    <definedName name="SL011YTD" localSheetId="28">#REF!</definedName>
    <definedName name="SL011YTD" localSheetId="16">#REF!</definedName>
    <definedName name="SL011YTD" localSheetId="22">#REF!</definedName>
    <definedName name="SL011YTD" localSheetId="26">#REF!</definedName>
    <definedName name="SL011YTD" localSheetId="20">#REF!</definedName>
    <definedName name="SL011YTD" localSheetId="19">#REF!</definedName>
    <definedName name="SL011YTD" localSheetId="18">#REF!</definedName>
    <definedName name="SL011YTD" localSheetId="17">#REF!</definedName>
    <definedName name="SL011YTD" localSheetId="27">#REF!</definedName>
    <definedName name="SL011YTD" localSheetId="21">#REF!</definedName>
    <definedName name="SL011YTD" localSheetId="15">#REF!</definedName>
    <definedName name="SL011YTD" localSheetId="7">#REF!</definedName>
    <definedName name="SL011YTD" localSheetId="8">#REF!</definedName>
    <definedName name="SL011YTD" localSheetId="1">#REF!</definedName>
    <definedName name="SL011YTD" localSheetId="25">#REF!</definedName>
    <definedName name="SL011YTD" localSheetId="30">#REF!</definedName>
    <definedName name="SL011YTD" localSheetId="4">#REF!</definedName>
    <definedName name="SL011YTD" localSheetId="11">#REF!</definedName>
    <definedName name="SL011YTD" localSheetId="24">#REF!</definedName>
    <definedName name="SL011YTD">#REF!</definedName>
    <definedName name="SL012Month" localSheetId="29">#REF!</definedName>
    <definedName name="SL012Month" localSheetId="2">#REF!</definedName>
    <definedName name="SL012Month" localSheetId="28">#REF!</definedName>
    <definedName name="SL012Month" localSheetId="16">#REF!</definedName>
    <definedName name="SL012Month" localSheetId="22">#REF!</definedName>
    <definedName name="SL012Month" localSheetId="26">#REF!</definedName>
    <definedName name="SL012Month" localSheetId="20">#REF!</definedName>
    <definedName name="SL012Month" localSheetId="19">#REF!</definedName>
    <definedName name="SL012Month" localSheetId="18">#REF!</definedName>
    <definedName name="SL012Month" localSheetId="17">#REF!</definedName>
    <definedName name="SL012Month" localSheetId="27">#REF!</definedName>
    <definedName name="SL012Month" localSheetId="21">#REF!</definedName>
    <definedName name="SL012Month" localSheetId="15">#REF!</definedName>
    <definedName name="SL012Month" localSheetId="7">#REF!</definedName>
    <definedName name="SL012Month" localSheetId="8">#REF!</definedName>
    <definedName name="SL012Month" localSheetId="1">#REF!</definedName>
    <definedName name="SL012Month" localSheetId="25">#REF!</definedName>
    <definedName name="SL012Month" localSheetId="30">#REF!</definedName>
    <definedName name="SL012Month" localSheetId="4">#REF!</definedName>
    <definedName name="SL012Month" localSheetId="11">#REF!</definedName>
    <definedName name="SL012Month" localSheetId="24">#REF!</definedName>
    <definedName name="SL012Month">#REF!</definedName>
    <definedName name="SL012Text" localSheetId="29">#REF!</definedName>
    <definedName name="SL012Text" localSheetId="2">#REF!</definedName>
    <definedName name="SL012Text" localSheetId="28">#REF!</definedName>
    <definedName name="SL012Text" localSheetId="16">#REF!</definedName>
    <definedName name="SL012Text" localSheetId="22">#REF!</definedName>
    <definedName name="SL012Text" localSheetId="26">#REF!</definedName>
    <definedName name="SL012Text" localSheetId="20">#REF!</definedName>
    <definedName name="SL012Text" localSheetId="19">#REF!</definedName>
    <definedName name="SL012Text" localSheetId="18">#REF!</definedName>
    <definedName name="SL012Text" localSheetId="17">#REF!</definedName>
    <definedName name="SL012Text" localSheetId="27">#REF!</definedName>
    <definedName name="SL012Text" localSheetId="21">#REF!</definedName>
    <definedName name="SL012Text" localSheetId="15">#REF!</definedName>
    <definedName name="SL012Text" localSheetId="7">#REF!</definedName>
    <definedName name="SL012Text" localSheetId="8">#REF!</definedName>
    <definedName name="SL012Text" localSheetId="1">#REF!</definedName>
    <definedName name="SL012Text" localSheetId="25">#REF!</definedName>
    <definedName name="SL012Text" localSheetId="30">#REF!</definedName>
    <definedName name="SL012Text" localSheetId="4">#REF!</definedName>
    <definedName name="SL012Text" localSheetId="11">#REF!</definedName>
    <definedName name="SL012Text" localSheetId="24">#REF!</definedName>
    <definedName name="SL012Text">#REF!</definedName>
    <definedName name="SL012Title" localSheetId="29">#REF!</definedName>
    <definedName name="SL012Title" localSheetId="2">#REF!</definedName>
    <definedName name="SL012Title" localSheetId="28">#REF!</definedName>
    <definedName name="SL012Title" localSheetId="16">#REF!</definedName>
    <definedName name="SL012Title" localSheetId="22">#REF!</definedName>
    <definedName name="SL012Title" localSheetId="26">#REF!</definedName>
    <definedName name="SL012Title" localSheetId="20">#REF!</definedName>
    <definedName name="SL012Title" localSheetId="19">#REF!</definedName>
    <definedName name="SL012Title" localSheetId="18">#REF!</definedName>
    <definedName name="SL012Title" localSheetId="17">#REF!</definedName>
    <definedName name="SL012Title" localSheetId="27">#REF!</definedName>
    <definedName name="SL012Title" localSheetId="21">#REF!</definedName>
    <definedName name="SL012Title" localSheetId="15">#REF!</definedName>
    <definedName name="SL012Title" localSheetId="7">#REF!</definedName>
    <definedName name="SL012Title" localSheetId="8">#REF!</definedName>
    <definedName name="SL012Title" localSheetId="1">#REF!</definedName>
    <definedName name="SL012Title" localSheetId="25">#REF!</definedName>
    <definedName name="SL012Title" localSheetId="30">#REF!</definedName>
    <definedName name="SL012Title" localSheetId="4">#REF!</definedName>
    <definedName name="SL012Title" localSheetId="11">#REF!</definedName>
    <definedName name="SL012Title" localSheetId="24">#REF!</definedName>
    <definedName name="SL012Title">#REF!</definedName>
    <definedName name="SL012YTD" localSheetId="29">#REF!</definedName>
    <definedName name="SL012YTD" localSheetId="2">#REF!</definedName>
    <definedName name="SL012YTD" localSheetId="28">#REF!</definedName>
    <definedName name="SL012YTD" localSheetId="16">#REF!</definedName>
    <definedName name="SL012YTD" localSheetId="22">#REF!</definedName>
    <definedName name="SL012YTD" localSheetId="26">#REF!</definedName>
    <definedName name="SL012YTD" localSheetId="20">#REF!</definedName>
    <definedName name="SL012YTD" localSheetId="19">#REF!</definedName>
    <definedName name="SL012YTD" localSheetId="18">#REF!</definedName>
    <definedName name="SL012YTD" localSheetId="17">#REF!</definedName>
    <definedName name="SL012YTD" localSheetId="27">#REF!</definedName>
    <definedName name="SL012YTD" localSheetId="21">#REF!</definedName>
    <definedName name="SL012YTD" localSheetId="15">#REF!</definedName>
    <definedName name="SL012YTD" localSheetId="7">#REF!</definedName>
    <definedName name="SL012YTD" localSheetId="8">#REF!</definedName>
    <definedName name="SL012YTD" localSheetId="1">#REF!</definedName>
    <definedName name="SL012YTD" localSheetId="25">#REF!</definedName>
    <definedName name="SL012YTD" localSheetId="30">#REF!</definedName>
    <definedName name="SL012YTD" localSheetId="4">#REF!</definedName>
    <definedName name="SL012YTD" localSheetId="11">#REF!</definedName>
    <definedName name="SL012YTD" localSheetId="24">#REF!</definedName>
    <definedName name="SL012YTD">#REF!</definedName>
    <definedName name="SL013Month" localSheetId="29">#REF!</definedName>
    <definedName name="SL013Month" localSheetId="2">#REF!</definedName>
    <definedName name="SL013Month" localSheetId="28">#REF!</definedName>
    <definedName name="SL013Month" localSheetId="16">#REF!</definedName>
    <definedName name="SL013Month" localSheetId="22">#REF!</definedName>
    <definedName name="SL013Month" localSheetId="26">#REF!</definedName>
    <definedName name="SL013Month" localSheetId="20">#REF!</definedName>
    <definedName name="SL013Month" localSheetId="19">#REF!</definedName>
    <definedName name="SL013Month" localSheetId="18">#REF!</definedName>
    <definedName name="SL013Month" localSheetId="17">#REF!</definedName>
    <definedName name="SL013Month" localSheetId="27">#REF!</definedName>
    <definedName name="SL013Month" localSheetId="21">#REF!</definedName>
    <definedName name="SL013Month" localSheetId="15">#REF!</definedName>
    <definedName name="SL013Month" localSheetId="7">#REF!</definedName>
    <definedName name="SL013Month" localSheetId="8">#REF!</definedName>
    <definedName name="SL013Month" localSheetId="1">#REF!</definedName>
    <definedName name="SL013Month" localSheetId="25">#REF!</definedName>
    <definedName name="SL013Month" localSheetId="30">#REF!</definedName>
    <definedName name="SL013Month" localSheetId="4">#REF!</definedName>
    <definedName name="SL013Month" localSheetId="11">#REF!</definedName>
    <definedName name="SL013Month" localSheetId="24">#REF!</definedName>
    <definedName name="SL013Month">#REF!</definedName>
    <definedName name="SL013Text" localSheetId="29">#REF!</definedName>
    <definedName name="SL013Text" localSheetId="2">#REF!</definedName>
    <definedName name="SL013Text" localSheetId="28">#REF!</definedName>
    <definedName name="SL013Text" localSheetId="16">#REF!</definedName>
    <definedName name="SL013Text" localSheetId="22">#REF!</definedName>
    <definedName name="SL013Text" localSheetId="26">#REF!</definedName>
    <definedName name="SL013Text" localSheetId="20">#REF!</definedName>
    <definedName name="SL013Text" localSheetId="19">#REF!</definedName>
    <definedName name="SL013Text" localSheetId="18">#REF!</definedName>
    <definedName name="SL013Text" localSheetId="17">#REF!</definedName>
    <definedName name="SL013Text" localSheetId="27">#REF!</definedName>
    <definedName name="SL013Text" localSheetId="21">#REF!</definedName>
    <definedName name="SL013Text" localSheetId="15">#REF!</definedName>
    <definedName name="SL013Text" localSheetId="7">#REF!</definedName>
    <definedName name="SL013Text" localSheetId="8">#REF!</definedName>
    <definedName name="SL013Text" localSheetId="1">#REF!</definedName>
    <definedName name="SL013Text" localSheetId="25">#REF!</definedName>
    <definedName name="SL013Text" localSheetId="30">#REF!</definedName>
    <definedName name="SL013Text" localSheetId="4">#REF!</definedName>
    <definedName name="SL013Text" localSheetId="11">#REF!</definedName>
    <definedName name="SL013Text" localSheetId="24">#REF!</definedName>
    <definedName name="SL013Text">#REF!</definedName>
    <definedName name="SL013Title" localSheetId="29">#REF!</definedName>
    <definedName name="SL013Title" localSheetId="2">#REF!</definedName>
    <definedName name="SL013Title" localSheetId="28">#REF!</definedName>
    <definedName name="SL013Title" localSheetId="16">#REF!</definedName>
    <definedName name="SL013Title" localSheetId="22">#REF!</definedName>
    <definedName name="SL013Title" localSheetId="26">#REF!</definedName>
    <definedName name="SL013Title" localSheetId="20">#REF!</definedName>
    <definedName name="SL013Title" localSheetId="19">#REF!</definedName>
    <definedName name="SL013Title" localSheetId="18">#REF!</definedName>
    <definedName name="SL013Title" localSheetId="17">#REF!</definedName>
    <definedName name="SL013Title" localSheetId="27">#REF!</definedName>
    <definedName name="SL013Title" localSheetId="21">#REF!</definedName>
    <definedName name="SL013Title" localSheetId="15">#REF!</definedName>
    <definedName name="SL013Title" localSheetId="7">#REF!</definedName>
    <definedName name="SL013Title" localSheetId="8">#REF!</definedName>
    <definedName name="SL013Title" localSheetId="1">#REF!</definedName>
    <definedName name="SL013Title" localSheetId="25">#REF!</definedName>
    <definedName name="SL013Title" localSheetId="30">#REF!</definedName>
    <definedName name="SL013Title" localSheetId="4">#REF!</definedName>
    <definedName name="SL013Title" localSheetId="11">#REF!</definedName>
    <definedName name="SL013Title" localSheetId="24">#REF!</definedName>
    <definedName name="SL013Title">#REF!</definedName>
    <definedName name="SL013YTD" localSheetId="29">#REF!</definedName>
    <definedName name="SL013YTD" localSheetId="2">#REF!</definedName>
    <definedName name="SL013YTD" localSheetId="28">#REF!</definedName>
    <definedName name="SL013YTD" localSheetId="16">#REF!</definedName>
    <definedName name="SL013YTD" localSheetId="22">#REF!</definedName>
    <definedName name="SL013YTD" localSheetId="26">#REF!</definedName>
    <definedName name="SL013YTD" localSheetId="20">#REF!</definedName>
    <definedName name="SL013YTD" localSheetId="19">#REF!</definedName>
    <definedName name="SL013YTD" localSheetId="18">#REF!</definedName>
    <definedName name="SL013YTD" localSheetId="17">#REF!</definedName>
    <definedName name="SL013YTD" localSheetId="27">#REF!</definedName>
    <definedName name="SL013YTD" localSheetId="21">#REF!</definedName>
    <definedName name="SL013YTD" localSheetId="15">#REF!</definedName>
    <definedName name="SL013YTD" localSheetId="7">#REF!</definedName>
    <definedName name="SL013YTD" localSheetId="8">#REF!</definedName>
    <definedName name="SL013YTD" localSheetId="1">#REF!</definedName>
    <definedName name="SL013YTD" localSheetId="25">#REF!</definedName>
    <definedName name="SL013YTD" localSheetId="30">#REF!</definedName>
    <definedName name="SL013YTD" localSheetId="4">#REF!</definedName>
    <definedName name="SL013YTD" localSheetId="11">#REF!</definedName>
    <definedName name="SL013YTD" localSheetId="24">#REF!</definedName>
    <definedName name="SL013YTD">#REF!</definedName>
    <definedName name="SL014Month" localSheetId="29">#REF!</definedName>
    <definedName name="SL014Month" localSheetId="2">#REF!</definedName>
    <definedName name="SL014Month" localSheetId="28">#REF!</definedName>
    <definedName name="SL014Month" localSheetId="16">#REF!</definedName>
    <definedName name="SL014Month" localSheetId="22">#REF!</definedName>
    <definedName name="SL014Month" localSheetId="26">#REF!</definedName>
    <definedName name="SL014Month" localSheetId="20">#REF!</definedName>
    <definedName name="SL014Month" localSheetId="19">#REF!</definedName>
    <definedName name="SL014Month" localSheetId="18">#REF!</definedName>
    <definedName name="SL014Month" localSheetId="17">#REF!</definedName>
    <definedName name="SL014Month" localSheetId="27">#REF!</definedName>
    <definedName name="SL014Month" localSheetId="21">#REF!</definedName>
    <definedName name="SL014Month" localSheetId="15">#REF!</definedName>
    <definedName name="SL014Month" localSheetId="7">#REF!</definedName>
    <definedName name="SL014Month" localSheetId="8">#REF!</definedName>
    <definedName name="SL014Month" localSheetId="1">#REF!</definedName>
    <definedName name="SL014Month" localSheetId="25">#REF!</definedName>
    <definedName name="SL014Month" localSheetId="30">#REF!</definedName>
    <definedName name="SL014Month" localSheetId="4">#REF!</definedName>
    <definedName name="SL014Month" localSheetId="11">#REF!</definedName>
    <definedName name="SL014Month" localSheetId="24">#REF!</definedName>
    <definedName name="SL014Month">#REF!</definedName>
    <definedName name="SL014Text" localSheetId="29">#REF!</definedName>
    <definedName name="SL014Text" localSheetId="2">#REF!</definedName>
    <definedName name="SL014Text" localSheetId="28">#REF!</definedName>
    <definedName name="SL014Text" localSheetId="16">#REF!</definedName>
    <definedName name="SL014Text" localSheetId="22">#REF!</definedName>
    <definedName name="SL014Text" localSheetId="26">#REF!</definedName>
    <definedName name="SL014Text" localSheetId="20">#REF!</definedName>
    <definedName name="SL014Text" localSheetId="19">#REF!</definedName>
    <definedName name="SL014Text" localSheetId="18">#REF!</definedName>
    <definedName name="SL014Text" localSheetId="17">#REF!</definedName>
    <definedName name="SL014Text" localSheetId="27">#REF!</definedName>
    <definedName name="SL014Text" localSheetId="21">#REF!</definedName>
    <definedName name="SL014Text" localSheetId="15">#REF!</definedName>
    <definedName name="SL014Text" localSheetId="7">#REF!</definedName>
    <definedName name="SL014Text" localSheetId="8">#REF!</definedName>
    <definedName name="SL014Text" localSheetId="1">#REF!</definedName>
    <definedName name="SL014Text" localSheetId="25">#REF!</definedName>
    <definedName name="SL014Text" localSheetId="30">#REF!</definedName>
    <definedName name="SL014Text" localSheetId="4">#REF!</definedName>
    <definedName name="SL014Text" localSheetId="11">#REF!</definedName>
    <definedName name="SL014Text" localSheetId="24">#REF!</definedName>
    <definedName name="SL014Text">#REF!</definedName>
    <definedName name="SL014Title" localSheetId="29">#REF!</definedName>
    <definedName name="SL014Title" localSheetId="2">#REF!</definedName>
    <definedName name="SL014Title" localSheetId="28">#REF!</definedName>
    <definedName name="SL014Title" localSheetId="16">#REF!</definedName>
    <definedName name="SL014Title" localSheetId="22">#REF!</definedName>
    <definedName name="SL014Title" localSheetId="26">#REF!</definedName>
    <definedName name="SL014Title" localSheetId="20">#REF!</definedName>
    <definedName name="SL014Title" localSheetId="19">#REF!</definedName>
    <definedName name="SL014Title" localSheetId="18">#REF!</definedName>
    <definedName name="SL014Title" localSheetId="17">#REF!</definedName>
    <definedName name="SL014Title" localSheetId="27">#REF!</definedName>
    <definedName name="SL014Title" localSheetId="21">#REF!</definedName>
    <definedName name="SL014Title" localSheetId="15">#REF!</definedName>
    <definedName name="SL014Title" localSheetId="7">#REF!</definedName>
    <definedName name="SL014Title" localSheetId="8">#REF!</definedName>
    <definedName name="SL014Title" localSheetId="1">#REF!</definedName>
    <definedName name="SL014Title" localSheetId="25">#REF!</definedName>
    <definedName name="SL014Title" localSheetId="30">#REF!</definedName>
    <definedName name="SL014Title" localSheetId="4">#REF!</definedName>
    <definedName name="SL014Title" localSheetId="11">#REF!</definedName>
    <definedName name="SL014Title" localSheetId="24">#REF!</definedName>
    <definedName name="SL014Title">#REF!</definedName>
    <definedName name="SL014YTD" localSheetId="29">#REF!</definedName>
    <definedName name="SL014YTD" localSheetId="2">#REF!</definedName>
    <definedName name="SL014YTD" localSheetId="28">#REF!</definedName>
    <definedName name="SL014YTD" localSheetId="16">#REF!</definedName>
    <definedName name="SL014YTD" localSheetId="22">#REF!</definedName>
    <definedName name="SL014YTD" localSheetId="26">#REF!</definedName>
    <definedName name="SL014YTD" localSheetId="20">#REF!</definedName>
    <definedName name="SL014YTD" localSheetId="19">#REF!</definedName>
    <definedName name="SL014YTD" localSheetId="18">#REF!</definedName>
    <definedName name="SL014YTD" localSheetId="17">#REF!</definedName>
    <definedName name="SL014YTD" localSheetId="27">#REF!</definedName>
    <definedName name="SL014YTD" localSheetId="21">#REF!</definedName>
    <definedName name="SL014YTD" localSheetId="15">#REF!</definedName>
    <definedName name="SL014YTD" localSheetId="7">#REF!</definedName>
    <definedName name="SL014YTD" localSheetId="8">#REF!</definedName>
    <definedName name="SL014YTD" localSheetId="1">#REF!</definedName>
    <definedName name="SL014YTD" localSheetId="25">#REF!</definedName>
    <definedName name="SL014YTD" localSheetId="30">#REF!</definedName>
    <definedName name="SL014YTD" localSheetId="4">#REF!</definedName>
    <definedName name="SL014YTD" localSheetId="11">#REF!</definedName>
    <definedName name="SL014YTD" localSheetId="24">#REF!</definedName>
    <definedName name="SL014YTD">#REF!</definedName>
    <definedName name="SL015Month" localSheetId="29">#REF!</definedName>
    <definedName name="SL015Month" localSheetId="2">#REF!</definedName>
    <definedName name="SL015Month" localSheetId="28">#REF!</definedName>
    <definedName name="SL015Month" localSheetId="16">#REF!</definedName>
    <definedName name="SL015Month" localSheetId="22">#REF!</definedName>
    <definedName name="SL015Month" localSheetId="26">#REF!</definedName>
    <definedName name="SL015Month" localSheetId="20">#REF!</definedName>
    <definedName name="SL015Month" localSheetId="19">#REF!</definedName>
    <definedName name="SL015Month" localSheetId="18">#REF!</definedName>
    <definedName name="SL015Month" localSheetId="17">#REF!</definedName>
    <definedName name="SL015Month" localSheetId="27">#REF!</definedName>
    <definedName name="SL015Month" localSheetId="21">#REF!</definedName>
    <definedName name="SL015Month" localSheetId="15">#REF!</definedName>
    <definedName name="SL015Month" localSheetId="7">#REF!</definedName>
    <definedName name="SL015Month" localSheetId="8">#REF!</definedName>
    <definedName name="SL015Month" localSheetId="1">#REF!</definedName>
    <definedName name="SL015Month" localSheetId="25">#REF!</definedName>
    <definedName name="SL015Month" localSheetId="30">#REF!</definedName>
    <definedName name="SL015Month" localSheetId="4">#REF!</definedName>
    <definedName name="SL015Month" localSheetId="11">#REF!</definedName>
    <definedName name="SL015Month" localSheetId="24">#REF!</definedName>
    <definedName name="SL015Month">#REF!</definedName>
    <definedName name="SL015Text" localSheetId="29">#REF!</definedName>
    <definedName name="SL015Text" localSheetId="2">#REF!</definedName>
    <definedName name="SL015Text" localSheetId="28">#REF!</definedName>
    <definedName name="SL015Text" localSheetId="16">#REF!</definedName>
    <definedName name="SL015Text" localSheetId="22">#REF!</definedName>
    <definedName name="SL015Text" localSheetId="26">#REF!</definedName>
    <definedName name="SL015Text" localSheetId="20">#REF!</definedName>
    <definedName name="SL015Text" localSheetId="19">#REF!</definedName>
    <definedName name="SL015Text" localSheetId="18">#REF!</definedName>
    <definedName name="SL015Text" localSheetId="17">#REF!</definedName>
    <definedName name="SL015Text" localSheetId="27">#REF!</definedName>
    <definedName name="SL015Text" localSheetId="21">#REF!</definedName>
    <definedName name="SL015Text" localSheetId="15">#REF!</definedName>
    <definedName name="SL015Text" localSheetId="7">#REF!</definedName>
    <definedName name="SL015Text" localSheetId="8">#REF!</definedName>
    <definedName name="SL015Text" localSheetId="1">#REF!</definedName>
    <definedName name="SL015Text" localSheetId="25">#REF!</definedName>
    <definedName name="SL015Text" localSheetId="30">#REF!</definedName>
    <definedName name="SL015Text" localSheetId="4">#REF!</definedName>
    <definedName name="SL015Text" localSheetId="11">#REF!</definedName>
    <definedName name="SL015Text" localSheetId="24">#REF!</definedName>
    <definedName name="SL015Text">#REF!</definedName>
    <definedName name="SL015Title" localSheetId="29">#REF!</definedName>
    <definedName name="SL015Title" localSheetId="2">#REF!</definedName>
    <definedName name="SL015Title" localSheetId="28">#REF!</definedName>
    <definedName name="SL015Title" localSheetId="16">#REF!</definedName>
    <definedName name="SL015Title" localSheetId="22">#REF!</definedName>
    <definedName name="SL015Title" localSheetId="26">#REF!</definedName>
    <definedName name="SL015Title" localSheetId="20">#REF!</definedName>
    <definedName name="SL015Title" localSheetId="19">#REF!</definedName>
    <definedName name="SL015Title" localSheetId="18">#REF!</definedName>
    <definedName name="SL015Title" localSheetId="17">#REF!</definedName>
    <definedName name="SL015Title" localSheetId="27">#REF!</definedName>
    <definedName name="SL015Title" localSheetId="21">#REF!</definedName>
    <definedName name="SL015Title" localSheetId="15">#REF!</definedName>
    <definedName name="SL015Title" localSheetId="7">#REF!</definedName>
    <definedName name="SL015Title" localSheetId="8">#REF!</definedName>
    <definedName name="SL015Title" localSheetId="1">#REF!</definedName>
    <definedName name="SL015Title" localSheetId="25">#REF!</definedName>
    <definedName name="SL015Title" localSheetId="30">#REF!</definedName>
    <definedName name="SL015Title" localSheetId="4">#REF!</definedName>
    <definedName name="SL015Title" localSheetId="11">#REF!</definedName>
    <definedName name="SL015Title" localSheetId="24">#REF!</definedName>
    <definedName name="SL015Title">#REF!</definedName>
    <definedName name="SL015YTD" localSheetId="29">#REF!</definedName>
    <definedName name="SL015YTD" localSheetId="2">#REF!</definedName>
    <definedName name="SL015YTD" localSheetId="28">#REF!</definedName>
    <definedName name="SL015YTD" localSheetId="16">#REF!</definedName>
    <definedName name="SL015YTD" localSheetId="22">#REF!</definedName>
    <definedName name="SL015YTD" localSheetId="26">#REF!</definedName>
    <definedName name="SL015YTD" localSheetId="20">#REF!</definedName>
    <definedName name="SL015YTD" localSheetId="19">#REF!</definedName>
    <definedName name="SL015YTD" localSheetId="18">#REF!</definedName>
    <definedName name="SL015YTD" localSheetId="17">#REF!</definedName>
    <definedName name="SL015YTD" localSheetId="27">#REF!</definedName>
    <definedName name="SL015YTD" localSheetId="21">#REF!</definedName>
    <definedName name="SL015YTD" localSheetId="15">#REF!</definedName>
    <definedName name="SL015YTD" localSheetId="7">#REF!</definedName>
    <definedName name="SL015YTD" localSheetId="8">#REF!</definedName>
    <definedName name="SL015YTD" localSheetId="1">#REF!</definedName>
    <definedName name="SL015YTD" localSheetId="25">#REF!</definedName>
    <definedName name="SL015YTD" localSheetId="30">#REF!</definedName>
    <definedName name="SL015YTD" localSheetId="4">#REF!</definedName>
    <definedName name="SL015YTD" localSheetId="11">#REF!</definedName>
    <definedName name="SL015YTD" localSheetId="24">#REF!</definedName>
    <definedName name="SL015YTD">#REF!</definedName>
    <definedName name="SL016Text" localSheetId="29">#REF!</definedName>
    <definedName name="SL016Text" localSheetId="2">#REF!</definedName>
    <definedName name="SL016Text" localSheetId="28">#REF!</definedName>
    <definedName name="SL016Text" localSheetId="16">#REF!</definedName>
    <definedName name="SL016Text" localSheetId="22">#REF!</definedName>
    <definedName name="SL016Text" localSheetId="26">#REF!</definedName>
    <definedName name="SL016Text" localSheetId="20">#REF!</definedName>
    <definedName name="SL016Text" localSheetId="19">#REF!</definedName>
    <definedName name="SL016Text" localSheetId="18">#REF!</definedName>
    <definedName name="SL016Text" localSheetId="17">#REF!</definedName>
    <definedName name="SL016Text" localSheetId="27">#REF!</definedName>
    <definedName name="SL016Text" localSheetId="21">#REF!</definedName>
    <definedName name="SL016Text" localSheetId="15">#REF!</definedName>
    <definedName name="SL016Text" localSheetId="7">#REF!</definedName>
    <definedName name="SL016Text" localSheetId="8">#REF!</definedName>
    <definedName name="SL016Text" localSheetId="1">#REF!</definedName>
    <definedName name="SL016Text" localSheetId="25">#REF!</definedName>
    <definedName name="SL016Text" localSheetId="30">#REF!</definedName>
    <definedName name="SL016Text" localSheetId="4">#REF!</definedName>
    <definedName name="SL016Text" localSheetId="11">#REF!</definedName>
    <definedName name="SL016Text" localSheetId="24">#REF!</definedName>
    <definedName name="SL016Text">#REF!</definedName>
    <definedName name="SL016Title" localSheetId="29">#REF!</definedName>
    <definedName name="SL016Title" localSheetId="2">#REF!</definedName>
    <definedName name="SL016Title" localSheetId="28">#REF!</definedName>
    <definedName name="SL016Title" localSheetId="16">#REF!</definedName>
    <definedName name="SL016Title" localSheetId="22">#REF!</definedName>
    <definedName name="SL016Title" localSheetId="26">#REF!</definedName>
    <definedName name="SL016Title" localSheetId="20">#REF!</definedName>
    <definedName name="SL016Title" localSheetId="19">#REF!</definedName>
    <definedName name="SL016Title" localSheetId="18">#REF!</definedName>
    <definedName name="SL016Title" localSheetId="17">#REF!</definedName>
    <definedName name="SL016Title" localSheetId="27">#REF!</definedName>
    <definedName name="SL016Title" localSheetId="21">#REF!</definedName>
    <definedName name="SL016Title" localSheetId="15">#REF!</definedName>
    <definedName name="SL016Title" localSheetId="7">#REF!</definedName>
    <definedName name="SL016Title" localSheetId="8">#REF!</definedName>
    <definedName name="SL016Title" localSheetId="1">#REF!</definedName>
    <definedName name="SL016Title" localSheetId="25">#REF!</definedName>
    <definedName name="SL016Title" localSheetId="30">#REF!</definedName>
    <definedName name="SL016Title" localSheetId="4">#REF!</definedName>
    <definedName name="SL016Title" localSheetId="11">#REF!</definedName>
    <definedName name="SL016Title" localSheetId="24">#REF!</definedName>
    <definedName name="SL016Title">#REF!</definedName>
    <definedName name="SL017Text" localSheetId="29">#REF!</definedName>
    <definedName name="SL017Text" localSheetId="2">#REF!</definedName>
    <definedName name="SL017Text" localSheetId="28">#REF!</definedName>
    <definedName name="SL017Text" localSheetId="16">#REF!</definedName>
    <definedName name="SL017Text" localSheetId="22">#REF!</definedName>
    <definedName name="SL017Text" localSheetId="26">#REF!</definedName>
    <definedName name="SL017Text" localSheetId="20">#REF!</definedName>
    <definedName name="SL017Text" localSheetId="19">#REF!</definedName>
    <definedName name="SL017Text" localSheetId="18">#REF!</definedName>
    <definedName name="SL017Text" localSheetId="17">#REF!</definedName>
    <definedName name="SL017Text" localSheetId="27">#REF!</definedName>
    <definedName name="SL017Text" localSheetId="21">#REF!</definedName>
    <definedName name="SL017Text" localSheetId="15">#REF!</definedName>
    <definedName name="SL017Text" localSheetId="7">#REF!</definedName>
    <definedName name="SL017Text" localSheetId="8">#REF!</definedName>
    <definedName name="SL017Text" localSheetId="1">#REF!</definedName>
    <definedName name="SL017Text" localSheetId="25">#REF!</definedName>
    <definedName name="SL017Text" localSheetId="30">#REF!</definedName>
    <definedName name="SL017Text" localSheetId="4">#REF!</definedName>
    <definedName name="SL017Text" localSheetId="11">#REF!</definedName>
    <definedName name="SL017Text" localSheetId="24">#REF!</definedName>
    <definedName name="SL017Text">#REF!</definedName>
    <definedName name="SL017Title" localSheetId="29">#REF!</definedName>
    <definedName name="SL017Title" localSheetId="2">#REF!</definedName>
    <definedName name="SL017Title" localSheetId="28">#REF!</definedName>
    <definedName name="SL017Title" localSheetId="16">#REF!</definedName>
    <definedName name="SL017Title" localSheetId="22">#REF!</definedName>
    <definedName name="SL017Title" localSheetId="26">#REF!</definedName>
    <definedName name="SL017Title" localSheetId="20">#REF!</definedName>
    <definedName name="SL017Title" localSheetId="19">#REF!</definedName>
    <definedName name="SL017Title" localSheetId="18">#REF!</definedName>
    <definedName name="SL017Title" localSheetId="17">#REF!</definedName>
    <definedName name="SL017Title" localSheetId="27">#REF!</definedName>
    <definedName name="SL017Title" localSheetId="21">#REF!</definedName>
    <definedName name="SL017Title" localSheetId="15">#REF!</definedName>
    <definedName name="SL017Title" localSheetId="7">#REF!</definedName>
    <definedName name="SL017Title" localSheetId="8">#REF!</definedName>
    <definedName name="SL017Title" localSheetId="1">#REF!</definedName>
    <definedName name="SL017Title" localSheetId="25">#REF!</definedName>
    <definedName name="SL017Title" localSheetId="30">#REF!</definedName>
    <definedName name="SL017Title" localSheetId="4">#REF!</definedName>
    <definedName name="SL017Title" localSheetId="11">#REF!</definedName>
    <definedName name="SL017Title" localSheetId="24">#REF!</definedName>
    <definedName name="SL017Title">#REF!</definedName>
    <definedName name="SL018Month" localSheetId="29">#REF!</definedName>
    <definedName name="SL018Month" localSheetId="2">#REF!</definedName>
    <definedName name="SL018Month" localSheetId="28">#REF!</definedName>
    <definedName name="SL018Month" localSheetId="16">#REF!</definedName>
    <definedName name="SL018Month" localSheetId="22">#REF!</definedName>
    <definedName name="SL018Month" localSheetId="26">#REF!</definedName>
    <definedName name="SL018Month" localSheetId="20">#REF!</definedName>
    <definedName name="SL018Month" localSheetId="19">#REF!</definedName>
    <definedName name="SL018Month" localSheetId="18">#REF!</definedName>
    <definedName name="SL018Month" localSheetId="17">#REF!</definedName>
    <definedName name="SL018Month" localSheetId="27">#REF!</definedName>
    <definedName name="SL018Month" localSheetId="21">#REF!</definedName>
    <definedName name="SL018Month" localSheetId="15">#REF!</definedName>
    <definedName name="SL018Month" localSheetId="7">#REF!</definedName>
    <definedName name="SL018Month" localSheetId="8">#REF!</definedName>
    <definedName name="SL018Month" localSheetId="1">#REF!</definedName>
    <definedName name="SL018Month" localSheetId="25">#REF!</definedName>
    <definedName name="SL018Month" localSheetId="30">#REF!</definedName>
    <definedName name="SL018Month" localSheetId="4">#REF!</definedName>
    <definedName name="SL018Month" localSheetId="11">#REF!</definedName>
    <definedName name="SL018Month" localSheetId="24">#REF!</definedName>
    <definedName name="SL018Month">#REF!</definedName>
    <definedName name="SL018Text" localSheetId="29">#REF!</definedName>
    <definedName name="SL018Text" localSheetId="2">#REF!</definedName>
    <definedName name="SL018Text" localSheetId="28">#REF!</definedName>
    <definedName name="SL018Text" localSheetId="16">#REF!</definedName>
    <definedName name="SL018Text" localSheetId="22">#REF!</definedName>
    <definedName name="SL018Text" localSheetId="26">#REF!</definedName>
    <definedName name="SL018Text" localSheetId="20">#REF!</definedName>
    <definedName name="SL018Text" localSheetId="19">#REF!</definedName>
    <definedName name="SL018Text" localSheetId="18">#REF!</definedName>
    <definedName name="SL018Text" localSheetId="17">#REF!</definedName>
    <definedName name="SL018Text" localSheetId="27">#REF!</definedName>
    <definedName name="SL018Text" localSheetId="21">#REF!</definedName>
    <definedName name="SL018Text" localSheetId="15">#REF!</definedName>
    <definedName name="SL018Text" localSheetId="7">#REF!</definedName>
    <definedName name="SL018Text" localSheetId="8">#REF!</definedName>
    <definedName name="SL018Text" localSheetId="1">#REF!</definedName>
    <definedName name="SL018Text" localSheetId="25">#REF!</definedName>
    <definedName name="SL018Text" localSheetId="30">#REF!</definedName>
    <definedName name="SL018Text" localSheetId="4">#REF!</definedName>
    <definedName name="SL018Text" localSheetId="11">#REF!</definedName>
    <definedName name="SL018Text" localSheetId="24">#REF!</definedName>
    <definedName name="SL018Text">#REF!</definedName>
    <definedName name="SL018Title" localSheetId="29">#REF!</definedName>
    <definedName name="SL018Title" localSheetId="2">#REF!</definedName>
    <definedName name="SL018Title" localSheetId="28">#REF!</definedName>
    <definedName name="SL018Title" localSheetId="16">#REF!</definedName>
    <definedName name="SL018Title" localSheetId="22">#REF!</definedName>
    <definedName name="SL018Title" localSheetId="26">#REF!</definedName>
    <definedName name="SL018Title" localSheetId="20">#REF!</definedName>
    <definedName name="SL018Title" localSheetId="19">#REF!</definedName>
    <definedName name="SL018Title" localSheetId="18">#REF!</definedName>
    <definedName name="SL018Title" localSheetId="17">#REF!</definedName>
    <definedName name="SL018Title" localSheetId="27">#REF!</definedName>
    <definedName name="SL018Title" localSheetId="21">#REF!</definedName>
    <definedName name="SL018Title" localSheetId="15">#REF!</definedName>
    <definedName name="SL018Title" localSheetId="7">#REF!</definedName>
    <definedName name="SL018Title" localSheetId="8">#REF!</definedName>
    <definedName name="SL018Title" localSheetId="1">#REF!</definedName>
    <definedName name="SL018Title" localSheetId="25">#REF!</definedName>
    <definedName name="SL018Title" localSheetId="30">#REF!</definedName>
    <definedName name="SL018Title" localSheetId="4">#REF!</definedName>
    <definedName name="SL018Title" localSheetId="11">#REF!</definedName>
    <definedName name="SL018Title" localSheetId="24">#REF!</definedName>
    <definedName name="SL018Title">#REF!</definedName>
    <definedName name="SL018YTD" localSheetId="29">#REF!</definedName>
    <definedName name="SL018YTD" localSheetId="2">#REF!</definedName>
    <definedName name="SL018YTD" localSheetId="28">#REF!</definedName>
    <definedName name="SL018YTD" localSheetId="16">#REF!</definedName>
    <definedName name="SL018YTD" localSheetId="22">#REF!</definedName>
    <definedName name="SL018YTD" localSheetId="26">#REF!</definedName>
    <definedName name="SL018YTD" localSheetId="20">#REF!</definedName>
    <definedName name="SL018YTD" localSheetId="19">#REF!</definedName>
    <definedName name="SL018YTD" localSheetId="18">#REF!</definedName>
    <definedName name="SL018YTD" localSheetId="17">#REF!</definedName>
    <definedName name="SL018YTD" localSheetId="27">#REF!</definedName>
    <definedName name="SL018YTD" localSheetId="21">#REF!</definedName>
    <definedName name="SL018YTD" localSheetId="15">#REF!</definedName>
    <definedName name="SL018YTD" localSheetId="7">#REF!</definedName>
    <definedName name="SL018YTD" localSheetId="8">#REF!</definedName>
    <definedName name="SL018YTD" localSheetId="1">#REF!</definedName>
    <definedName name="SL018YTD" localSheetId="25">#REF!</definedName>
    <definedName name="SL018YTD" localSheetId="30">#REF!</definedName>
    <definedName name="SL018YTD" localSheetId="4">#REF!</definedName>
    <definedName name="SL018YTD" localSheetId="11">#REF!</definedName>
    <definedName name="SL018YTD" localSheetId="24">#REF!</definedName>
    <definedName name="SL018YTD">#REF!</definedName>
    <definedName name="SL019Month" localSheetId="29">#REF!</definedName>
    <definedName name="SL019Month" localSheetId="2">#REF!</definedName>
    <definedName name="SL019Month" localSheetId="28">#REF!</definedName>
    <definedName name="SL019Month" localSheetId="16">#REF!</definedName>
    <definedName name="SL019Month" localSheetId="22">#REF!</definedName>
    <definedName name="SL019Month" localSheetId="26">#REF!</definedName>
    <definedName name="SL019Month" localSheetId="20">#REF!</definedName>
    <definedName name="SL019Month" localSheetId="19">#REF!</definedName>
    <definedName name="SL019Month" localSheetId="18">#REF!</definedName>
    <definedName name="SL019Month" localSheetId="17">#REF!</definedName>
    <definedName name="SL019Month" localSheetId="27">#REF!</definedName>
    <definedName name="SL019Month" localSheetId="21">#REF!</definedName>
    <definedName name="SL019Month" localSheetId="15">#REF!</definedName>
    <definedName name="SL019Month" localSheetId="7">#REF!</definedName>
    <definedName name="SL019Month" localSheetId="8">#REF!</definedName>
    <definedName name="SL019Month" localSheetId="1">#REF!</definedName>
    <definedName name="SL019Month" localSheetId="25">#REF!</definedName>
    <definedName name="SL019Month" localSheetId="30">#REF!</definedName>
    <definedName name="SL019Month" localSheetId="4">#REF!</definedName>
    <definedName name="SL019Month" localSheetId="11">#REF!</definedName>
    <definedName name="SL019Month" localSheetId="24">#REF!</definedName>
    <definedName name="SL019Month">#REF!</definedName>
    <definedName name="SL019Text" localSheetId="29">#REF!</definedName>
    <definedName name="SL019Text" localSheetId="2">#REF!</definedName>
    <definedName name="SL019Text" localSheetId="28">#REF!</definedName>
    <definedName name="SL019Text" localSheetId="16">#REF!</definedName>
    <definedName name="SL019Text" localSheetId="22">#REF!</definedName>
    <definedName name="SL019Text" localSheetId="26">#REF!</definedName>
    <definedName name="SL019Text" localSheetId="20">#REF!</definedName>
    <definedName name="SL019Text" localSheetId="19">#REF!</definedName>
    <definedName name="SL019Text" localSheetId="18">#REF!</definedName>
    <definedName name="SL019Text" localSheetId="17">#REF!</definedName>
    <definedName name="SL019Text" localSheetId="27">#REF!</definedName>
    <definedName name="SL019Text" localSheetId="21">#REF!</definedName>
    <definedName name="SL019Text" localSheetId="15">#REF!</definedName>
    <definedName name="SL019Text" localSheetId="7">#REF!</definedName>
    <definedName name="SL019Text" localSheetId="8">#REF!</definedName>
    <definedName name="SL019Text" localSheetId="1">#REF!</definedName>
    <definedName name="SL019Text" localSheetId="25">#REF!</definedName>
    <definedName name="SL019Text" localSheetId="30">#REF!</definedName>
    <definedName name="SL019Text" localSheetId="4">#REF!</definedName>
    <definedName name="SL019Text" localSheetId="11">#REF!</definedName>
    <definedName name="SL019Text" localSheetId="24">#REF!</definedName>
    <definedName name="SL019Text">#REF!</definedName>
    <definedName name="SL019Title" localSheetId="29">#REF!</definedName>
    <definedName name="SL019Title" localSheetId="2">#REF!</definedName>
    <definedName name="SL019Title" localSheetId="28">#REF!</definedName>
    <definedName name="SL019Title" localSheetId="16">#REF!</definedName>
    <definedName name="SL019Title" localSheetId="22">#REF!</definedName>
    <definedName name="SL019Title" localSheetId="26">#REF!</definedName>
    <definedName name="SL019Title" localSheetId="20">#REF!</definedName>
    <definedName name="SL019Title" localSheetId="19">#REF!</definedName>
    <definedName name="SL019Title" localSheetId="18">#REF!</definedName>
    <definedName name="SL019Title" localSheetId="17">#REF!</definedName>
    <definedName name="SL019Title" localSheetId="27">#REF!</definedName>
    <definedName name="SL019Title" localSheetId="21">#REF!</definedName>
    <definedName name="SL019Title" localSheetId="15">#REF!</definedName>
    <definedName name="SL019Title" localSheetId="7">#REF!</definedName>
    <definedName name="SL019Title" localSheetId="8">#REF!</definedName>
    <definedName name="SL019Title" localSheetId="1">#REF!</definedName>
    <definedName name="SL019Title" localSheetId="25">#REF!</definedName>
    <definedName name="SL019Title" localSheetId="30">#REF!</definedName>
    <definedName name="SL019Title" localSheetId="4">#REF!</definedName>
    <definedName name="SL019Title" localSheetId="11">#REF!</definedName>
    <definedName name="SL019Title" localSheetId="24">#REF!</definedName>
    <definedName name="SL019Title">#REF!</definedName>
    <definedName name="SL019YTD" localSheetId="29">#REF!</definedName>
    <definedName name="SL019YTD" localSheetId="2">#REF!</definedName>
    <definedName name="SL019YTD" localSheetId="28">#REF!</definedName>
    <definedName name="SL019YTD" localSheetId="16">#REF!</definedName>
    <definedName name="SL019YTD" localSheetId="22">#REF!</definedName>
    <definedName name="SL019YTD" localSheetId="26">#REF!</definedName>
    <definedName name="SL019YTD" localSheetId="20">#REF!</definedName>
    <definedName name="SL019YTD" localSheetId="19">#REF!</definedName>
    <definedName name="SL019YTD" localSheetId="18">#REF!</definedName>
    <definedName name="SL019YTD" localSheetId="17">#REF!</definedName>
    <definedName name="SL019YTD" localSheetId="27">#REF!</definedName>
    <definedName name="SL019YTD" localSheetId="21">#REF!</definedName>
    <definedName name="SL019YTD" localSheetId="15">#REF!</definedName>
    <definedName name="SL019YTD" localSheetId="7">#REF!</definedName>
    <definedName name="SL019YTD" localSheetId="8">#REF!</definedName>
    <definedName name="SL019YTD" localSheetId="1">#REF!</definedName>
    <definedName name="SL019YTD" localSheetId="25">#REF!</definedName>
    <definedName name="SL019YTD" localSheetId="30">#REF!</definedName>
    <definedName name="SL019YTD" localSheetId="4">#REF!</definedName>
    <definedName name="SL019YTD" localSheetId="11">#REF!</definedName>
    <definedName name="SL019YTD" localSheetId="24">#REF!</definedName>
    <definedName name="SL019YTD">#REF!</definedName>
    <definedName name="SL021Month" localSheetId="29">#REF!</definedName>
    <definedName name="SL021Month" localSheetId="2">#REF!</definedName>
    <definedName name="SL021Month" localSheetId="28">#REF!</definedName>
    <definedName name="SL021Month" localSheetId="16">#REF!</definedName>
    <definedName name="SL021Month" localSheetId="22">#REF!</definedName>
    <definedName name="SL021Month" localSheetId="26">#REF!</definedName>
    <definedName name="SL021Month" localSheetId="20">#REF!</definedName>
    <definedName name="SL021Month" localSheetId="19">#REF!</definedName>
    <definedName name="SL021Month" localSheetId="18">#REF!</definedName>
    <definedName name="SL021Month" localSheetId="17">#REF!</definedName>
    <definedName name="SL021Month" localSheetId="27">#REF!</definedName>
    <definedName name="SL021Month" localSheetId="21">#REF!</definedName>
    <definedName name="SL021Month" localSheetId="15">#REF!</definedName>
    <definedName name="SL021Month" localSheetId="7">#REF!</definedName>
    <definedName name="SL021Month" localSheetId="8">#REF!</definedName>
    <definedName name="SL021Month" localSheetId="1">#REF!</definedName>
    <definedName name="SL021Month" localSheetId="25">#REF!</definedName>
    <definedName name="SL021Month" localSheetId="30">#REF!</definedName>
    <definedName name="SL021Month" localSheetId="4">#REF!</definedName>
    <definedName name="SL021Month" localSheetId="11">#REF!</definedName>
    <definedName name="SL021Month" localSheetId="24">#REF!</definedName>
    <definedName name="SL021Month">#REF!</definedName>
    <definedName name="SL021Text" localSheetId="29">#REF!</definedName>
    <definedName name="SL021Text" localSheetId="2">#REF!</definedName>
    <definedName name="SL021Text" localSheetId="28">#REF!</definedName>
    <definedName name="SL021Text" localSheetId="16">#REF!</definedName>
    <definedName name="SL021Text" localSheetId="22">#REF!</definedName>
    <definedName name="SL021Text" localSheetId="26">#REF!</definedName>
    <definedName name="SL021Text" localSheetId="20">#REF!</definedName>
    <definedName name="SL021Text" localSheetId="19">#REF!</definedName>
    <definedName name="SL021Text" localSheetId="18">#REF!</definedName>
    <definedName name="SL021Text" localSheetId="17">#REF!</definedName>
    <definedName name="SL021Text" localSheetId="27">#REF!</definedName>
    <definedName name="SL021Text" localSheetId="21">#REF!</definedName>
    <definedName name="SL021Text" localSheetId="15">#REF!</definedName>
    <definedName name="SL021Text" localSheetId="7">#REF!</definedName>
    <definedName name="SL021Text" localSheetId="8">#REF!</definedName>
    <definedName name="SL021Text" localSheetId="1">#REF!</definedName>
    <definedName name="SL021Text" localSheetId="25">#REF!</definedName>
    <definedName name="SL021Text" localSheetId="30">#REF!</definedName>
    <definedName name="SL021Text" localSheetId="4">#REF!</definedName>
    <definedName name="SL021Text" localSheetId="11">#REF!</definedName>
    <definedName name="SL021Text" localSheetId="24">#REF!</definedName>
    <definedName name="SL021Text">#REF!</definedName>
    <definedName name="SL021Title" localSheetId="29">#REF!</definedName>
    <definedName name="SL021Title" localSheetId="2">#REF!</definedName>
    <definedName name="SL021Title" localSheetId="28">#REF!</definedName>
    <definedName name="SL021Title" localSheetId="16">#REF!</definedName>
    <definedName name="SL021Title" localSheetId="22">#REF!</definedName>
    <definedName name="SL021Title" localSheetId="26">#REF!</definedName>
    <definedName name="SL021Title" localSheetId="20">#REF!</definedName>
    <definedName name="SL021Title" localSheetId="19">#REF!</definedName>
    <definedName name="SL021Title" localSheetId="18">#REF!</definedName>
    <definedName name="SL021Title" localSheetId="17">#REF!</definedName>
    <definedName name="SL021Title" localSheetId="27">#REF!</definedName>
    <definedName name="SL021Title" localSheetId="21">#REF!</definedName>
    <definedName name="SL021Title" localSheetId="15">#REF!</definedName>
    <definedName name="SL021Title" localSheetId="7">#REF!</definedName>
    <definedName name="SL021Title" localSheetId="8">#REF!</definedName>
    <definedName name="SL021Title" localSheetId="1">#REF!</definedName>
    <definedName name="SL021Title" localSheetId="25">#REF!</definedName>
    <definedName name="SL021Title" localSheetId="30">#REF!</definedName>
    <definedName name="SL021Title" localSheetId="4">#REF!</definedName>
    <definedName name="SL021Title" localSheetId="11">#REF!</definedName>
    <definedName name="SL021Title" localSheetId="24">#REF!</definedName>
    <definedName name="SL021Title">#REF!</definedName>
    <definedName name="SL021YTD" localSheetId="29">#REF!</definedName>
    <definedName name="SL021YTD" localSheetId="2">#REF!</definedName>
    <definedName name="SL021YTD" localSheetId="28">#REF!</definedName>
    <definedName name="SL021YTD" localSheetId="16">#REF!</definedName>
    <definedName name="SL021YTD" localSheetId="22">#REF!</definedName>
    <definedName name="SL021YTD" localSheetId="26">#REF!</definedName>
    <definedName name="SL021YTD" localSheetId="20">#REF!</definedName>
    <definedName name="SL021YTD" localSheetId="19">#REF!</definedName>
    <definedName name="SL021YTD" localSheetId="18">#REF!</definedName>
    <definedName name="SL021YTD" localSheetId="17">#REF!</definedName>
    <definedName name="SL021YTD" localSheetId="27">#REF!</definedName>
    <definedName name="SL021YTD" localSheetId="21">#REF!</definedName>
    <definedName name="SL021YTD" localSheetId="15">#REF!</definedName>
    <definedName name="SL021YTD" localSheetId="7">#REF!</definedName>
    <definedName name="SL021YTD" localSheetId="8">#REF!</definedName>
    <definedName name="SL021YTD" localSheetId="1">#REF!</definedName>
    <definedName name="SL021YTD" localSheetId="25">#REF!</definedName>
    <definedName name="SL021YTD" localSheetId="30">#REF!</definedName>
    <definedName name="SL021YTD" localSheetId="4">#REF!</definedName>
    <definedName name="SL021YTD" localSheetId="11">#REF!</definedName>
    <definedName name="SL021YTD" localSheetId="24">#REF!</definedName>
    <definedName name="SL021YTD">#REF!</definedName>
    <definedName name="SL022Month" localSheetId="29">#REF!</definedName>
    <definedName name="SL022Month" localSheetId="2">#REF!</definedName>
    <definedName name="SL022Month" localSheetId="28">#REF!</definedName>
    <definedName name="SL022Month" localSheetId="16">#REF!</definedName>
    <definedName name="SL022Month" localSheetId="22">#REF!</definedName>
    <definedName name="SL022Month" localSheetId="26">#REF!</definedName>
    <definedName name="SL022Month" localSheetId="20">#REF!</definedName>
    <definedName name="SL022Month" localSheetId="19">#REF!</definedName>
    <definedName name="SL022Month" localSheetId="18">#REF!</definedName>
    <definedName name="SL022Month" localSheetId="17">#REF!</definedName>
    <definedName name="SL022Month" localSheetId="27">#REF!</definedName>
    <definedName name="SL022Month" localSheetId="21">#REF!</definedName>
    <definedName name="SL022Month" localSheetId="15">#REF!</definedName>
    <definedName name="SL022Month" localSheetId="7">#REF!</definedName>
    <definedName name="SL022Month" localSheetId="8">#REF!</definedName>
    <definedName name="SL022Month" localSheetId="1">#REF!</definedName>
    <definedName name="SL022Month" localSheetId="25">#REF!</definedName>
    <definedName name="SL022Month" localSheetId="30">#REF!</definedName>
    <definedName name="SL022Month" localSheetId="4">#REF!</definedName>
    <definedName name="SL022Month" localSheetId="11">#REF!</definedName>
    <definedName name="SL022Month" localSheetId="24">#REF!</definedName>
    <definedName name="SL022Month">#REF!</definedName>
    <definedName name="SL022Text" localSheetId="29">#REF!</definedName>
    <definedName name="SL022Text" localSheetId="2">#REF!</definedName>
    <definedName name="SL022Text" localSheetId="28">#REF!</definedName>
    <definedName name="SL022Text" localSheetId="16">#REF!</definedName>
    <definedName name="SL022Text" localSheetId="22">#REF!</definedName>
    <definedName name="SL022Text" localSheetId="26">#REF!</definedName>
    <definedName name="SL022Text" localSheetId="20">#REF!</definedName>
    <definedName name="SL022Text" localSheetId="19">#REF!</definedName>
    <definedName name="SL022Text" localSheetId="18">#REF!</definedName>
    <definedName name="SL022Text" localSheetId="17">#REF!</definedName>
    <definedName name="SL022Text" localSheetId="27">#REF!</definedName>
    <definedName name="SL022Text" localSheetId="21">#REF!</definedName>
    <definedName name="SL022Text" localSheetId="15">#REF!</definedName>
    <definedName name="SL022Text" localSheetId="7">#REF!</definedName>
    <definedName name="SL022Text" localSheetId="8">#REF!</definedName>
    <definedName name="SL022Text" localSheetId="1">#REF!</definedName>
    <definedName name="SL022Text" localSheetId="25">#REF!</definedName>
    <definedName name="SL022Text" localSheetId="30">#REF!</definedName>
    <definedName name="SL022Text" localSheetId="4">#REF!</definedName>
    <definedName name="SL022Text" localSheetId="11">#REF!</definedName>
    <definedName name="SL022Text" localSheetId="24">#REF!</definedName>
    <definedName name="SL022Text">#REF!</definedName>
    <definedName name="SL022Title" localSheetId="29">#REF!</definedName>
    <definedName name="SL022Title" localSheetId="2">#REF!</definedName>
    <definedName name="SL022Title" localSheetId="28">#REF!</definedName>
    <definedName name="SL022Title" localSheetId="16">#REF!</definedName>
    <definedName name="SL022Title" localSheetId="22">#REF!</definedName>
    <definedName name="SL022Title" localSheetId="26">#REF!</definedName>
    <definedName name="SL022Title" localSheetId="20">#REF!</definedName>
    <definedName name="SL022Title" localSheetId="19">#REF!</definedName>
    <definedName name="SL022Title" localSheetId="18">#REF!</definedName>
    <definedName name="SL022Title" localSheetId="17">#REF!</definedName>
    <definedName name="SL022Title" localSheetId="27">#REF!</definedName>
    <definedName name="SL022Title" localSheetId="21">#REF!</definedName>
    <definedName name="SL022Title" localSheetId="15">#REF!</definedName>
    <definedName name="SL022Title" localSheetId="7">#REF!</definedName>
    <definedName name="SL022Title" localSheetId="8">#REF!</definedName>
    <definedName name="SL022Title" localSheetId="1">#REF!</definedName>
    <definedName name="SL022Title" localSheetId="25">#REF!</definedName>
    <definedName name="SL022Title" localSheetId="30">#REF!</definedName>
    <definedName name="SL022Title" localSheetId="4">#REF!</definedName>
    <definedName name="SL022Title" localSheetId="11">#REF!</definedName>
    <definedName name="SL022Title" localSheetId="24">#REF!</definedName>
    <definedName name="SL022Title">#REF!</definedName>
    <definedName name="SL022YTD" localSheetId="29">#REF!</definedName>
    <definedName name="SL022YTD" localSheetId="2">#REF!</definedName>
    <definedName name="SL022YTD" localSheetId="28">#REF!</definedName>
    <definedName name="SL022YTD" localSheetId="16">#REF!</definedName>
    <definedName name="SL022YTD" localSheetId="22">#REF!</definedName>
    <definedName name="SL022YTD" localSheetId="26">#REF!</definedName>
    <definedName name="SL022YTD" localSheetId="20">#REF!</definedName>
    <definedName name="SL022YTD" localSheetId="19">#REF!</definedName>
    <definedName name="SL022YTD" localSheetId="18">#REF!</definedName>
    <definedName name="SL022YTD" localSheetId="17">#REF!</definedName>
    <definedName name="SL022YTD" localSheetId="27">#REF!</definedName>
    <definedName name="SL022YTD" localSheetId="21">#REF!</definedName>
    <definedName name="SL022YTD" localSheetId="15">#REF!</definedName>
    <definedName name="SL022YTD" localSheetId="7">#REF!</definedName>
    <definedName name="SL022YTD" localSheetId="8">#REF!</definedName>
    <definedName name="SL022YTD" localSheetId="1">#REF!</definedName>
    <definedName name="SL022YTD" localSheetId="25">#REF!</definedName>
    <definedName name="SL022YTD" localSheetId="30">#REF!</definedName>
    <definedName name="SL022YTD" localSheetId="4">#REF!</definedName>
    <definedName name="SL022YTD" localSheetId="11">#REF!</definedName>
    <definedName name="SL022YTD" localSheetId="24">#REF!</definedName>
    <definedName name="SL022YTD">#REF!</definedName>
    <definedName name="SL023Month" localSheetId="29">#REF!</definedName>
    <definedName name="SL023Month" localSheetId="2">#REF!</definedName>
    <definedName name="SL023Month" localSheetId="28">#REF!</definedName>
    <definedName name="SL023Month" localSheetId="16">#REF!</definedName>
    <definedName name="SL023Month" localSheetId="22">#REF!</definedName>
    <definedName name="SL023Month" localSheetId="26">#REF!</definedName>
    <definedName name="SL023Month" localSheetId="20">#REF!</definedName>
    <definedName name="SL023Month" localSheetId="19">#REF!</definedName>
    <definedName name="SL023Month" localSheetId="18">#REF!</definedName>
    <definedName name="SL023Month" localSheetId="17">#REF!</definedName>
    <definedName name="SL023Month" localSheetId="27">#REF!</definedName>
    <definedName name="SL023Month" localSheetId="21">#REF!</definedName>
    <definedName name="SL023Month" localSheetId="15">#REF!</definedName>
    <definedName name="SL023Month" localSheetId="7">#REF!</definedName>
    <definedName name="SL023Month" localSheetId="8">#REF!</definedName>
    <definedName name="SL023Month" localSheetId="1">#REF!</definedName>
    <definedName name="SL023Month" localSheetId="25">#REF!</definedName>
    <definedName name="SL023Month" localSheetId="30">#REF!</definedName>
    <definedName name="SL023Month" localSheetId="4">#REF!</definedName>
    <definedName name="SL023Month" localSheetId="11">#REF!</definedName>
    <definedName name="SL023Month" localSheetId="24">#REF!</definedName>
    <definedName name="SL023Month">#REF!</definedName>
    <definedName name="SL023Text" localSheetId="29">#REF!</definedName>
    <definedName name="SL023Text" localSheetId="2">#REF!</definedName>
    <definedName name="SL023Text" localSheetId="28">#REF!</definedName>
    <definedName name="SL023Text" localSheetId="16">#REF!</definedName>
    <definedName name="SL023Text" localSheetId="22">#REF!</definedName>
    <definedName name="SL023Text" localSheetId="26">#REF!</definedName>
    <definedName name="SL023Text" localSheetId="20">#REF!</definedName>
    <definedName name="SL023Text" localSheetId="19">#REF!</definedName>
    <definedName name="SL023Text" localSheetId="18">#REF!</definedName>
    <definedName name="SL023Text" localSheetId="17">#REF!</definedName>
    <definedName name="SL023Text" localSheetId="27">#REF!</definedName>
    <definedName name="SL023Text" localSheetId="21">#REF!</definedName>
    <definedName name="SL023Text" localSheetId="15">#REF!</definedName>
    <definedName name="SL023Text" localSheetId="7">#REF!</definedName>
    <definedName name="SL023Text" localSheetId="8">#REF!</definedName>
    <definedName name="SL023Text" localSheetId="1">#REF!</definedName>
    <definedName name="SL023Text" localSheetId="25">#REF!</definedName>
    <definedName name="SL023Text" localSheetId="30">#REF!</definedName>
    <definedName name="SL023Text" localSheetId="4">#REF!</definedName>
    <definedName name="SL023Text" localSheetId="11">#REF!</definedName>
    <definedName name="SL023Text" localSheetId="24">#REF!</definedName>
    <definedName name="SL023Text">#REF!</definedName>
    <definedName name="SL023Title" localSheetId="29">#REF!</definedName>
    <definedName name="SL023Title" localSheetId="2">#REF!</definedName>
    <definedName name="SL023Title" localSheetId="28">#REF!</definedName>
    <definedName name="SL023Title" localSheetId="16">#REF!</definedName>
    <definedName name="SL023Title" localSheetId="22">#REF!</definedName>
    <definedName name="SL023Title" localSheetId="26">#REF!</definedName>
    <definedName name="SL023Title" localSheetId="20">#REF!</definedName>
    <definedName name="SL023Title" localSheetId="19">#REF!</definedName>
    <definedName name="SL023Title" localSheetId="18">#REF!</definedName>
    <definedName name="SL023Title" localSheetId="17">#REF!</definedName>
    <definedName name="SL023Title" localSheetId="27">#REF!</definedName>
    <definedName name="SL023Title" localSheetId="21">#REF!</definedName>
    <definedName name="SL023Title" localSheetId="15">#REF!</definedName>
    <definedName name="SL023Title" localSheetId="7">#REF!</definedName>
    <definedName name="SL023Title" localSheetId="8">#REF!</definedName>
    <definedName name="SL023Title" localSheetId="1">#REF!</definedName>
    <definedName name="SL023Title" localSheetId="25">#REF!</definedName>
    <definedName name="SL023Title" localSheetId="30">#REF!</definedName>
    <definedName name="SL023Title" localSheetId="4">#REF!</definedName>
    <definedName name="SL023Title" localSheetId="11">#REF!</definedName>
    <definedName name="SL023Title" localSheetId="24">#REF!</definedName>
    <definedName name="SL023Title">#REF!</definedName>
    <definedName name="SL023YTD" localSheetId="29">#REF!</definedName>
    <definedName name="SL023YTD" localSheetId="2">#REF!</definedName>
    <definedName name="SL023YTD" localSheetId="28">#REF!</definedName>
    <definedName name="SL023YTD" localSheetId="16">#REF!</definedName>
    <definedName name="SL023YTD" localSheetId="22">#REF!</definedName>
    <definedName name="SL023YTD" localSheetId="26">#REF!</definedName>
    <definedName name="SL023YTD" localSheetId="20">#REF!</definedName>
    <definedName name="SL023YTD" localSheetId="19">#REF!</definedName>
    <definedName name="SL023YTD" localSheetId="18">#REF!</definedName>
    <definedName name="SL023YTD" localSheetId="17">#REF!</definedName>
    <definedName name="SL023YTD" localSheetId="27">#REF!</definedName>
    <definedName name="SL023YTD" localSheetId="21">#REF!</definedName>
    <definedName name="SL023YTD" localSheetId="15">#REF!</definedName>
    <definedName name="SL023YTD" localSheetId="7">#REF!</definedName>
    <definedName name="SL023YTD" localSheetId="8">#REF!</definedName>
    <definedName name="SL023YTD" localSheetId="1">#REF!</definedName>
    <definedName name="SL023YTD" localSheetId="25">#REF!</definedName>
    <definedName name="SL023YTD" localSheetId="30">#REF!</definedName>
    <definedName name="SL023YTD" localSheetId="4">#REF!</definedName>
    <definedName name="SL023YTD" localSheetId="11">#REF!</definedName>
    <definedName name="SL023YTD" localSheetId="24">#REF!</definedName>
    <definedName name="SL023YTD">#REF!</definedName>
    <definedName name="SL024Month" localSheetId="29">#REF!</definedName>
    <definedName name="SL024Month" localSheetId="2">#REF!</definedName>
    <definedName name="SL024Month" localSheetId="28">#REF!</definedName>
    <definedName name="SL024Month" localSheetId="16">#REF!</definedName>
    <definedName name="SL024Month" localSheetId="22">#REF!</definedName>
    <definedName name="SL024Month" localSheetId="26">#REF!</definedName>
    <definedName name="SL024Month" localSheetId="20">#REF!</definedName>
    <definedName name="SL024Month" localSheetId="19">#REF!</definedName>
    <definedName name="SL024Month" localSheetId="18">#REF!</definedName>
    <definedName name="SL024Month" localSheetId="17">#REF!</definedName>
    <definedName name="SL024Month" localSheetId="27">#REF!</definedName>
    <definedName name="SL024Month" localSheetId="21">#REF!</definedName>
    <definedName name="SL024Month" localSheetId="15">#REF!</definedName>
    <definedName name="SL024Month" localSheetId="7">#REF!</definedName>
    <definedName name="SL024Month" localSheetId="8">#REF!</definedName>
    <definedName name="SL024Month" localSheetId="1">#REF!</definedName>
    <definedName name="SL024Month" localSheetId="25">#REF!</definedName>
    <definedName name="SL024Month" localSheetId="30">#REF!</definedName>
    <definedName name="SL024Month" localSheetId="4">#REF!</definedName>
    <definedName name="SL024Month" localSheetId="11">#REF!</definedName>
    <definedName name="SL024Month" localSheetId="24">#REF!</definedName>
    <definedName name="SL024Month">#REF!</definedName>
    <definedName name="SL024Text" localSheetId="29">#REF!</definedName>
    <definedName name="SL024Text" localSheetId="2">#REF!</definedName>
    <definedName name="SL024Text" localSheetId="28">#REF!</definedName>
    <definedName name="SL024Text" localSheetId="16">#REF!</definedName>
    <definedName name="SL024Text" localSheetId="22">#REF!</definedName>
    <definedName name="SL024Text" localSheetId="26">#REF!</definedName>
    <definedName name="SL024Text" localSheetId="20">#REF!</definedName>
    <definedName name="SL024Text" localSheetId="19">#REF!</definedName>
    <definedName name="SL024Text" localSheetId="18">#REF!</definedName>
    <definedName name="SL024Text" localSheetId="17">#REF!</definedName>
    <definedName name="SL024Text" localSheetId="27">#REF!</definedName>
    <definedName name="SL024Text" localSheetId="21">#REF!</definedName>
    <definedName name="SL024Text" localSheetId="15">#REF!</definedName>
    <definedName name="SL024Text" localSheetId="7">#REF!</definedName>
    <definedName name="SL024Text" localSheetId="8">#REF!</definedName>
    <definedName name="SL024Text" localSheetId="1">#REF!</definedName>
    <definedName name="SL024Text" localSheetId="25">#REF!</definedName>
    <definedName name="SL024Text" localSheetId="30">#REF!</definedName>
    <definedName name="SL024Text" localSheetId="4">#REF!</definedName>
    <definedName name="SL024Text" localSheetId="11">#REF!</definedName>
    <definedName name="SL024Text" localSheetId="24">#REF!</definedName>
    <definedName name="SL024Text">#REF!</definedName>
    <definedName name="SL024Title" localSheetId="29">#REF!</definedName>
    <definedName name="SL024Title" localSheetId="2">#REF!</definedName>
    <definedName name="SL024Title" localSheetId="28">#REF!</definedName>
    <definedName name="SL024Title" localSheetId="16">#REF!</definedName>
    <definedName name="SL024Title" localSheetId="22">#REF!</definedName>
    <definedName name="SL024Title" localSheetId="26">#REF!</definedName>
    <definedName name="SL024Title" localSheetId="20">#REF!</definedName>
    <definedName name="SL024Title" localSheetId="19">#REF!</definedName>
    <definedName name="SL024Title" localSheetId="18">#REF!</definedName>
    <definedName name="SL024Title" localSheetId="17">#REF!</definedName>
    <definedName name="SL024Title" localSheetId="27">#REF!</definedName>
    <definedName name="SL024Title" localSheetId="21">#REF!</definedName>
    <definedName name="SL024Title" localSheetId="15">#REF!</definedName>
    <definedName name="SL024Title" localSheetId="7">#REF!</definedName>
    <definedName name="SL024Title" localSheetId="8">#REF!</definedName>
    <definedName name="SL024Title" localSheetId="1">#REF!</definedName>
    <definedName name="SL024Title" localSheetId="25">#REF!</definedName>
    <definedName name="SL024Title" localSheetId="30">#REF!</definedName>
    <definedName name="SL024Title" localSheetId="4">#REF!</definedName>
    <definedName name="SL024Title" localSheetId="11">#REF!</definedName>
    <definedName name="SL024Title" localSheetId="24">#REF!</definedName>
    <definedName name="SL024Title">#REF!</definedName>
    <definedName name="SL024YTD" localSheetId="29">#REF!</definedName>
    <definedName name="SL024YTD" localSheetId="2">#REF!</definedName>
    <definedName name="SL024YTD" localSheetId="28">#REF!</definedName>
    <definedName name="SL024YTD" localSheetId="16">#REF!</definedName>
    <definedName name="SL024YTD" localSheetId="22">#REF!</definedName>
    <definedName name="SL024YTD" localSheetId="26">#REF!</definedName>
    <definedName name="SL024YTD" localSheetId="20">#REF!</definedName>
    <definedName name="SL024YTD" localSheetId="19">#REF!</definedName>
    <definedName name="SL024YTD" localSheetId="18">#REF!</definedName>
    <definedName name="SL024YTD" localSheetId="17">#REF!</definedName>
    <definedName name="SL024YTD" localSheetId="27">#REF!</definedName>
    <definedName name="SL024YTD" localSheetId="21">#REF!</definedName>
    <definedName name="SL024YTD" localSheetId="15">#REF!</definedName>
    <definedName name="SL024YTD" localSheetId="7">#REF!</definedName>
    <definedName name="SL024YTD" localSheetId="8">#REF!</definedName>
    <definedName name="SL024YTD" localSheetId="1">#REF!</definedName>
    <definedName name="SL024YTD" localSheetId="25">#REF!</definedName>
    <definedName name="SL024YTD" localSheetId="30">#REF!</definedName>
    <definedName name="SL024YTD" localSheetId="4">#REF!</definedName>
    <definedName name="SL024YTD" localSheetId="11">#REF!</definedName>
    <definedName name="SL024YTD" localSheetId="24">#REF!</definedName>
    <definedName name="SL024YTD">#REF!</definedName>
    <definedName name="SL025Month" localSheetId="29">#REF!</definedName>
    <definedName name="SL025Month" localSheetId="2">#REF!</definedName>
    <definedName name="SL025Month" localSheetId="28">#REF!</definedName>
    <definedName name="SL025Month" localSheetId="16">#REF!</definedName>
    <definedName name="SL025Month" localSheetId="22">#REF!</definedName>
    <definedName name="SL025Month" localSheetId="26">#REF!</definedName>
    <definedName name="SL025Month" localSheetId="20">#REF!</definedName>
    <definedName name="SL025Month" localSheetId="19">#REF!</definedName>
    <definedName name="SL025Month" localSheetId="18">#REF!</definedName>
    <definedName name="SL025Month" localSheetId="17">#REF!</definedName>
    <definedName name="SL025Month" localSheetId="27">#REF!</definedName>
    <definedName name="SL025Month" localSheetId="21">#REF!</definedName>
    <definedName name="SL025Month" localSheetId="15">#REF!</definedName>
    <definedName name="SL025Month" localSheetId="7">#REF!</definedName>
    <definedName name="SL025Month" localSheetId="8">#REF!</definedName>
    <definedName name="SL025Month" localSheetId="1">#REF!</definedName>
    <definedName name="SL025Month" localSheetId="25">#REF!</definedName>
    <definedName name="SL025Month" localSheetId="30">#REF!</definedName>
    <definedName name="SL025Month" localSheetId="4">#REF!</definedName>
    <definedName name="SL025Month" localSheetId="11">#REF!</definedName>
    <definedName name="SL025Month" localSheetId="24">#REF!</definedName>
    <definedName name="SL025Month">#REF!</definedName>
    <definedName name="SL025Text" localSheetId="29">#REF!</definedName>
    <definedName name="SL025Text" localSheetId="2">#REF!</definedName>
    <definedName name="SL025Text" localSheetId="28">#REF!</definedName>
    <definedName name="SL025Text" localSheetId="16">#REF!</definedName>
    <definedName name="SL025Text" localSheetId="22">#REF!</definedName>
    <definedName name="SL025Text" localSheetId="26">#REF!</definedName>
    <definedName name="SL025Text" localSheetId="20">#REF!</definedName>
    <definedName name="SL025Text" localSheetId="19">#REF!</definedName>
    <definedName name="SL025Text" localSheetId="18">#REF!</definedName>
    <definedName name="SL025Text" localSheetId="17">#REF!</definedName>
    <definedName name="SL025Text" localSheetId="27">#REF!</definedName>
    <definedName name="SL025Text" localSheetId="21">#REF!</definedName>
    <definedName name="SL025Text" localSheetId="15">#REF!</definedName>
    <definedName name="SL025Text" localSheetId="7">#REF!</definedName>
    <definedName name="SL025Text" localSheetId="8">#REF!</definedName>
    <definedName name="SL025Text" localSheetId="1">#REF!</definedName>
    <definedName name="SL025Text" localSheetId="25">#REF!</definedName>
    <definedName name="SL025Text" localSheetId="30">#REF!</definedName>
    <definedName name="SL025Text" localSheetId="4">#REF!</definedName>
    <definedName name="SL025Text" localSheetId="11">#REF!</definedName>
    <definedName name="SL025Text" localSheetId="24">#REF!</definedName>
    <definedName name="SL025Text">#REF!</definedName>
    <definedName name="SL025Title" localSheetId="29">#REF!</definedName>
    <definedName name="SL025Title" localSheetId="2">#REF!</definedName>
    <definedName name="SL025Title" localSheetId="28">#REF!</definedName>
    <definedName name="SL025Title" localSheetId="16">#REF!</definedName>
    <definedName name="SL025Title" localSheetId="22">#REF!</definedName>
    <definedName name="SL025Title" localSheetId="26">#REF!</definedName>
    <definedName name="SL025Title" localSheetId="20">#REF!</definedName>
    <definedName name="SL025Title" localSheetId="19">#REF!</definedName>
    <definedName name="SL025Title" localSheetId="18">#REF!</definedName>
    <definedName name="SL025Title" localSheetId="17">#REF!</definedName>
    <definedName name="SL025Title" localSheetId="27">#REF!</definedName>
    <definedName name="SL025Title" localSheetId="21">#REF!</definedName>
    <definedName name="SL025Title" localSheetId="15">#REF!</definedName>
    <definedName name="SL025Title" localSheetId="7">#REF!</definedName>
    <definedName name="SL025Title" localSheetId="8">#REF!</definedName>
    <definedName name="SL025Title" localSheetId="1">#REF!</definedName>
    <definedName name="SL025Title" localSheetId="25">#REF!</definedName>
    <definedName name="SL025Title" localSheetId="30">#REF!</definedName>
    <definedName name="SL025Title" localSheetId="4">#REF!</definedName>
    <definedName name="SL025Title" localSheetId="11">#REF!</definedName>
    <definedName name="SL025Title" localSheetId="24">#REF!</definedName>
    <definedName name="SL025Title">#REF!</definedName>
    <definedName name="SL025YTD" localSheetId="29">#REF!</definedName>
    <definedName name="SL025YTD" localSheetId="2">#REF!</definedName>
    <definedName name="SL025YTD" localSheetId="28">#REF!</definedName>
    <definedName name="SL025YTD" localSheetId="16">#REF!</definedName>
    <definedName name="SL025YTD" localSheetId="22">#REF!</definedName>
    <definedName name="SL025YTD" localSheetId="26">#REF!</definedName>
    <definedName name="SL025YTD" localSheetId="20">#REF!</definedName>
    <definedName name="SL025YTD" localSheetId="19">#REF!</definedName>
    <definedName name="SL025YTD" localSheetId="18">#REF!</definedName>
    <definedName name="SL025YTD" localSheetId="17">#REF!</definedName>
    <definedName name="SL025YTD" localSheetId="27">#REF!</definedName>
    <definedName name="SL025YTD" localSheetId="21">#REF!</definedName>
    <definedName name="SL025YTD" localSheetId="15">#REF!</definedName>
    <definedName name="SL025YTD" localSheetId="7">#REF!</definedName>
    <definedName name="SL025YTD" localSheetId="8">#REF!</definedName>
    <definedName name="SL025YTD" localSheetId="1">#REF!</definedName>
    <definedName name="SL025YTD" localSheetId="25">#REF!</definedName>
    <definedName name="SL025YTD" localSheetId="30">#REF!</definedName>
    <definedName name="SL025YTD" localSheetId="4">#REF!</definedName>
    <definedName name="SL025YTD" localSheetId="11">#REF!</definedName>
    <definedName name="SL025YTD" localSheetId="24">#REF!</definedName>
    <definedName name="SL025YTD">#REF!</definedName>
    <definedName name="StartMonth" localSheetId="29">#REF!</definedName>
    <definedName name="StartMonth" localSheetId="2">#REF!</definedName>
    <definedName name="StartMonth" localSheetId="28">#REF!</definedName>
    <definedName name="StartMonth" localSheetId="16">#REF!</definedName>
    <definedName name="StartMonth" localSheetId="22">#REF!</definedName>
    <definedName name="StartMonth" localSheetId="26">#REF!</definedName>
    <definedName name="StartMonth" localSheetId="20">#REF!</definedName>
    <definedName name="StartMonth" localSheetId="19">#REF!</definedName>
    <definedName name="StartMonth" localSheetId="18">#REF!</definedName>
    <definedName name="StartMonth" localSheetId="17">#REF!</definedName>
    <definedName name="StartMonth" localSheetId="27">#REF!</definedName>
    <definedName name="StartMonth" localSheetId="21">#REF!</definedName>
    <definedName name="StartMonth" localSheetId="15">#REF!</definedName>
    <definedName name="StartMonth" localSheetId="7">#REF!</definedName>
    <definedName name="StartMonth" localSheetId="8">#REF!</definedName>
    <definedName name="StartMonth" localSheetId="1">#REF!</definedName>
    <definedName name="StartMonth" localSheetId="25">#REF!</definedName>
    <definedName name="StartMonth" localSheetId="30">#REF!</definedName>
    <definedName name="StartMonth" localSheetId="4">#REF!</definedName>
    <definedName name="StartMonth" localSheetId="11">#REF!</definedName>
    <definedName name="StartMonth" localSheetId="24">#REF!</definedName>
    <definedName name="StartMonth">#REF!</definedName>
    <definedName name="SWSC">'national caseload'!$B$47</definedName>
    <definedName name="Target1516M" localSheetId="29">#REF!</definedName>
    <definedName name="Target1516M" localSheetId="2">#REF!</definedName>
    <definedName name="Target1516M" localSheetId="28">#REF!</definedName>
    <definedName name="Target1516M" localSheetId="16">#REF!</definedName>
    <definedName name="Target1516M" localSheetId="22">#REF!</definedName>
    <definedName name="Target1516M" localSheetId="26">#REF!</definedName>
    <definedName name="Target1516M" localSheetId="20">#REF!</definedName>
    <definedName name="Target1516M" localSheetId="19">#REF!</definedName>
    <definedName name="Target1516M" localSheetId="18">#REF!</definedName>
    <definedName name="Target1516M" localSheetId="17">#REF!</definedName>
    <definedName name="Target1516M" localSheetId="27">#REF!</definedName>
    <definedName name="Target1516M" localSheetId="21">#REF!</definedName>
    <definedName name="Target1516M" localSheetId="15">#REF!</definedName>
    <definedName name="Target1516M" localSheetId="7">#REF!</definedName>
    <definedName name="Target1516M" localSheetId="8">#REF!</definedName>
    <definedName name="Target1516M" localSheetId="1">#REF!</definedName>
    <definedName name="Target1516M" localSheetId="25">#REF!</definedName>
    <definedName name="Target1516M" localSheetId="30">#REF!</definedName>
    <definedName name="Target1516M" localSheetId="4">#REF!</definedName>
    <definedName name="Target1516M" localSheetId="11">#REF!</definedName>
    <definedName name="Target1516M" localSheetId="24">#REF!</definedName>
    <definedName name="Target1516M">#REF!</definedName>
    <definedName name="Target1516Ref" localSheetId="29">#REF!</definedName>
    <definedName name="Target1516Ref" localSheetId="2">#REF!</definedName>
    <definedName name="Target1516Ref" localSheetId="28">#REF!</definedName>
    <definedName name="Target1516Ref" localSheetId="16">#REF!</definedName>
    <definedName name="Target1516Ref" localSheetId="22">#REF!</definedName>
    <definedName name="Target1516Ref" localSheetId="26">#REF!</definedName>
    <definedName name="Target1516Ref" localSheetId="20">#REF!</definedName>
    <definedName name="Target1516Ref" localSheetId="19">#REF!</definedName>
    <definedName name="Target1516Ref" localSheetId="18">#REF!</definedName>
    <definedName name="Target1516Ref" localSheetId="17">#REF!</definedName>
    <definedName name="Target1516Ref" localSheetId="27">#REF!</definedName>
    <definedName name="Target1516Ref" localSheetId="21">#REF!</definedName>
    <definedName name="Target1516Ref" localSheetId="15">#REF!</definedName>
    <definedName name="Target1516Ref" localSheetId="7">#REF!</definedName>
    <definedName name="Target1516Ref" localSheetId="8">#REF!</definedName>
    <definedName name="Target1516Ref" localSheetId="1">#REF!</definedName>
    <definedName name="Target1516Ref" localSheetId="25">#REF!</definedName>
    <definedName name="Target1516Ref" localSheetId="30">#REF!</definedName>
    <definedName name="Target1516Ref" localSheetId="4">#REF!</definedName>
    <definedName name="Target1516Ref" localSheetId="11">#REF!</definedName>
    <definedName name="Target1516Ref" localSheetId="24">#REF!</definedName>
    <definedName name="Target1516Ref">#REF!</definedName>
    <definedName name="Target1516YTD" localSheetId="29">#REF!</definedName>
    <definedName name="Target1516YTD" localSheetId="2">#REF!</definedName>
    <definedName name="Target1516YTD" localSheetId="28">#REF!</definedName>
    <definedName name="Target1516YTD" localSheetId="16">#REF!</definedName>
    <definedName name="Target1516YTD" localSheetId="22">#REF!</definedName>
    <definedName name="Target1516YTD" localSheetId="26">#REF!</definedName>
    <definedName name="Target1516YTD" localSheetId="20">#REF!</definedName>
    <definedName name="Target1516YTD" localSheetId="19">#REF!</definedName>
    <definedName name="Target1516YTD" localSheetId="18">#REF!</definedName>
    <definedName name="Target1516YTD" localSheetId="17">#REF!</definedName>
    <definedName name="Target1516YTD" localSheetId="27">#REF!</definedName>
    <definedName name="Target1516YTD" localSheetId="21">#REF!</definedName>
    <definedName name="Target1516YTD" localSheetId="15">#REF!</definedName>
    <definedName name="Target1516YTD" localSheetId="7">#REF!</definedName>
    <definedName name="Target1516YTD" localSheetId="8">#REF!</definedName>
    <definedName name="Target1516YTD" localSheetId="1">#REF!</definedName>
    <definedName name="Target1516YTD" localSheetId="25">#REF!</definedName>
    <definedName name="Target1516YTD" localSheetId="30">#REF!</definedName>
    <definedName name="Target1516YTD" localSheetId="4">#REF!</definedName>
    <definedName name="Target1516YTD" localSheetId="11">#REF!</definedName>
    <definedName name="Target1516YTD" localSheetId="24">#REF!</definedName>
    <definedName name="Target1516YTD">#REF!</definedName>
    <definedName name="Targets" localSheetId="29">#REF!</definedName>
    <definedName name="Targets" localSheetId="2">#REF!</definedName>
    <definedName name="Targets" localSheetId="28">#REF!</definedName>
    <definedName name="Targets" localSheetId="16">#REF!</definedName>
    <definedName name="Targets" localSheetId="22">#REF!</definedName>
    <definedName name="Targets" localSheetId="26">#REF!</definedName>
    <definedName name="Targets" localSheetId="20">#REF!</definedName>
    <definedName name="Targets" localSheetId="19">#REF!</definedName>
    <definedName name="Targets" localSheetId="18">#REF!</definedName>
    <definedName name="Targets" localSheetId="17">#REF!</definedName>
    <definedName name="Targets" localSheetId="27">#REF!</definedName>
    <definedName name="Targets" localSheetId="21">#REF!</definedName>
    <definedName name="Targets" localSheetId="15">#REF!</definedName>
    <definedName name="Targets" localSheetId="7">#REF!</definedName>
    <definedName name="Targets" localSheetId="8">#REF!</definedName>
    <definedName name="Targets" localSheetId="1">#REF!</definedName>
    <definedName name="Targets" localSheetId="25">#REF!</definedName>
    <definedName name="Targets" localSheetId="30">#REF!</definedName>
    <definedName name="Targets" localSheetId="4">#REF!</definedName>
    <definedName name="Targets" localSheetId="11">#REF!</definedName>
    <definedName name="Targets" localSheetId="24">#REF!</definedName>
    <definedName name="Targets">#REF!</definedName>
    <definedName name="Targets2" localSheetId="29">#REF!</definedName>
    <definedName name="Targets2" localSheetId="2">#REF!</definedName>
    <definedName name="Targets2" localSheetId="28">#REF!</definedName>
    <definedName name="Targets2" localSheetId="16">#REF!</definedName>
    <definedName name="Targets2" localSheetId="22">#REF!</definedName>
    <definedName name="Targets2" localSheetId="26">#REF!</definedName>
    <definedName name="Targets2" localSheetId="20">#REF!</definedName>
    <definedName name="Targets2" localSheetId="19">#REF!</definedName>
    <definedName name="Targets2" localSheetId="18">#REF!</definedName>
    <definedName name="Targets2" localSheetId="17">#REF!</definedName>
    <definedName name="Targets2" localSheetId="27">#REF!</definedName>
    <definedName name="Targets2" localSheetId="21">#REF!</definedName>
    <definedName name="Targets2" localSheetId="15">#REF!</definedName>
    <definedName name="Targets2" localSheetId="7">#REF!</definedName>
    <definedName name="Targets2" localSheetId="8">#REF!</definedName>
    <definedName name="Targets2" localSheetId="1">#REF!</definedName>
    <definedName name="Targets2" localSheetId="25">#REF!</definedName>
    <definedName name="Targets2" localSheetId="30">#REF!</definedName>
    <definedName name="Targets2" localSheetId="4">#REF!</definedName>
    <definedName name="Targets2" localSheetId="11">#REF!</definedName>
    <definedName name="Targets2" localSheetId="24">#REF!</definedName>
    <definedName name="Targets2">#REF!</definedName>
    <definedName name="Team_Regions">PDUs!$N$1:$Y$1</definedName>
    <definedName name="W">'national caseload'!$B$52</definedName>
    <definedName name="Wales" localSheetId="20">#REF!</definedName>
    <definedName name="Wales" localSheetId="19">#REF!</definedName>
    <definedName name="Wales" localSheetId="18">#REF!</definedName>
    <definedName name="Wales" localSheetId="17">#REF!</definedName>
    <definedName name="Wales" localSheetId="15">#REF!</definedName>
    <definedName name="Wales" localSheetId="11">#REF!</definedName>
    <definedName name="Wales">#REF!</definedName>
    <definedName name="Weighting" localSheetId="29">#REF!</definedName>
    <definedName name="Weighting" localSheetId="2">#REF!</definedName>
    <definedName name="Weighting" localSheetId="28">#REF!</definedName>
    <definedName name="Weighting" localSheetId="16">#REF!</definedName>
    <definedName name="Weighting" localSheetId="22">#REF!</definedName>
    <definedName name="Weighting" localSheetId="26">#REF!</definedName>
    <definedName name="Weighting" localSheetId="20">#REF!</definedName>
    <definedName name="Weighting" localSheetId="19">#REF!</definedName>
    <definedName name="Weighting" localSheetId="18">#REF!</definedName>
    <definedName name="Weighting" localSheetId="17">#REF!</definedName>
    <definedName name="Weighting" localSheetId="27">#REF!</definedName>
    <definedName name="Weighting" localSheetId="21">#REF!</definedName>
    <definedName name="Weighting" localSheetId="15">#REF!</definedName>
    <definedName name="Weighting" localSheetId="7">#REF!</definedName>
    <definedName name="Weighting" localSheetId="8">#REF!</definedName>
    <definedName name="Weighting" localSheetId="1">#REF!</definedName>
    <definedName name="Weighting" localSheetId="25">#REF!</definedName>
    <definedName name="Weighting" localSheetId="30">#REF!</definedName>
    <definedName name="Weighting" localSheetId="4">#REF!</definedName>
    <definedName name="Weighting" localSheetId="11">#REF!</definedName>
    <definedName name="Weighting" localSheetId="24">#REF!</definedName>
    <definedName name="Weighting">#REF!</definedName>
    <definedName name="WMR">'national caseload'!$B$57</definedName>
    <definedName name="WorkPackages" localSheetId="2">'[3]List Data'!$A$2:$A$77</definedName>
    <definedName name="WorkPackages" localSheetId="16">'[3]List Data'!$A$2:$A$77</definedName>
    <definedName name="WorkPackages" localSheetId="22">'[3]List Data'!$A$2:$A$77</definedName>
    <definedName name="WorkPackages" localSheetId="26">'[3]List Data'!$A$2:$A$77</definedName>
    <definedName name="WorkPackages" localSheetId="27">'[3]List Data'!$A$2:$A$77</definedName>
    <definedName name="WorkPackages" localSheetId="21">'[3]List Data'!$A$2:$A$77</definedName>
    <definedName name="WorkPackages" localSheetId="1">'[3]List Data'!$A$2:$A$77</definedName>
    <definedName name="WorkPackages" localSheetId="25">'[3]List Data'!$A$2:$A$77</definedName>
    <definedName name="WorkPackages" localSheetId="4">'[3]List Data'!$A$2:$A$77</definedName>
    <definedName name="WorkPackages" localSheetId="24">'[3]List Data'!$A$2:$A$77</definedName>
    <definedName name="WorkPackages">'[2]List Data'!$A$2:$A$77</definedName>
    <definedName name="YATH">'national caseload'!$B$62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81" i="87" l="1"/>
  <c r="F81" i="87"/>
  <c r="G81" i="87"/>
  <c r="H81" i="87"/>
  <c r="I81" i="87"/>
  <c r="J81" i="87"/>
  <c r="K81" i="87"/>
  <c r="L81" i="87"/>
  <c r="M81" i="87"/>
  <c r="N81" i="87"/>
  <c r="O81" i="87"/>
  <c r="E82" i="87"/>
  <c r="F82" i="87"/>
  <c r="G82" i="87"/>
  <c r="H82" i="87"/>
  <c r="I82" i="87"/>
  <c r="J82" i="87"/>
  <c r="K82" i="87"/>
  <c r="L82" i="87"/>
  <c r="M82" i="87"/>
  <c r="N82" i="87"/>
  <c r="O82" i="87"/>
  <c r="E83" i="87"/>
  <c r="F83" i="87"/>
  <c r="G83" i="87"/>
  <c r="H83" i="87"/>
  <c r="I83" i="87"/>
  <c r="J83" i="87"/>
  <c r="K83" i="87"/>
  <c r="L83" i="87"/>
  <c r="M83" i="87"/>
  <c r="N83" i="87"/>
  <c r="O83" i="87"/>
  <c r="E84" i="87"/>
  <c r="F84" i="87"/>
  <c r="G84" i="87"/>
  <c r="H84" i="87"/>
  <c r="I84" i="87"/>
  <c r="J84" i="87"/>
  <c r="K84" i="87"/>
  <c r="L84" i="87"/>
  <c r="M84" i="87"/>
  <c r="N84" i="87"/>
  <c r="O84" i="87"/>
  <c r="E85" i="87"/>
  <c r="F85" i="87"/>
  <c r="G85" i="87"/>
  <c r="H85" i="87"/>
  <c r="I85" i="87"/>
  <c r="J85" i="87"/>
  <c r="K85" i="87"/>
  <c r="L85" i="87"/>
  <c r="M85" i="87"/>
  <c r="N85" i="87"/>
  <c r="O85" i="87"/>
  <c r="E86" i="87"/>
  <c r="F86" i="87"/>
  <c r="G86" i="87"/>
  <c r="H86" i="87"/>
  <c r="I86" i="87"/>
  <c r="J86" i="87"/>
  <c r="K86" i="87"/>
  <c r="L86" i="87"/>
  <c r="M86" i="87"/>
  <c r="N86" i="87"/>
  <c r="O86" i="87"/>
  <c r="E87" i="87"/>
  <c r="F87" i="87"/>
  <c r="G87" i="87"/>
  <c r="H87" i="87"/>
  <c r="I87" i="87"/>
  <c r="J87" i="87"/>
  <c r="K87" i="87"/>
  <c r="L87" i="87"/>
  <c r="M87" i="87"/>
  <c r="N87" i="87"/>
  <c r="O87" i="87"/>
  <c r="E88" i="87"/>
  <c r="F88" i="87"/>
  <c r="G88" i="87"/>
  <c r="H88" i="87"/>
  <c r="I88" i="87"/>
  <c r="J88" i="87"/>
  <c r="K88" i="87"/>
  <c r="L88" i="87"/>
  <c r="M88" i="87"/>
  <c r="N88" i="87"/>
  <c r="O88" i="87"/>
  <c r="E89" i="87"/>
  <c r="F89" i="87"/>
  <c r="G89" i="87"/>
  <c r="H89" i="87"/>
  <c r="I89" i="87"/>
  <c r="J89" i="87"/>
  <c r="K89" i="87"/>
  <c r="L89" i="87"/>
  <c r="M89" i="87"/>
  <c r="N89" i="87"/>
  <c r="O89" i="87"/>
  <c r="E90" i="87"/>
  <c r="F90" i="87"/>
  <c r="G90" i="87"/>
  <c r="H90" i="87"/>
  <c r="I90" i="87"/>
  <c r="J90" i="87"/>
  <c r="K90" i="87"/>
  <c r="L90" i="87"/>
  <c r="M90" i="87"/>
  <c r="N90" i="87"/>
  <c r="O90" i="87"/>
  <c r="E91" i="87"/>
  <c r="F91" i="87"/>
  <c r="G91" i="87"/>
  <c r="H91" i="87"/>
  <c r="I91" i="87"/>
  <c r="J91" i="87"/>
  <c r="K91" i="87"/>
  <c r="L91" i="87"/>
  <c r="M91" i="87"/>
  <c r="N91" i="87"/>
  <c r="O91" i="87"/>
  <c r="E92" i="87"/>
  <c r="F92" i="87"/>
  <c r="G92" i="87"/>
  <c r="H92" i="87"/>
  <c r="I92" i="87"/>
  <c r="J92" i="87"/>
  <c r="K92" i="87"/>
  <c r="L92" i="87"/>
  <c r="M92" i="87"/>
  <c r="N92" i="87"/>
  <c r="O92" i="87"/>
  <c r="E93" i="87"/>
  <c r="F93" i="87"/>
  <c r="G93" i="87"/>
  <c r="H93" i="87"/>
  <c r="I93" i="87"/>
  <c r="J93" i="87"/>
  <c r="K93" i="87"/>
  <c r="L93" i="87"/>
  <c r="M93" i="87"/>
  <c r="N93" i="87"/>
  <c r="O93" i="87"/>
  <c r="E94" i="87"/>
  <c r="F94" i="87"/>
  <c r="G94" i="87"/>
  <c r="H94" i="87"/>
  <c r="I94" i="87"/>
  <c r="J94" i="87"/>
  <c r="K94" i="87"/>
  <c r="L94" i="87"/>
  <c r="M94" i="87"/>
  <c r="N94" i="87"/>
  <c r="O94" i="87"/>
  <c r="E95" i="87"/>
  <c r="F95" i="87"/>
  <c r="G95" i="87"/>
  <c r="H95" i="87"/>
  <c r="I95" i="87"/>
  <c r="J95" i="87"/>
  <c r="K95" i="87"/>
  <c r="L95" i="87"/>
  <c r="M95" i="87"/>
  <c r="N95" i="87"/>
  <c r="O95" i="87"/>
  <c r="E96" i="87"/>
  <c r="F96" i="87"/>
  <c r="G96" i="87"/>
  <c r="H96" i="87"/>
  <c r="I96" i="87"/>
  <c r="J96" i="87"/>
  <c r="K96" i="87"/>
  <c r="L96" i="87"/>
  <c r="M96" i="87"/>
  <c r="N96" i="87"/>
  <c r="O96" i="87"/>
  <c r="E97" i="87"/>
  <c r="F97" i="87"/>
  <c r="G97" i="87"/>
  <c r="H97" i="87"/>
  <c r="I97" i="87"/>
  <c r="J97" i="87"/>
  <c r="K97" i="87"/>
  <c r="L97" i="87"/>
  <c r="M97" i="87"/>
  <c r="N97" i="87"/>
  <c r="O97" i="87"/>
  <c r="E98" i="87"/>
  <c r="F98" i="87"/>
  <c r="G98" i="87"/>
  <c r="H98" i="87"/>
  <c r="I98" i="87"/>
  <c r="J98" i="87"/>
  <c r="K98" i="87"/>
  <c r="L98" i="87"/>
  <c r="M98" i="87"/>
  <c r="N98" i="87"/>
  <c r="O98" i="87"/>
  <c r="E99" i="87"/>
  <c r="F99" i="87"/>
  <c r="G99" i="87"/>
  <c r="H99" i="87"/>
  <c r="I99" i="87"/>
  <c r="J99" i="87"/>
  <c r="K99" i="87"/>
  <c r="L99" i="87"/>
  <c r="M99" i="87"/>
  <c r="N99" i="87"/>
  <c r="O99" i="87"/>
  <c r="E100" i="87"/>
  <c r="F100" i="87"/>
  <c r="G100" i="87"/>
  <c r="H100" i="87"/>
  <c r="I100" i="87"/>
  <c r="J100" i="87"/>
  <c r="K100" i="87"/>
  <c r="L100" i="87"/>
  <c r="M100" i="87"/>
  <c r="N100" i="87"/>
  <c r="O100" i="87"/>
  <c r="E101" i="87"/>
  <c r="F101" i="87"/>
  <c r="G101" i="87"/>
  <c r="H101" i="87"/>
  <c r="I101" i="87"/>
  <c r="J101" i="87"/>
  <c r="K101" i="87"/>
  <c r="L101" i="87"/>
  <c r="M101" i="87"/>
  <c r="N101" i="87"/>
  <c r="O101" i="87"/>
  <c r="E102" i="87"/>
  <c r="F102" i="87"/>
  <c r="G102" i="87"/>
  <c r="H102" i="87"/>
  <c r="I102" i="87"/>
  <c r="J102" i="87"/>
  <c r="K102" i="87"/>
  <c r="L102" i="87"/>
  <c r="M102" i="87"/>
  <c r="N102" i="87"/>
  <c r="O102" i="87"/>
  <c r="E103" i="87"/>
  <c r="F103" i="87"/>
  <c r="G103" i="87"/>
  <c r="H103" i="87"/>
  <c r="I103" i="87"/>
  <c r="J103" i="87"/>
  <c r="K103" i="87"/>
  <c r="L103" i="87"/>
  <c r="M103" i="87"/>
  <c r="N103" i="87"/>
  <c r="O103" i="87"/>
  <c r="E104" i="87"/>
  <c r="F104" i="87"/>
  <c r="G104" i="87"/>
  <c r="H104" i="87"/>
  <c r="I104" i="87"/>
  <c r="J104" i="87"/>
  <c r="K104" i="87"/>
  <c r="L104" i="87"/>
  <c r="M104" i="87"/>
  <c r="N104" i="87"/>
  <c r="O104" i="87"/>
  <c r="E105" i="87"/>
  <c r="F105" i="87"/>
  <c r="G105" i="87"/>
  <c r="H105" i="87"/>
  <c r="I105" i="87"/>
  <c r="J105" i="87"/>
  <c r="K105" i="87"/>
  <c r="L105" i="87"/>
  <c r="M105" i="87"/>
  <c r="N105" i="87"/>
  <c r="O105" i="87"/>
  <c r="E106" i="87"/>
  <c r="F106" i="87"/>
  <c r="G106" i="87"/>
  <c r="H106" i="87"/>
  <c r="I106" i="87"/>
  <c r="J106" i="87"/>
  <c r="K106" i="87"/>
  <c r="L106" i="87"/>
  <c r="M106" i="87"/>
  <c r="N106" i="87"/>
  <c r="O106" i="87"/>
  <c r="E107" i="87"/>
  <c r="F107" i="87"/>
  <c r="G107" i="87"/>
  <c r="H107" i="87"/>
  <c r="I107" i="87"/>
  <c r="J107" i="87"/>
  <c r="K107" i="87"/>
  <c r="L107" i="87"/>
  <c r="M107" i="87"/>
  <c r="N107" i="87"/>
  <c r="O107" i="87"/>
  <c r="E108" i="87"/>
  <c r="F108" i="87"/>
  <c r="G108" i="87"/>
  <c r="H108" i="87"/>
  <c r="I108" i="87"/>
  <c r="J108" i="87"/>
  <c r="K108" i="87"/>
  <c r="L108" i="87"/>
  <c r="M108" i="87"/>
  <c r="N108" i="87"/>
  <c r="O108" i="87"/>
  <c r="E109" i="87"/>
  <c r="F109" i="87"/>
  <c r="G109" i="87"/>
  <c r="H109" i="87"/>
  <c r="I109" i="87"/>
  <c r="J109" i="87"/>
  <c r="K109" i="87"/>
  <c r="L109" i="87"/>
  <c r="M109" i="87"/>
  <c r="N109" i="87"/>
  <c r="O109" i="87"/>
  <c r="E110" i="87"/>
  <c r="F110" i="87"/>
  <c r="G110" i="87"/>
  <c r="H110" i="87"/>
  <c r="I110" i="87"/>
  <c r="J110" i="87"/>
  <c r="K110" i="87"/>
  <c r="L110" i="87"/>
  <c r="M110" i="87"/>
  <c r="N110" i="87"/>
  <c r="O110" i="87"/>
  <c r="E111" i="87"/>
  <c r="F111" i="87"/>
  <c r="G111" i="87"/>
  <c r="H111" i="87"/>
  <c r="I111" i="87"/>
  <c r="J111" i="87"/>
  <c r="K111" i="87"/>
  <c r="L111" i="87"/>
  <c r="M111" i="87"/>
  <c r="N111" i="87"/>
  <c r="O111" i="87"/>
  <c r="E112" i="87"/>
  <c r="F112" i="87"/>
  <c r="G112" i="87"/>
  <c r="H112" i="87"/>
  <c r="I112" i="87"/>
  <c r="J112" i="87"/>
  <c r="K112" i="87"/>
  <c r="L112" i="87"/>
  <c r="M112" i="87"/>
  <c r="N112" i="87"/>
  <c r="O112" i="87"/>
  <c r="E113" i="87"/>
  <c r="F113" i="87"/>
  <c r="G113" i="87"/>
  <c r="H113" i="87"/>
  <c r="I113" i="87"/>
  <c r="J113" i="87"/>
  <c r="K113" i="87"/>
  <c r="L113" i="87"/>
  <c r="M113" i="87"/>
  <c r="N113" i="87"/>
  <c r="O113" i="87"/>
  <c r="E114" i="87"/>
  <c r="F114" i="87"/>
  <c r="G114" i="87"/>
  <c r="H114" i="87"/>
  <c r="I114" i="87"/>
  <c r="J114" i="87"/>
  <c r="K114" i="87"/>
  <c r="L114" i="87"/>
  <c r="M114" i="87"/>
  <c r="N114" i="87"/>
  <c r="O114" i="87"/>
  <c r="E115" i="87"/>
  <c r="F115" i="87"/>
  <c r="G115" i="87"/>
  <c r="H115" i="87"/>
  <c r="I115" i="87"/>
  <c r="J115" i="87"/>
  <c r="K115" i="87"/>
  <c r="L115" i="87"/>
  <c r="M115" i="87"/>
  <c r="N115" i="87"/>
  <c r="O115" i="87"/>
  <c r="E116" i="87"/>
  <c r="F116" i="87"/>
  <c r="G116" i="87"/>
  <c r="H116" i="87"/>
  <c r="I116" i="87"/>
  <c r="J116" i="87"/>
  <c r="K116" i="87"/>
  <c r="L116" i="87"/>
  <c r="M116" i="87"/>
  <c r="N116" i="87"/>
  <c r="O116" i="87"/>
  <c r="E117" i="87"/>
  <c r="F117" i="87"/>
  <c r="G117" i="87"/>
  <c r="H117" i="87"/>
  <c r="I117" i="87"/>
  <c r="J117" i="87"/>
  <c r="K117" i="87"/>
  <c r="L117" i="87"/>
  <c r="M117" i="87"/>
  <c r="N117" i="87"/>
  <c r="O117" i="87"/>
  <c r="E118" i="87"/>
  <c r="F118" i="87"/>
  <c r="G118" i="87"/>
  <c r="H118" i="87"/>
  <c r="I118" i="87"/>
  <c r="J118" i="87"/>
  <c r="K118" i="87"/>
  <c r="L118" i="87"/>
  <c r="M118" i="87"/>
  <c r="N118" i="87"/>
  <c r="O118" i="87"/>
  <c r="E119" i="87"/>
  <c r="F119" i="87"/>
  <c r="G119" i="87"/>
  <c r="H119" i="87"/>
  <c r="I119" i="87"/>
  <c r="J119" i="87"/>
  <c r="K119" i="87"/>
  <c r="L119" i="87"/>
  <c r="M119" i="87"/>
  <c r="N119" i="87"/>
  <c r="O119" i="87"/>
  <c r="E120" i="87"/>
  <c r="F120" i="87"/>
  <c r="G120" i="87"/>
  <c r="H120" i="87"/>
  <c r="I120" i="87"/>
  <c r="J120" i="87"/>
  <c r="K120" i="87"/>
  <c r="L120" i="87"/>
  <c r="M120" i="87"/>
  <c r="N120" i="87"/>
  <c r="O120" i="87"/>
  <c r="E121" i="87"/>
  <c r="F121" i="87"/>
  <c r="G121" i="87"/>
  <c r="H121" i="87"/>
  <c r="I121" i="87"/>
  <c r="J121" i="87"/>
  <c r="K121" i="87"/>
  <c r="L121" i="87"/>
  <c r="M121" i="87"/>
  <c r="N121" i="87"/>
  <c r="O121" i="87"/>
  <c r="E122" i="87"/>
  <c r="F122" i="87"/>
  <c r="G122" i="87"/>
  <c r="H122" i="87"/>
  <c r="I122" i="87"/>
  <c r="J122" i="87"/>
  <c r="K122" i="87"/>
  <c r="L122" i="87"/>
  <c r="M122" i="87"/>
  <c r="N122" i="87"/>
  <c r="O122" i="87"/>
  <c r="E123" i="87"/>
  <c r="F123" i="87"/>
  <c r="G123" i="87"/>
  <c r="H123" i="87"/>
  <c r="I123" i="87"/>
  <c r="J123" i="87"/>
  <c r="K123" i="87"/>
  <c r="L123" i="87"/>
  <c r="M123" i="87"/>
  <c r="N123" i="87"/>
  <c r="O123" i="87"/>
  <c r="E124" i="87"/>
  <c r="F124" i="87"/>
  <c r="G124" i="87"/>
  <c r="H124" i="87"/>
  <c r="I124" i="87"/>
  <c r="J124" i="87"/>
  <c r="K124" i="87"/>
  <c r="L124" i="87"/>
  <c r="M124" i="87"/>
  <c r="N124" i="87"/>
  <c r="O124" i="87"/>
  <c r="E125" i="87"/>
  <c r="F125" i="87"/>
  <c r="G125" i="87"/>
  <c r="H125" i="87"/>
  <c r="I125" i="87"/>
  <c r="J125" i="87"/>
  <c r="K125" i="87"/>
  <c r="L125" i="87"/>
  <c r="M125" i="87"/>
  <c r="N125" i="87"/>
  <c r="O125" i="87"/>
  <c r="E126" i="87"/>
  <c r="F126" i="87"/>
  <c r="G126" i="87"/>
  <c r="H126" i="87"/>
  <c r="I126" i="87"/>
  <c r="J126" i="87"/>
  <c r="K126" i="87"/>
  <c r="L126" i="87"/>
  <c r="M126" i="87"/>
  <c r="N126" i="87"/>
  <c r="O126" i="87"/>
  <c r="E127" i="87"/>
  <c r="F127" i="87"/>
  <c r="G127" i="87"/>
  <c r="H127" i="87"/>
  <c r="I127" i="87"/>
  <c r="J127" i="87"/>
  <c r="K127" i="87"/>
  <c r="L127" i="87"/>
  <c r="M127" i="87"/>
  <c r="N127" i="87"/>
  <c r="O127" i="87"/>
  <c r="E128" i="87"/>
  <c r="F128" i="87"/>
  <c r="G128" i="87"/>
  <c r="H128" i="87"/>
  <c r="I128" i="87"/>
  <c r="J128" i="87"/>
  <c r="K128" i="87"/>
  <c r="L128" i="87"/>
  <c r="M128" i="87"/>
  <c r="N128" i="87"/>
  <c r="O128" i="87"/>
  <c r="D81" i="87"/>
  <c r="D82" i="87"/>
  <c r="D83" i="87"/>
  <c r="D84" i="87"/>
  <c r="D85" i="87"/>
  <c r="D86" i="87"/>
  <c r="D87" i="87"/>
  <c r="D88" i="87"/>
  <c r="D89" i="87"/>
  <c r="D90" i="87"/>
  <c r="D91" i="87"/>
  <c r="D92" i="87"/>
  <c r="D93" i="87"/>
  <c r="D94" i="87"/>
  <c r="D95" i="87"/>
  <c r="D96" i="87"/>
  <c r="D97" i="87"/>
  <c r="D98" i="87"/>
  <c r="D99" i="87"/>
  <c r="D100" i="87"/>
  <c r="D101" i="87"/>
  <c r="D102" i="87"/>
  <c r="D103" i="87"/>
  <c r="D104" i="87"/>
  <c r="D105" i="87"/>
  <c r="D106" i="87"/>
  <c r="D107" i="87"/>
  <c r="D108" i="87"/>
  <c r="D109" i="87"/>
  <c r="D110" i="87"/>
  <c r="D111" i="87"/>
  <c r="D112" i="87"/>
  <c r="D113" i="87"/>
  <c r="D114" i="87"/>
  <c r="D115" i="87"/>
  <c r="D116" i="87"/>
  <c r="D117" i="87"/>
  <c r="D118" i="87"/>
  <c r="D119" i="87"/>
  <c r="D120" i="87"/>
  <c r="D121" i="87"/>
  <c r="D122" i="87"/>
  <c r="D123" i="87"/>
  <c r="D124" i="87"/>
  <c r="D125" i="87"/>
  <c r="D126" i="87"/>
  <c r="D127" i="87"/>
  <c r="D128" i="87"/>
  <c r="C81" i="87"/>
  <c r="C82" i="87"/>
  <c r="C83" i="87"/>
  <c r="C84" i="87"/>
  <c r="C85" i="87"/>
  <c r="C86" i="87"/>
  <c r="C87" i="87"/>
  <c r="C88" i="87"/>
  <c r="C89" i="87"/>
  <c r="C90" i="87"/>
  <c r="C91" i="87"/>
  <c r="C92" i="87"/>
  <c r="C93" i="87"/>
  <c r="C94" i="87"/>
  <c r="C95" i="87"/>
  <c r="C96" i="87"/>
  <c r="C97" i="87"/>
  <c r="C98" i="87"/>
  <c r="C99" i="87"/>
  <c r="C100" i="87"/>
  <c r="C101" i="87"/>
  <c r="C102" i="87"/>
  <c r="C103" i="87"/>
  <c r="C104" i="87"/>
  <c r="C105" i="87"/>
  <c r="C106" i="87"/>
  <c r="C107" i="87"/>
  <c r="C108" i="87"/>
  <c r="C109" i="87"/>
  <c r="C110" i="87"/>
  <c r="C111" i="87"/>
  <c r="C112" i="87"/>
  <c r="C113" i="87"/>
  <c r="C114" i="87"/>
  <c r="C115" i="87"/>
  <c r="C116" i="87"/>
  <c r="C117" i="87"/>
  <c r="C118" i="87"/>
  <c r="C119" i="87"/>
  <c r="C120" i="87"/>
  <c r="C121" i="87"/>
  <c r="C122" i="87"/>
  <c r="C123" i="87"/>
  <c r="C124" i="87"/>
  <c r="C125" i="87"/>
  <c r="C126" i="87"/>
  <c r="C127" i="87"/>
  <c r="C128" i="87"/>
  <c r="O27" i="87"/>
  <c r="O28" i="87"/>
  <c r="O29" i="87"/>
  <c r="O30" i="87"/>
  <c r="O31" i="87"/>
  <c r="O32" i="87"/>
  <c r="O33" i="87"/>
  <c r="O34" i="87"/>
  <c r="O35" i="87"/>
  <c r="O36" i="87"/>
  <c r="O37" i="87"/>
  <c r="O38" i="87"/>
  <c r="O39" i="87"/>
  <c r="O40" i="87"/>
  <c r="O41" i="87"/>
  <c r="O42" i="87"/>
  <c r="O43" i="87"/>
  <c r="O44" i="87"/>
  <c r="O45" i="87"/>
  <c r="O46" i="87"/>
  <c r="O47" i="87"/>
  <c r="O48" i="87"/>
  <c r="O49" i="87"/>
  <c r="O50" i="87"/>
  <c r="O51" i="87"/>
  <c r="O52" i="87"/>
  <c r="O53" i="87"/>
  <c r="O54" i="87"/>
  <c r="O55" i="87"/>
  <c r="O56" i="87"/>
  <c r="O57" i="87"/>
  <c r="O58" i="87"/>
  <c r="O59" i="87"/>
  <c r="O60" i="87"/>
  <c r="O61" i="87"/>
  <c r="O62" i="87"/>
  <c r="O63" i="87"/>
  <c r="O64" i="87"/>
  <c r="O65" i="87"/>
  <c r="O66" i="87"/>
  <c r="O67" i="87"/>
  <c r="O68" i="87"/>
  <c r="O69" i="87"/>
  <c r="O70" i="87"/>
  <c r="O71" i="87"/>
  <c r="O72" i="87"/>
  <c r="O73" i="87"/>
  <c r="O74" i="87"/>
  <c r="L27" i="87"/>
  <c r="M27" i="87"/>
  <c r="N27" i="87"/>
  <c r="L28" i="87"/>
  <c r="M28" i="87"/>
  <c r="N28" i="87"/>
  <c r="L29" i="87"/>
  <c r="M29" i="87"/>
  <c r="N29" i="87"/>
  <c r="L30" i="87"/>
  <c r="M30" i="87"/>
  <c r="N30" i="87"/>
  <c r="L31" i="87"/>
  <c r="M31" i="87"/>
  <c r="N31" i="87"/>
  <c r="L32" i="87"/>
  <c r="M32" i="87"/>
  <c r="N32" i="87"/>
  <c r="L33" i="87"/>
  <c r="M33" i="87"/>
  <c r="N33" i="87"/>
  <c r="L34" i="87"/>
  <c r="M34" i="87"/>
  <c r="N34" i="87"/>
  <c r="L35" i="87"/>
  <c r="M35" i="87"/>
  <c r="N35" i="87"/>
  <c r="L36" i="87"/>
  <c r="M36" i="87"/>
  <c r="N36" i="87"/>
  <c r="L37" i="87"/>
  <c r="M37" i="87"/>
  <c r="N37" i="87"/>
  <c r="L38" i="87"/>
  <c r="M38" i="87"/>
  <c r="N38" i="87"/>
  <c r="L39" i="87"/>
  <c r="M39" i="87"/>
  <c r="N39" i="87"/>
  <c r="L40" i="87"/>
  <c r="M40" i="87"/>
  <c r="N40" i="87"/>
  <c r="L41" i="87"/>
  <c r="M41" i="87"/>
  <c r="N41" i="87"/>
  <c r="L42" i="87"/>
  <c r="M42" i="87"/>
  <c r="N42" i="87"/>
  <c r="L43" i="87"/>
  <c r="M43" i="87"/>
  <c r="N43" i="87"/>
  <c r="L44" i="87"/>
  <c r="M44" i="87"/>
  <c r="N44" i="87"/>
  <c r="L45" i="87"/>
  <c r="M45" i="87"/>
  <c r="N45" i="87"/>
  <c r="L46" i="87"/>
  <c r="M46" i="87"/>
  <c r="N46" i="87"/>
  <c r="L47" i="87"/>
  <c r="M47" i="87"/>
  <c r="N47" i="87"/>
  <c r="L48" i="87"/>
  <c r="M48" i="87"/>
  <c r="N48" i="87"/>
  <c r="L49" i="87"/>
  <c r="M49" i="87"/>
  <c r="N49" i="87"/>
  <c r="L50" i="87"/>
  <c r="M50" i="87"/>
  <c r="N50" i="87"/>
  <c r="L51" i="87"/>
  <c r="M51" i="87"/>
  <c r="N51" i="87"/>
  <c r="L52" i="87"/>
  <c r="M52" i="87"/>
  <c r="N52" i="87"/>
  <c r="L53" i="87"/>
  <c r="M53" i="87"/>
  <c r="N53" i="87"/>
  <c r="L54" i="87"/>
  <c r="M54" i="87"/>
  <c r="N54" i="87"/>
  <c r="L55" i="87"/>
  <c r="M55" i="87"/>
  <c r="N55" i="87"/>
  <c r="L56" i="87"/>
  <c r="M56" i="87"/>
  <c r="N56" i="87"/>
  <c r="L57" i="87"/>
  <c r="M57" i="87"/>
  <c r="N57" i="87"/>
  <c r="L58" i="87"/>
  <c r="M58" i="87"/>
  <c r="N58" i="87"/>
  <c r="L59" i="87"/>
  <c r="M59" i="87"/>
  <c r="N59" i="87"/>
  <c r="L60" i="87"/>
  <c r="M60" i="87"/>
  <c r="N60" i="87"/>
  <c r="L61" i="87"/>
  <c r="M61" i="87"/>
  <c r="N61" i="87"/>
  <c r="L62" i="87"/>
  <c r="M62" i="87"/>
  <c r="N62" i="87"/>
  <c r="L63" i="87"/>
  <c r="M63" i="87"/>
  <c r="N63" i="87"/>
  <c r="L64" i="87"/>
  <c r="M64" i="87"/>
  <c r="N64" i="87"/>
  <c r="L65" i="87"/>
  <c r="M65" i="87"/>
  <c r="N65" i="87"/>
  <c r="L66" i="87"/>
  <c r="M66" i="87"/>
  <c r="N66" i="87"/>
  <c r="L67" i="87"/>
  <c r="M67" i="87"/>
  <c r="N67" i="87"/>
  <c r="L68" i="87"/>
  <c r="M68" i="87"/>
  <c r="N68" i="87"/>
  <c r="L69" i="87"/>
  <c r="M69" i="87"/>
  <c r="N69" i="87"/>
  <c r="L70" i="87"/>
  <c r="M70" i="87"/>
  <c r="N70" i="87"/>
  <c r="L71" i="87"/>
  <c r="M71" i="87"/>
  <c r="N71" i="87"/>
  <c r="L72" i="87"/>
  <c r="M72" i="87"/>
  <c r="N72" i="87"/>
  <c r="L73" i="87"/>
  <c r="M73" i="87"/>
  <c r="N73" i="87"/>
  <c r="L74" i="87"/>
  <c r="M74" i="87"/>
  <c r="N74" i="87"/>
  <c r="K27" i="87"/>
  <c r="K28" i="87"/>
  <c r="K29" i="87"/>
  <c r="K30" i="87"/>
  <c r="K31" i="87"/>
  <c r="K32" i="87"/>
  <c r="K33" i="87"/>
  <c r="K34" i="87"/>
  <c r="K35" i="87"/>
  <c r="K36" i="87"/>
  <c r="K37" i="87"/>
  <c r="K38" i="87"/>
  <c r="K39" i="87"/>
  <c r="K40" i="87"/>
  <c r="K41" i="87"/>
  <c r="K42" i="87"/>
  <c r="K43" i="87"/>
  <c r="K44" i="87"/>
  <c r="K45" i="87"/>
  <c r="K46" i="87"/>
  <c r="K47" i="87"/>
  <c r="K48" i="87"/>
  <c r="K49" i="87"/>
  <c r="K50" i="87"/>
  <c r="K51" i="87"/>
  <c r="K52" i="87"/>
  <c r="K53" i="87"/>
  <c r="K54" i="87"/>
  <c r="K55" i="87"/>
  <c r="K56" i="87"/>
  <c r="K57" i="87"/>
  <c r="K58" i="87"/>
  <c r="K59" i="87"/>
  <c r="K60" i="87"/>
  <c r="K61" i="87"/>
  <c r="K62" i="87"/>
  <c r="K63" i="87"/>
  <c r="K64" i="87"/>
  <c r="K65" i="87"/>
  <c r="K66" i="87"/>
  <c r="K67" i="87"/>
  <c r="K68" i="87"/>
  <c r="K69" i="87"/>
  <c r="K70" i="87"/>
  <c r="K71" i="87"/>
  <c r="K72" i="87"/>
  <c r="K73" i="87"/>
  <c r="K74" i="87"/>
  <c r="J27" i="87"/>
  <c r="J28" i="87"/>
  <c r="J29" i="87"/>
  <c r="J30" i="87"/>
  <c r="J31" i="87"/>
  <c r="J32" i="87"/>
  <c r="J33" i="87"/>
  <c r="J34" i="87"/>
  <c r="J35" i="87"/>
  <c r="J36" i="87"/>
  <c r="J37" i="87"/>
  <c r="J38" i="87"/>
  <c r="J39" i="87"/>
  <c r="J40" i="87"/>
  <c r="J41" i="87"/>
  <c r="J42" i="87"/>
  <c r="J43" i="87"/>
  <c r="J44" i="87"/>
  <c r="J45" i="87"/>
  <c r="J46" i="87"/>
  <c r="J47" i="87"/>
  <c r="J48" i="87"/>
  <c r="J49" i="87"/>
  <c r="J50" i="87"/>
  <c r="J51" i="87"/>
  <c r="J52" i="87"/>
  <c r="J53" i="87"/>
  <c r="J54" i="87"/>
  <c r="J55" i="87"/>
  <c r="J56" i="87"/>
  <c r="J57" i="87"/>
  <c r="J58" i="87"/>
  <c r="J59" i="87"/>
  <c r="J60" i="87"/>
  <c r="J61" i="87"/>
  <c r="J62" i="87"/>
  <c r="J63" i="87"/>
  <c r="J64" i="87"/>
  <c r="J65" i="87"/>
  <c r="J66" i="87"/>
  <c r="J67" i="87"/>
  <c r="J68" i="87"/>
  <c r="J69" i="87"/>
  <c r="J70" i="87"/>
  <c r="J71" i="87"/>
  <c r="J72" i="87"/>
  <c r="J73" i="87"/>
  <c r="J74" i="87"/>
  <c r="I27" i="87"/>
  <c r="I28" i="87"/>
  <c r="I29" i="87"/>
  <c r="I30" i="87"/>
  <c r="I31" i="87"/>
  <c r="I32" i="87"/>
  <c r="I33" i="87"/>
  <c r="I34" i="87"/>
  <c r="I35" i="87"/>
  <c r="I36" i="87"/>
  <c r="I37" i="87"/>
  <c r="I38" i="87"/>
  <c r="I39" i="87"/>
  <c r="I40" i="87"/>
  <c r="I41" i="87"/>
  <c r="I42" i="87"/>
  <c r="I43" i="87"/>
  <c r="I44" i="87"/>
  <c r="I45" i="87"/>
  <c r="I46" i="87"/>
  <c r="I47" i="87"/>
  <c r="I48" i="87"/>
  <c r="I49" i="87"/>
  <c r="I50" i="87"/>
  <c r="I51" i="87"/>
  <c r="I52" i="87"/>
  <c r="I53" i="87"/>
  <c r="I54" i="87"/>
  <c r="I55" i="87"/>
  <c r="I56" i="87"/>
  <c r="I57" i="87"/>
  <c r="I58" i="87"/>
  <c r="I59" i="87"/>
  <c r="I60" i="87"/>
  <c r="I61" i="87"/>
  <c r="I62" i="87"/>
  <c r="I63" i="87"/>
  <c r="I64" i="87"/>
  <c r="I65" i="87"/>
  <c r="I66" i="87"/>
  <c r="I67" i="87"/>
  <c r="I68" i="87"/>
  <c r="I69" i="87"/>
  <c r="I70" i="87"/>
  <c r="I71" i="87"/>
  <c r="I72" i="87"/>
  <c r="I73" i="87"/>
  <c r="I74" i="87"/>
  <c r="H27" i="87"/>
  <c r="H28" i="87"/>
  <c r="H29" i="87"/>
  <c r="H30" i="87"/>
  <c r="H31" i="87"/>
  <c r="H32" i="87"/>
  <c r="H33" i="87"/>
  <c r="H34" i="87"/>
  <c r="H35" i="87"/>
  <c r="H36" i="87"/>
  <c r="H37" i="87"/>
  <c r="H38" i="87"/>
  <c r="H39" i="87"/>
  <c r="H40" i="87"/>
  <c r="H41" i="87"/>
  <c r="H42" i="87"/>
  <c r="H43" i="87"/>
  <c r="H44" i="87"/>
  <c r="H45" i="87"/>
  <c r="H46" i="87"/>
  <c r="H47" i="87"/>
  <c r="H48" i="87"/>
  <c r="H49" i="87"/>
  <c r="H50" i="87"/>
  <c r="H51" i="87"/>
  <c r="H52" i="87"/>
  <c r="H53" i="87"/>
  <c r="H54" i="87"/>
  <c r="H55" i="87"/>
  <c r="H56" i="87"/>
  <c r="H57" i="87"/>
  <c r="H58" i="87"/>
  <c r="H59" i="87"/>
  <c r="H60" i="87"/>
  <c r="H61" i="87"/>
  <c r="H62" i="87"/>
  <c r="H63" i="87"/>
  <c r="H64" i="87"/>
  <c r="H65" i="87"/>
  <c r="H66" i="87"/>
  <c r="H67" i="87"/>
  <c r="H68" i="87"/>
  <c r="H69" i="87"/>
  <c r="H70" i="87"/>
  <c r="H71" i="87"/>
  <c r="H72" i="87"/>
  <c r="H73" i="87"/>
  <c r="H74" i="87"/>
  <c r="G27" i="87"/>
  <c r="G28" i="87"/>
  <c r="G29" i="87"/>
  <c r="G30" i="87"/>
  <c r="G31" i="87"/>
  <c r="G32" i="87"/>
  <c r="G33" i="87"/>
  <c r="G34" i="87"/>
  <c r="G35" i="87"/>
  <c r="G36" i="87"/>
  <c r="G37" i="87"/>
  <c r="G38" i="87"/>
  <c r="G39" i="87"/>
  <c r="G40" i="87"/>
  <c r="G41" i="87"/>
  <c r="G42" i="87"/>
  <c r="G43" i="87"/>
  <c r="G44" i="87"/>
  <c r="G45" i="87"/>
  <c r="G46" i="87"/>
  <c r="G47" i="87"/>
  <c r="G48" i="87"/>
  <c r="G49" i="87"/>
  <c r="G50" i="87"/>
  <c r="G51" i="87"/>
  <c r="G52" i="87"/>
  <c r="G53" i="87"/>
  <c r="G54" i="87"/>
  <c r="G55" i="87"/>
  <c r="G56" i="87"/>
  <c r="G57" i="87"/>
  <c r="G58" i="87"/>
  <c r="G59" i="87"/>
  <c r="G60" i="87"/>
  <c r="G61" i="87"/>
  <c r="G62" i="87"/>
  <c r="G63" i="87"/>
  <c r="G64" i="87"/>
  <c r="G65" i="87"/>
  <c r="G66" i="87"/>
  <c r="G67" i="87"/>
  <c r="G68" i="87"/>
  <c r="G69" i="87"/>
  <c r="G70" i="87"/>
  <c r="G71" i="87"/>
  <c r="G72" i="87"/>
  <c r="G73" i="87"/>
  <c r="G74" i="87"/>
  <c r="F27" i="87"/>
  <c r="F28" i="87"/>
  <c r="F29" i="87"/>
  <c r="F30" i="87"/>
  <c r="F31" i="87"/>
  <c r="F32" i="87"/>
  <c r="F33" i="87"/>
  <c r="F34" i="87"/>
  <c r="F35" i="87"/>
  <c r="F36" i="87"/>
  <c r="F37" i="87"/>
  <c r="F38" i="87"/>
  <c r="F39" i="87"/>
  <c r="F40" i="87"/>
  <c r="F41" i="87"/>
  <c r="F42" i="87"/>
  <c r="F43" i="87"/>
  <c r="F44" i="87"/>
  <c r="F45" i="87"/>
  <c r="F46" i="87"/>
  <c r="F47" i="87"/>
  <c r="F48" i="87"/>
  <c r="F49" i="87"/>
  <c r="F50" i="87"/>
  <c r="F51" i="87"/>
  <c r="F52" i="87"/>
  <c r="F53" i="87"/>
  <c r="F54" i="87"/>
  <c r="F55" i="87"/>
  <c r="F56" i="87"/>
  <c r="F57" i="87"/>
  <c r="F58" i="87"/>
  <c r="F59" i="87"/>
  <c r="F60" i="87"/>
  <c r="F61" i="87"/>
  <c r="F62" i="87"/>
  <c r="F63" i="87"/>
  <c r="F64" i="87"/>
  <c r="F65" i="87"/>
  <c r="F66" i="87"/>
  <c r="F67" i="87"/>
  <c r="F68" i="87"/>
  <c r="F69" i="87"/>
  <c r="F70" i="87"/>
  <c r="F71" i="87"/>
  <c r="F72" i="87"/>
  <c r="F73" i="87"/>
  <c r="F74" i="87"/>
  <c r="E50" i="87"/>
  <c r="E51" i="87"/>
  <c r="E52" i="87"/>
  <c r="E53" i="87"/>
  <c r="E54" i="87"/>
  <c r="E55" i="87"/>
  <c r="E56" i="87"/>
  <c r="E57" i="87"/>
  <c r="E58" i="87"/>
  <c r="E59" i="87"/>
  <c r="E60" i="87"/>
  <c r="E61" i="87"/>
  <c r="E62" i="87"/>
  <c r="E63" i="87"/>
  <c r="E64" i="87"/>
  <c r="E65" i="87"/>
  <c r="E66" i="87"/>
  <c r="E67" i="87"/>
  <c r="E68" i="87"/>
  <c r="E69" i="87"/>
  <c r="E70" i="87"/>
  <c r="E71" i="87"/>
  <c r="E72" i="87"/>
  <c r="E73" i="87"/>
  <c r="E74" i="87"/>
  <c r="D60" i="87"/>
  <c r="D61" i="87"/>
  <c r="D62" i="87"/>
  <c r="D63" i="87"/>
  <c r="D64" i="87"/>
  <c r="D65" i="87"/>
  <c r="D66" i="87"/>
  <c r="D67" i="87"/>
  <c r="D68" i="87"/>
  <c r="D69" i="87"/>
  <c r="D70" i="87"/>
  <c r="D71" i="87"/>
  <c r="D72" i="87"/>
  <c r="D73" i="87"/>
  <c r="D74" i="87"/>
  <c r="C64" i="87"/>
  <c r="C65" i="87"/>
  <c r="C66" i="87"/>
  <c r="C67" i="87"/>
  <c r="C68" i="87"/>
  <c r="C69" i="87"/>
  <c r="C70" i="87"/>
  <c r="C71" i="87"/>
  <c r="C72" i="87"/>
  <c r="C73" i="87"/>
  <c r="C74" i="87"/>
  <c r="C63" i="87"/>
  <c r="C62" i="87"/>
  <c r="C61" i="87"/>
  <c r="C60" i="87"/>
  <c r="T211" i="100" l="1"/>
  <c r="E211" i="100"/>
  <c r="F211" i="100"/>
  <c r="G211" i="100"/>
  <c r="H211" i="100"/>
  <c r="I211" i="100"/>
  <c r="J211" i="100"/>
  <c r="K211" i="100"/>
  <c r="L211" i="100"/>
  <c r="M211" i="100"/>
  <c r="N211" i="100"/>
  <c r="O211" i="100"/>
  <c r="P211" i="100"/>
  <c r="Q211" i="100"/>
  <c r="R211" i="100"/>
  <c r="S211" i="100"/>
  <c r="D211" i="100"/>
  <c r="T206" i="100"/>
  <c r="E206" i="100"/>
  <c r="F206" i="100"/>
  <c r="G206" i="100"/>
  <c r="H206" i="100"/>
  <c r="I206" i="100"/>
  <c r="J206" i="100"/>
  <c r="K206" i="100"/>
  <c r="L206" i="100"/>
  <c r="M206" i="100"/>
  <c r="N206" i="100"/>
  <c r="O206" i="100"/>
  <c r="P206" i="100"/>
  <c r="Q206" i="100"/>
  <c r="R206" i="100"/>
  <c r="S206" i="100"/>
  <c r="D206" i="100"/>
  <c r="T201" i="100"/>
  <c r="E201" i="100"/>
  <c r="F201" i="100"/>
  <c r="G201" i="100"/>
  <c r="H201" i="100"/>
  <c r="I201" i="100"/>
  <c r="J201" i="100"/>
  <c r="K201" i="100"/>
  <c r="L201" i="100"/>
  <c r="M201" i="100"/>
  <c r="N201" i="100"/>
  <c r="O201" i="100"/>
  <c r="P201" i="100"/>
  <c r="Q201" i="100"/>
  <c r="R201" i="100"/>
  <c r="S201" i="100"/>
  <c r="D201" i="100"/>
  <c r="T196" i="100"/>
  <c r="E196" i="100"/>
  <c r="F196" i="100"/>
  <c r="G196" i="100"/>
  <c r="H196" i="100"/>
  <c r="I196" i="100"/>
  <c r="J196" i="100"/>
  <c r="K196" i="100"/>
  <c r="L196" i="100"/>
  <c r="M196" i="100"/>
  <c r="N196" i="100"/>
  <c r="O196" i="100"/>
  <c r="P196" i="100"/>
  <c r="Q196" i="100"/>
  <c r="R196" i="100"/>
  <c r="S196" i="100"/>
  <c r="D196" i="100"/>
  <c r="T191" i="100"/>
  <c r="E191" i="100"/>
  <c r="F191" i="100"/>
  <c r="G191" i="100"/>
  <c r="H191" i="100"/>
  <c r="I191" i="100"/>
  <c r="J191" i="100"/>
  <c r="K191" i="100"/>
  <c r="L191" i="100"/>
  <c r="M191" i="100"/>
  <c r="N191" i="100"/>
  <c r="O191" i="100"/>
  <c r="P191" i="100"/>
  <c r="Q191" i="100"/>
  <c r="R191" i="100"/>
  <c r="S191" i="100"/>
  <c r="D191" i="100"/>
  <c r="T186" i="100"/>
  <c r="E186" i="100"/>
  <c r="F186" i="100"/>
  <c r="G186" i="100"/>
  <c r="H186" i="100"/>
  <c r="I186" i="100"/>
  <c r="J186" i="100"/>
  <c r="K186" i="100"/>
  <c r="L186" i="100"/>
  <c r="M186" i="100"/>
  <c r="N186" i="100"/>
  <c r="O186" i="100"/>
  <c r="P186" i="100"/>
  <c r="Q186" i="100"/>
  <c r="R186" i="100"/>
  <c r="S186" i="100"/>
  <c r="D186" i="100"/>
  <c r="T181" i="100"/>
  <c r="E181" i="100"/>
  <c r="F181" i="100"/>
  <c r="G181" i="100"/>
  <c r="H181" i="100"/>
  <c r="I181" i="100"/>
  <c r="J181" i="100"/>
  <c r="K181" i="100"/>
  <c r="L181" i="100"/>
  <c r="M181" i="100"/>
  <c r="N181" i="100"/>
  <c r="O181" i="100"/>
  <c r="P181" i="100"/>
  <c r="Q181" i="100"/>
  <c r="R181" i="100"/>
  <c r="S181" i="100"/>
  <c r="D181" i="100"/>
  <c r="T176" i="100"/>
  <c r="E176" i="100"/>
  <c r="F176" i="100"/>
  <c r="G176" i="100"/>
  <c r="H176" i="100"/>
  <c r="I176" i="100"/>
  <c r="J176" i="100"/>
  <c r="K176" i="100"/>
  <c r="L176" i="100"/>
  <c r="M176" i="100"/>
  <c r="N176" i="100"/>
  <c r="O176" i="100"/>
  <c r="P176" i="100"/>
  <c r="Q176" i="100"/>
  <c r="R176" i="100"/>
  <c r="S176" i="100"/>
  <c r="D176" i="100"/>
  <c r="T171" i="100"/>
  <c r="E171" i="100"/>
  <c r="F171" i="100"/>
  <c r="G171" i="100"/>
  <c r="H171" i="100"/>
  <c r="I171" i="100"/>
  <c r="J171" i="100"/>
  <c r="K171" i="100"/>
  <c r="L171" i="100"/>
  <c r="M171" i="100"/>
  <c r="N171" i="100"/>
  <c r="O171" i="100"/>
  <c r="P171" i="100"/>
  <c r="Q171" i="100"/>
  <c r="R171" i="100"/>
  <c r="S171" i="100"/>
  <c r="D171" i="100"/>
  <c r="T166" i="100"/>
  <c r="E166" i="100"/>
  <c r="F166" i="100"/>
  <c r="G166" i="100"/>
  <c r="H166" i="100"/>
  <c r="I166" i="100"/>
  <c r="J166" i="100"/>
  <c r="K166" i="100"/>
  <c r="L166" i="100"/>
  <c r="M166" i="100"/>
  <c r="N166" i="100"/>
  <c r="O166" i="100"/>
  <c r="P166" i="100"/>
  <c r="Q166" i="100"/>
  <c r="R166" i="100"/>
  <c r="S166" i="100"/>
  <c r="D166" i="100"/>
  <c r="T161" i="100"/>
  <c r="E161" i="100"/>
  <c r="F161" i="100"/>
  <c r="G161" i="100"/>
  <c r="H161" i="100"/>
  <c r="I161" i="100"/>
  <c r="J161" i="100"/>
  <c r="K161" i="100"/>
  <c r="L161" i="100"/>
  <c r="M161" i="100"/>
  <c r="N161" i="100"/>
  <c r="O161" i="100"/>
  <c r="P161" i="100"/>
  <c r="Q161" i="100"/>
  <c r="R161" i="100"/>
  <c r="S161" i="100"/>
  <c r="D161" i="100"/>
  <c r="T156" i="100"/>
  <c r="E156" i="100"/>
  <c r="F156" i="100"/>
  <c r="G156" i="100"/>
  <c r="H156" i="100"/>
  <c r="I156" i="100"/>
  <c r="J156" i="100"/>
  <c r="K156" i="100"/>
  <c r="L156" i="100"/>
  <c r="M156" i="100"/>
  <c r="N156" i="100"/>
  <c r="O156" i="100"/>
  <c r="P156" i="100"/>
  <c r="Q156" i="100"/>
  <c r="R156" i="100"/>
  <c r="S156" i="100"/>
  <c r="D156" i="100"/>
  <c r="T151" i="100"/>
  <c r="E151" i="100"/>
  <c r="F151" i="100"/>
  <c r="G151" i="100"/>
  <c r="H151" i="100"/>
  <c r="I151" i="100"/>
  <c r="J151" i="100"/>
  <c r="K151" i="100"/>
  <c r="L151" i="100"/>
  <c r="M151" i="100"/>
  <c r="N151" i="100"/>
  <c r="O151" i="100"/>
  <c r="P151" i="100"/>
  <c r="Q151" i="100"/>
  <c r="R151" i="100"/>
  <c r="S151" i="100"/>
  <c r="D151" i="100"/>
  <c r="T141" i="100" a="1"/>
  <c r="T141" i="100" s="1"/>
  <c r="E141" i="100" a="1"/>
  <c r="E141" i="100" s="1"/>
  <c r="F141" i="100" a="1"/>
  <c r="F141" i="100" s="1"/>
  <c r="G141" i="100" a="1"/>
  <c r="G141" i="100" s="1"/>
  <c r="H141" i="100" a="1"/>
  <c r="H141" i="100" s="1"/>
  <c r="I141" i="100" a="1"/>
  <c r="I141" i="100" s="1"/>
  <c r="J141" i="100" a="1"/>
  <c r="J141" i="100" s="1"/>
  <c r="K141" i="100" a="1"/>
  <c r="K141" i="100" s="1"/>
  <c r="L141" i="100" a="1"/>
  <c r="L141" i="100" s="1"/>
  <c r="M141" i="100" a="1"/>
  <c r="M141" i="100" s="1"/>
  <c r="N141" i="100" a="1"/>
  <c r="N141" i="100" s="1"/>
  <c r="O141" i="100" a="1"/>
  <c r="O141" i="100" s="1"/>
  <c r="P141" i="100" a="1"/>
  <c r="P141" i="100" s="1"/>
  <c r="Q141" i="100" a="1"/>
  <c r="Q141" i="100" s="1"/>
  <c r="R141" i="100" a="1"/>
  <c r="R141" i="100" s="1"/>
  <c r="S141" i="100" a="1"/>
  <c r="S141" i="100" s="1"/>
  <c r="D141" i="100" a="1"/>
  <c r="D141" i="100" s="1"/>
  <c r="T136" i="100" a="1"/>
  <c r="T136" i="100" s="1"/>
  <c r="E136" i="100" a="1"/>
  <c r="E136" i="100" s="1"/>
  <c r="F136" i="100" a="1"/>
  <c r="F136" i="100" s="1"/>
  <c r="G136" i="100" a="1"/>
  <c r="G136" i="100" s="1"/>
  <c r="H136" i="100" a="1"/>
  <c r="H136" i="100" s="1"/>
  <c r="I136" i="100" a="1"/>
  <c r="I136" i="100" s="1"/>
  <c r="J136" i="100" a="1"/>
  <c r="J136" i="100" s="1"/>
  <c r="K136" i="100" a="1"/>
  <c r="K136" i="100" s="1"/>
  <c r="L136" i="100" a="1"/>
  <c r="L136" i="100" s="1"/>
  <c r="M136" i="100" a="1"/>
  <c r="M136" i="100" s="1"/>
  <c r="N136" i="100" a="1"/>
  <c r="N136" i="100" s="1"/>
  <c r="O136" i="100" a="1"/>
  <c r="O136" i="100" s="1"/>
  <c r="P136" i="100" a="1"/>
  <c r="P136" i="100" s="1"/>
  <c r="Q136" i="100" a="1"/>
  <c r="Q136" i="100" s="1"/>
  <c r="R136" i="100" a="1"/>
  <c r="R136" i="100" s="1"/>
  <c r="S136" i="100" a="1"/>
  <c r="S136" i="100" s="1"/>
  <c r="D136" i="100" a="1"/>
  <c r="D136" i="100" s="1"/>
  <c r="T131" i="100" a="1"/>
  <c r="T131" i="100" s="1"/>
  <c r="E131" i="100" a="1"/>
  <c r="E131" i="100" s="1"/>
  <c r="F131" i="100" a="1"/>
  <c r="F131" i="100" s="1"/>
  <c r="G131" i="100" a="1"/>
  <c r="G131" i="100" s="1"/>
  <c r="H131" i="100" a="1"/>
  <c r="H131" i="100" s="1"/>
  <c r="I131" i="100" a="1"/>
  <c r="I131" i="100" s="1"/>
  <c r="J131" i="100" a="1"/>
  <c r="J131" i="100" s="1"/>
  <c r="K131" i="100" a="1"/>
  <c r="K131" i="100" s="1"/>
  <c r="L131" i="100" a="1"/>
  <c r="L131" i="100" s="1"/>
  <c r="M131" i="100" a="1"/>
  <c r="M131" i="100" s="1"/>
  <c r="N131" i="100" a="1"/>
  <c r="N131" i="100" s="1"/>
  <c r="O131" i="100" a="1"/>
  <c r="O131" i="100" s="1"/>
  <c r="P131" i="100" a="1"/>
  <c r="P131" i="100" s="1"/>
  <c r="Q131" i="100" a="1"/>
  <c r="Q131" i="100" s="1"/>
  <c r="R131" i="100" a="1"/>
  <c r="R131" i="100" s="1"/>
  <c r="S131" i="100" a="1"/>
  <c r="S131" i="100" s="1"/>
  <c r="D131" i="100" a="1"/>
  <c r="D131" i="100" s="1"/>
  <c r="T126" i="100" a="1"/>
  <c r="T126" i="100" s="1"/>
  <c r="E126" i="100" a="1"/>
  <c r="E126" i="100" s="1"/>
  <c r="F126" i="100" a="1"/>
  <c r="F126" i="100" s="1"/>
  <c r="G126" i="100" a="1"/>
  <c r="G126" i="100" s="1"/>
  <c r="H126" i="100" a="1"/>
  <c r="H126" i="100" s="1"/>
  <c r="I126" i="100" a="1"/>
  <c r="I126" i="100" s="1"/>
  <c r="J126" i="100" a="1"/>
  <c r="J126" i="100" s="1"/>
  <c r="K126" i="100" a="1"/>
  <c r="K126" i="100" s="1"/>
  <c r="L126" i="100" a="1"/>
  <c r="L126" i="100" s="1"/>
  <c r="M126" i="100" a="1"/>
  <c r="M126" i="100" s="1"/>
  <c r="N126" i="100" a="1"/>
  <c r="N126" i="100" s="1"/>
  <c r="O126" i="100" a="1"/>
  <c r="O126" i="100" s="1"/>
  <c r="P126" i="100" a="1"/>
  <c r="P126" i="100" s="1"/>
  <c r="Q126" i="100" a="1"/>
  <c r="Q126" i="100" s="1"/>
  <c r="R126" i="100" a="1"/>
  <c r="R126" i="100" s="1"/>
  <c r="S126" i="100" a="1"/>
  <c r="S126" i="100" s="1"/>
  <c r="D126" i="100" a="1"/>
  <c r="D126" i="100" s="1"/>
  <c r="T121" i="100" a="1"/>
  <c r="T121" i="100" s="1"/>
  <c r="E121" i="100" a="1"/>
  <c r="E121" i="100" s="1"/>
  <c r="F121" i="100" a="1"/>
  <c r="F121" i="100" s="1"/>
  <c r="G121" i="100" a="1"/>
  <c r="G121" i="100" s="1"/>
  <c r="H121" i="100" a="1"/>
  <c r="H121" i="100" s="1"/>
  <c r="I121" i="100" a="1"/>
  <c r="I121" i="100" s="1"/>
  <c r="J121" i="100" a="1"/>
  <c r="J121" i="100" s="1"/>
  <c r="K121" i="100" a="1"/>
  <c r="K121" i="100" s="1"/>
  <c r="L121" i="100" a="1"/>
  <c r="L121" i="100" s="1"/>
  <c r="M121" i="100" a="1"/>
  <c r="M121" i="100" s="1"/>
  <c r="N121" i="100" a="1"/>
  <c r="N121" i="100" s="1"/>
  <c r="O121" i="100" a="1"/>
  <c r="O121" i="100" s="1"/>
  <c r="P121" i="100" a="1"/>
  <c r="P121" i="100" s="1"/>
  <c r="Q121" i="100" a="1"/>
  <c r="Q121" i="100" s="1"/>
  <c r="R121" i="100" a="1"/>
  <c r="R121" i="100" s="1"/>
  <c r="S121" i="100" a="1"/>
  <c r="S121" i="100" s="1"/>
  <c r="D121" i="100" a="1"/>
  <c r="D121" i="100" s="1"/>
  <c r="T116" i="100" a="1"/>
  <c r="T116" i="100" s="1"/>
  <c r="E116" i="100" a="1"/>
  <c r="E116" i="100" s="1"/>
  <c r="F116" i="100" a="1"/>
  <c r="F116" i="100" s="1"/>
  <c r="G116" i="100" a="1"/>
  <c r="G116" i="100" s="1"/>
  <c r="H116" i="100" a="1"/>
  <c r="H116" i="100" s="1"/>
  <c r="I116" i="100" a="1"/>
  <c r="I116" i="100" s="1"/>
  <c r="J116" i="100" a="1"/>
  <c r="J116" i="100" s="1"/>
  <c r="K116" i="100" a="1"/>
  <c r="K116" i="100" s="1"/>
  <c r="L116" i="100" a="1"/>
  <c r="L116" i="100" s="1"/>
  <c r="M116" i="100" a="1"/>
  <c r="M116" i="100" s="1"/>
  <c r="N116" i="100" a="1"/>
  <c r="N116" i="100" s="1"/>
  <c r="O116" i="100" a="1"/>
  <c r="O116" i="100" s="1"/>
  <c r="P116" i="100" a="1"/>
  <c r="P116" i="100" s="1"/>
  <c r="Q116" i="100" a="1"/>
  <c r="Q116" i="100" s="1"/>
  <c r="R116" i="100" a="1"/>
  <c r="R116" i="100" s="1"/>
  <c r="S116" i="100" a="1"/>
  <c r="S116" i="100" s="1"/>
  <c r="D116" i="100" a="1"/>
  <c r="D116" i="100" s="1"/>
  <c r="T109" i="100" a="1"/>
  <c r="T109" i="100" s="1"/>
  <c r="T108" i="100" a="1"/>
  <c r="T108" i="100" s="1"/>
  <c r="D107" i="100" a="1"/>
  <c r="D107" i="100" s="1"/>
  <c r="E107" i="100" a="1"/>
  <c r="E107" i="100" s="1"/>
  <c r="F107" i="100" a="1"/>
  <c r="F107" i="100" s="1"/>
  <c r="G107" i="100" a="1"/>
  <c r="G107" i="100" s="1"/>
  <c r="I107" i="100" a="1"/>
  <c r="I107" i="100" s="1"/>
  <c r="J107" i="100" a="1"/>
  <c r="J107" i="100" s="1"/>
  <c r="K107" i="100" a="1"/>
  <c r="K107" i="100" s="1"/>
  <c r="L107" i="100" a="1"/>
  <c r="L107" i="100" s="1"/>
  <c r="M107" i="100" a="1"/>
  <c r="M107" i="100" s="1"/>
  <c r="N107" i="100" a="1"/>
  <c r="N107" i="100" s="1"/>
  <c r="O107" i="100" a="1"/>
  <c r="O107" i="100" s="1"/>
  <c r="P107" i="100" a="1"/>
  <c r="P107" i="100" s="1"/>
  <c r="Q107" i="100" a="1"/>
  <c r="Q107" i="100" s="1"/>
  <c r="R107" i="100" a="1"/>
  <c r="R107" i="100" s="1"/>
  <c r="S107" i="100" a="1"/>
  <c r="S107" i="100" s="1"/>
  <c r="I111" i="100" a="1"/>
  <c r="I111" i="100" s="1"/>
  <c r="J111" i="100" a="1"/>
  <c r="J111" i="100" s="1"/>
  <c r="K111" i="100" a="1"/>
  <c r="K111" i="100" s="1"/>
  <c r="L111" i="100" a="1"/>
  <c r="L111" i="100" s="1"/>
  <c r="M111" i="100" a="1"/>
  <c r="M111" i="100" s="1"/>
  <c r="N111" i="100" a="1"/>
  <c r="N111" i="100" s="1"/>
  <c r="O111" i="100" a="1"/>
  <c r="O111" i="100" s="1"/>
  <c r="P111" i="100" a="1"/>
  <c r="P111" i="100" s="1"/>
  <c r="Q111" i="100" a="1"/>
  <c r="Q111" i="100" s="1"/>
  <c r="R111" i="100" a="1"/>
  <c r="R111" i="100" s="1"/>
  <c r="S111" i="100" a="1"/>
  <c r="S111" i="100" s="1"/>
  <c r="D111" i="100" a="1"/>
  <c r="D111" i="100" s="1"/>
  <c r="E111" i="100" a="1"/>
  <c r="E111" i="100" s="1"/>
  <c r="F111" i="100" a="1"/>
  <c r="F111" i="100" s="1"/>
  <c r="G111" i="100" a="1"/>
  <c r="G111" i="100" s="1"/>
  <c r="H111" i="100" a="1"/>
  <c r="H111" i="100" s="1"/>
  <c r="H110" i="100" a="1"/>
  <c r="H110" i="100" s="1"/>
  <c r="H109" i="100" a="1"/>
  <c r="H109" i="100" s="1"/>
  <c r="H107" i="100" a="1"/>
  <c r="H107" i="100" s="1"/>
  <c r="T111" i="100" a="1"/>
  <c r="T111" i="100" s="1"/>
  <c r="D112" i="100" a="1"/>
  <c r="D112" i="100" s="1"/>
  <c r="T106" i="100" a="1"/>
  <c r="T106" i="100" s="1"/>
  <c r="E106" i="100" a="1"/>
  <c r="E106" i="100" s="1"/>
  <c r="F106" i="100" a="1"/>
  <c r="F106" i="100" s="1"/>
  <c r="G106" i="100" a="1"/>
  <c r="G106" i="100" s="1"/>
  <c r="H106" i="100" a="1"/>
  <c r="H106" i="100" s="1"/>
  <c r="I106" i="100" a="1"/>
  <c r="I106" i="100" s="1"/>
  <c r="J106" i="100" a="1"/>
  <c r="J106" i="100" s="1"/>
  <c r="K106" i="100" a="1"/>
  <c r="K106" i="100" s="1"/>
  <c r="L106" i="100" a="1"/>
  <c r="L106" i="100" s="1"/>
  <c r="M106" i="100" a="1"/>
  <c r="M106" i="100" s="1"/>
  <c r="N106" i="100" a="1"/>
  <c r="N106" i="100" s="1"/>
  <c r="O106" i="100" a="1"/>
  <c r="O106" i="100" s="1"/>
  <c r="P106" i="100" a="1"/>
  <c r="P106" i="100" s="1"/>
  <c r="Q106" i="100" a="1"/>
  <c r="Q106" i="100" s="1"/>
  <c r="R106" i="100" a="1"/>
  <c r="R106" i="100" s="1"/>
  <c r="S106" i="100" a="1"/>
  <c r="S106" i="100" s="1"/>
  <c r="D106" i="100" a="1"/>
  <c r="D106" i="100" s="1"/>
  <c r="T101" i="100" a="1"/>
  <c r="T101" i="100" s="1"/>
  <c r="E101" i="100" a="1"/>
  <c r="E101" i="100" s="1"/>
  <c r="F101" i="100" a="1"/>
  <c r="F101" i="100" s="1"/>
  <c r="G101" i="100" a="1"/>
  <c r="G101" i="100" s="1"/>
  <c r="H101" i="100" a="1"/>
  <c r="H101" i="100" s="1"/>
  <c r="I101" i="100" a="1"/>
  <c r="I101" i="100" s="1"/>
  <c r="J101" i="100" a="1"/>
  <c r="J101" i="100" s="1"/>
  <c r="K101" i="100" a="1"/>
  <c r="K101" i="100" s="1"/>
  <c r="L101" i="100" a="1"/>
  <c r="L101" i="100" s="1"/>
  <c r="M101" i="100" a="1"/>
  <c r="M101" i="100" s="1"/>
  <c r="N101" i="100" a="1"/>
  <c r="N101" i="100" s="1"/>
  <c r="O101" i="100" a="1"/>
  <c r="O101" i="100" s="1"/>
  <c r="P101" i="100" a="1"/>
  <c r="P101" i="100" s="1"/>
  <c r="Q101" i="100" a="1"/>
  <c r="Q101" i="100" s="1"/>
  <c r="R101" i="100" a="1"/>
  <c r="R101" i="100" s="1"/>
  <c r="S101" i="100" a="1"/>
  <c r="S101" i="100" s="1"/>
  <c r="D101" i="100" a="1"/>
  <c r="D101" i="100" s="1"/>
  <c r="T96" i="100" a="1"/>
  <c r="T96" i="100" s="1"/>
  <c r="E96" i="100" a="1"/>
  <c r="E96" i="100" s="1"/>
  <c r="F96" i="100" a="1"/>
  <c r="F96" i="100" s="1"/>
  <c r="G96" i="100" a="1"/>
  <c r="G96" i="100" s="1"/>
  <c r="H96" i="100" a="1"/>
  <c r="H96" i="100" s="1"/>
  <c r="I96" i="100" a="1"/>
  <c r="I96" i="100" s="1"/>
  <c r="J96" i="100" a="1"/>
  <c r="J96" i="100" s="1"/>
  <c r="K96" i="100" a="1"/>
  <c r="K96" i="100" s="1"/>
  <c r="L96" i="100" a="1"/>
  <c r="L96" i="100" s="1"/>
  <c r="M96" i="100" a="1"/>
  <c r="M96" i="100" s="1"/>
  <c r="N96" i="100" a="1"/>
  <c r="N96" i="100" s="1"/>
  <c r="O96" i="100" a="1"/>
  <c r="O96" i="100" s="1"/>
  <c r="P96" i="100" a="1"/>
  <c r="P96" i="100" s="1"/>
  <c r="Q96" i="100" a="1"/>
  <c r="Q96" i="100" s="1"/>
  <c r="R96" i="100" a="1"/>
  <c r="R96" i="100" s="1"/>
  <c r="S96" i="100" a="1"/>
  <c r="S96" i="100" s="1"/>
  <c r="D96" i="100" a="1"/>
  <c r="D96" i="100" s="1"/>
  <c r="T91" i="100" a="1"/>
  <c r="T91" i="100" s="1"/>
  <c r="E91" i="100" a="1"/>
  <c r="E91" i="100" s="1"/>
  <c r="F91" i="100" a="1"/>
  <c r="F91" i="100" s="1"/>
  <c r="G91" i="100" a="1"/>
  <c r="G91" i="100" s="1"/>
  <c r="H91" i="100" a="1"/>
  <c r="H91" i="100" s="1"/>
  <c r="I91" i="100" a="1"/>
  <c r="I91" i="100" s="1"/>
  <c r="J91" i="100" a="1"/>
  <c r="J91" i="100" s="1"/>
  <c r="K91" i="100" a="1"/>
  <c r="K91" i="100" s="1"/>
  <c r="L91" i="100" a="1"/>
  <c r="L91" i="100" s="1"/>
  <c r="M91" i="100" a="1"/>
  <c r="M91" i="100" s="1"/>
  <c r="N91" i="100" a="1"/>
  <c r="N91" i="100" s="1"/>
  <c r="O91" i="100" a="1"/>
  <c r="O91" i="100" s="1"/>
  <c r="P91" i="100" a="1"/>
  <c r="P91" i="100" s="1"/>
  <c r="Q91" i="100" a="1"/>
  <c r="Q91" i="100" s="1"/>
  <c r="R91" i="100" a="1"/>
  <c r="R91" i="100" s="1"/>
  <c r="S91" i="100" a="1"/>
  <c r="S91" i="100" s="1"/>
  <c r="D91" i="100" a="1"/>
  <c r="D91" i="100" s="1"/>
  <c r="T86" i="100" a="1"/>
  <c r="T86" i="100" s="1"/>
  <c r="E86" i="100" a="1"/>
  <c r="E86" i="100" s="1"/>
  <c r="F86" i="100" a="1"/>
  <c r="F86" i="100" s="1"/>
  <c r="G86" i="100" a="1"/>
  <c r="G86" i="100" s="1"/>
  <c r="H86" i="100" a="1"/>
  <c r="H86" i="100" s="1"/>
  <c r="I86" i="100" a="1"/>
  <c r="I86" i="100" s="1"/>
  <c r="J86" i="100" a="1"/>
  <c r="J86" i="100" s="1"/>
  <c r="K86" i="100" a="1"/>
  <c r="K86" i="100" s="1"/>
  <c r="L86" i="100" a="1"/>
  <c r="L86" i="100" s="1"/>
  <c r="M86" i="100" a="1"/>
  <c r="M86" i="100" s="1"/>
  <c r="N86" i="100" a="1"/>
  <c r="N86" i="100" s="1"/>
  <c r="O86" i="100" a="1"/>
  <c r="O86" i="100" s="1"/>
  <c r="P86" i="100" a="1"/>
  <c r="P86" i="100" s="1"/>
  <c r="Q86" i="100" a="1"/>
  <c r="Q86" i="100" s="1"/>
  <c r="R86" i="100" a="1"/>
  <c r="R86" i="100" s="1"/>
  <c r="S86" i="100" a="1"/>
  <c r="S86" i="100" s="1"/>
  <c r="D86" i="100" a="1"/>
  <c r="D86" i="100" s="1"/>
  <c r="T81" i="100" a="1"/>
  <c r="T81" i="100" s="1"/>
  <c r="F81" i="100" a="1"/>
  <c r="F81" i="100" s="1"/>
  <c r="G81" i="100" a="1"/>
  <c r="G81" i="100" s="1"/>
  <c r="H81" i="100" a="1"/>
  <c r="H81" i="100" s="1"/>
  <c r="I81" i="100" a="1"/>
  <c r="I81" i="100" s="1"/>
  <c r="J81" i="100" a="1"/>
  <c r="J81" i="100" s="1"/>
  <c r="K81" i="100" a="1"/>
  <c r="K81" i="100" s="1"/>
  <c r="L81" i="100" a="1"/>
  <c r="L81" i="100" s="1"/>
  <c r="M81" i="100" a="1"/>
  <c r="M81" i="100" s="1"/>
  <c r="N81" i="100" a="1"/>
  <c r="N81" i="100" s="1"/>
  <c r="O81" i="100" a="1"/>
  <c r="O81" i="100" s="1"/>
  <c r="P81" i="100" a="1"/>
  <c r="P81" i="100" s="1"/>
  <c r="Q81" i="100" a="1"/>
  <c r="Q81" i="100" s="1"/>
  <c r="R81" i="100" a="1"/>
  <c r="R81" i="100" s="1"/>
  <c r="S81" i="100" a="1"/>
  <c r="S81" i="100" s="1"/>
  <c r="E81" i="100" a="1"/>
  <c r="E81" i="100" s="1"/>
  <c r="D81" i="100" a="1"/>
  <c r="D81" i="100" s="1"/>
  <c r="D80" i="100" a="1"/>
  <c r="D80" i="100" s="1"/>
  <c r="T71" i="100"/>
  <c r="E71" i="100"/>
  <c r="F71" i="100"/>
  <c r="G71" i="100"/>
  <c r="H71" i="100"/>
  <c r="I71" i="100"/>
  <c r="J71" i="100"/>
  <c r="K71" i="100"/>
  <c r="L71" i="100"/>
  <c r="M71" i="100"/>
  <c r="N71" i="100"/>
  <c r="O71" i="100"/>
  <c r="P71" i="100"/>
  <c r="Q71" i="100"/>
  <c r="R71" i="100"/>
  <c r="S71" i="100"/>
  <c r="D71" i="100"/>
  <c r="T66" i="100"/>
  <c r="E66" i="100"/>
  <c r="F66" i="100"/>
  <c r="G66" i="100"/>
  <c r="H66" i="100"/>
  <c r="I66" i="100"/>
  <c r="J66" i="100"/>
  <c r="K66" i="100"/>
  <c r="L66" i="100"/>
  <c r="M66" i="100"/>
  <c r="N66" i="100"/>
  <c r="O66" i="100"/>
  <c r="P66" i="100"/>
  <c r="Q66" i="100"/>
  <c r="R66" i="100"/>
  <c r="S66" i="100"/>
  <c r="D66" i="100"/>
  <c r="T61" i="100"/>
  <c r="E61" i="100"/>
  <c r="F61" i="100"/>
  <c r="G61" i="100"/>
  <c r="H61" i="100"/>
  <c r="I61" i="100"/>
  <c r="J61" i="100"/>
  <c r="K61" i="100"/>
  <c r="L61" i="100"/>
  <c r="M61" i="100"/>
  <c r="N61" i="100"/>
  <c r="O61" i="100"/>
  <c r="P61" i="100"/>
  <c r="Q61" i="100"/>
  <c r="R61" i="100"/>
  <c r="S61" i="100"/>
  <c r="D61" i="100"/>
  <c r="T56" i="100"/>
  <c r="E56" i="100"/>
  <c r="F56" i="100"/>
  <c r="G56" i="100"/>
  <c r="H56" i="100"/>
  <c r="I56" i="100"/>
  <c r="J56" i="100"/>
  <c r="K56" i="100"/>
  <c r="L56" i="100"/>
  <c r="M56" i="100"/>
  <c r="N56" i="100"/>
  <c r="O56" i="100"/>
  <c r="P56" i="100"/>
  <c r="Q56" i="100"/>
  <c r="R56" i="100"/>
  <c r="S56" i="100"/>
  <c r="D56" i="100"/>
  <c r="T51" i="100"/>
  <c r="E51" i="100"/>
  <c r="F51" i="100"/>
  <c r="G51" i="100"/>
  <c r="H51" i="100"/>
  <c r="I51" i="100"/>
  <c r="J51" i="100"/>
  <c r="K51" i="100"/>
  <c r="L51" i="100"/>
  <c r="M51" i="100"/>
  <c r="N51" i="100"/>
  <c r="O51" i="100"/>
  <c r="P51" i="100"/>
  <c r="Q51" i="100"/>
  <c r="R51" i="100"/>
  <c r="S51" i="100"/>
  <c r="D51" i="100"/>
  <c r="E41" i="100"/>
  <c r="F41" i="100"/>
  <c r="G41" i="100"/>
  <c r="H41" i="100"/>
  <c r="I41" i="100"/>
  <c r="J41" i="100"/>
  <c r="K41" i="100"/>
  <c r="L41" i="100"/>
  <c r="M41" i="100"/>
  <c r="N41" i="100"/>
  <c r="O41" i="100"/>
  <c r="P41" i="100"/>
  <c r="Q41" i="100"/>
  <c r="R41" i="100"/>
  <c r="S41" i="100"/>
  <c r="D41" i="100"/>
  <c r="T46" i="100"/>
  <c r="E46" i="100"/>
  <c r="F46" i="100"/>
  <c r="G46" i="100"/>
  <c r="H46" i="100"/>
  <c r="I46" i="100"/>
  <c r="J46" i="100"/>
  <c r="K46" i="100"/>
  <c r="L46" i="100"/>
  <c r="M46" i="100"/>
  <c r="N46" i="100"/>
  <c r="O46" i="100"/>
  <c r="P46" i="100"/>
  <c r="Q46" i="100"/>
  <c r="R46" i="100"/>
  <c r="S46" i="100"/>
  <c r="D46" i="100"/>
  <c r="T41" i="100"/>
  <c r="T36" i="100"/>
  <c r="E36" i="100"/>
  <c r="F36" i="100"/>
  <c r="G36" i="100"/>
  <c r="H36" i="100"/>
  <c r="I36" i="100"/>
  <c r="J36" i="100"/>
  <c r="K36" i="100"/>
  <c r="L36" i="100"/>
  <c r="M36" i="100"/>
  <c r="N36" i="100"/>
  <c r="O36" i="100"/>
  <c r="P36" i="100"/>
  <c r="Q36" i="100"/>
  <c r="R36" i="100"/>
  <c r="S36" i="100"/>
  <c r="D36" i="100"/>
  <c r="T31" i="100"/>
  <c r="E31" i="100"/>
  <c r="F31" i="100"/>
  <c r="G31" i="100"/>
  <c r="H31" i="100"/>
  <c r="I31" i="100"/>
  <c r="J31" i="100"/>
  <c r="K31" i="100"/>
  <c r="L31" i="100"/>
  <c r="M31" i="100"/>
  <c r="N31" i="100"/>
  <c r="O31" i="100"/>
  <c r="P31" i="100"/>
  <c r="Q31" i="100"/>
  <c r="R31" i="100"/>
  <c r="S31" i="100"/>
  <c r="D31" i="100"/>
  <c r="T26" i="100"/>
  <c r="E26" i="100"/>
  <c r="F26" i="100"/>
  <c r="G26" i="100"/>
  <c r="H26" i="100"/>
  <c r="I26" i="100"/>
  <c r="J26" i="100"/>
  <c r="K26" i="100"/>
  <c r="L26" i="100"/>
  <c r="M26" i="100"/>
  <c r="N26" i="100"/>
  <c r="O26" i="100"/>
  <c r="P26" i="100"/>
  <c r="Q26" i="100"/>
  <c r="R26" i="100"/>
  <c r="S26" i="100"/>
  <c r="D26" i="100"/>
  <c r="T21" i="100"/>
  <c r="E21" i="100"/>
  <c r="F21" i="100"/>
  <c r="G21" i="100"/>
  <c r="H21" i="100"/>
  <c r="I21" i="100"/>
  <c r="J21" i="100"/>
  <c r="K21" i="100"/>
  <c r="L21" i="100"/>
  <c r="M21" i="100"/>
  <c r="N21" i="100"/>
  <c r="O21" i="100"/>
  <c r="P21" i="100"/>
  <c r="Q21" i="100"/>
  <c r="R21" i="100"/>
  <c r="S21" i="100"/>
  <c r="D21" i="100"/>
  <c r="T16" i="100"/>
  <c r="G16" i="100"/>
  <c r="H16" i="100"/>
  <c r="I16" i="100"/>
  <c r="J16" i="100"/>
  <c r="K16" i="100"/>
  <c r="L16" i="100"/>
  <c r="M16" i="100"/>
  <c r="N16" i="100"/>
  <c r="O16" i="100"/>
  <c r="P16" i="100"/>
  <c r="Q16" i="100"/>
  <c r="R16" i="100"/>
  <c r="S16" i="100"/>
  <c r="F16" i="100"/>
  <c r="E16" i="100"/>
  <c r="F13" i="100"/>
  <c r="F15" i="100"/>
  <c r="D16" i="100"/>
  <c r="T11" i="100"/>
  <c r="S11" i="100"/>
  <c r="R11" i="100"/>
  <c r="Q11" i="100"/>
  <c r="P11" i="100"/>
  <c r="O11" i="100"/>
  <c r="N11" i="100"/>
  <c r="M11" i="100"/>
  <c r="L11" i="100"/>
  <c r="K11" i="100"/>
  <c r="J11" i="100"/>
  <c r="I11" i="100"/>
  <c r="H11" i="100"/>
  <c r="G11" i="100"/>
  <c r="F11" i="100"/>
  <c r="E11" i="100"/>
  <c r="D11" i="100"/>
  <c r="S75" i="117"/>
  <c r="R75" i="117"/>
  <c r="Q75" i="117"/>
  <c r="P75" i="117"/>
  <c r="O75" i="117"/>
  <c r="N75" i="117"/>
  <c r="M75" i="117"/>
  <c r="L75" i="117"/>
  <c r="K75" i="117"/>
  <c r="J75" i="117"/>
  <c r="I75" i="117"/>
  <c r="H75" i="117"/>
  <c r="G75" i="117"/>
  <c r="F75" i="117"/>
  <c r="E75" i="117"/>
  <c r="D75" i="117"/>
  <c r="C75" i="117"/>
  <c r="S67" i="117"/>
  <c r="R67" i="117"/>
  <c r="Q67" i="117"/>
  <c r="P67" i="117"/>
  <c r="O67" i="117"/>
  <c r="N67" i="117"/>
  <c r="M67" i="117"/>
  <c r="L67" i="117"/>
  <c r="K67" i="117"/>
  <c r="J67" i="117"/>
  <c r="I67" i="117"/>
  <c r="H67" i="117"/>
  <c r="G67" i="117"/>
  <c r="F67" i="117"/>
  <c r="E67" i="117"/>
  <c r="D67" i="117"/>
  <c r="C67" i="117"/>
  <c r="S59" i="117"/>
  <c r="R59" i="117"/>
  <c r="Q59" i="117"/>
  <c r="P59" i="117"/>
  <c r="O59" i="117"/>
  <c r="N59" i="117"/>
  <c r="M59" i="117"/>
  <c r="L59" i="117"/>
  <c r="K59" i="117"/>
  <c r="J59" i="117"/>
  <c r="I59" i="117"/>
  <c r="H59" i="117"/>
  <c r="G59" i="117"/>
  <c r="F59" i="117"/>
  <c r="E59" i="117"/>
  <c r="D59" i="117"/>
  <c r="C59" i="117"/>
  <c r="S51" i="117"/>
  <c r="R51" i="117"/>
  <c r="Q51" i="117"/>
  <c r="P51" i="117"/>
  <c r="O51" i="117"/>
  <c r="N51" i="117"/>
  <c r="M51" i="117"/>
  <c r="L51" i="117"/>
  <c r="K51" i="117"/>
  <c r="J51" i="117"/>
  <c r="I51" i="117"/>
  <c r="H51" i="117"/>
  <c r="G51" i="117"/>
  <c r="F51" i="117"/>
  <c r="E51" i="117"/>
  <c r="D51" i="117"/>
  <c r="C51" i="117"/>
  <c r="S43" i="117"/>
  <c r="R43" i="117"/>
  <c r="Q43" i="117"/>
  <c r="P43" i="117"/>
  <c r="O43" i="117"/>
  <c r="N43" i="117"/>
  <c r="M43" i="117"/>
  <c r="L43" i="117"/>
  <c r="K43" i="117"/>
  <c r="J43" i="117"/>
  <c r="I43" i="117"/>
  <c r="H43" i="117"/>
  <c r="G43" i="117"/>
  <c r="F43" i="117"/>
  <c r="E43" i="117"/>
  <c r="D43" i="117"/>
  <c r="C43" i="117"/>
  <c r="S73" i="115"/>
  <c r="R73" i="115"/>
  <c r="Q73" i="115"/>
  <c r="P73" i="115"/>
  <c r="O73" i="115"/>
  <c r="N73" i="115"/>
  <c r="M73" i="115"/>
  <c r="L73" i="115"/>
  <c r="K73" i="115"/>
  <c r="J73" i="115"/>
  <c r="I73" i="115"/>
  <c r="H73" i="115"/>
  <c r="G73" i="115"/>
  <c r="F73" i="115"/>
  <c r="E73" i="115"/>
  <c r="D73" i="115"/>
  <c r="C73" i="115"/>
  <c r="S64" i="115"/>
  <c r="R64" i="115"/>
  <c r="Q64" i="115"/>
  <c r="P64" i="115"/>
  <c r="O64" i="115"/>
  <c r="N64" i="115"/>
  <c r="M64" i="115"/>
  <c r="L64" i="115"/>
  <c r="K64" i="115"/>
  <c r="J64" i="115"/>
  <c r="I64" i="115"/>
  <c r="H64" i="115"/>
  <c r="G64" i="115"/>
  <c r="F64" i="115"/>
  <c r="E64" i="115"/>
  <c r="D64" i="115"/>
  <c r="C64" i="115"/>
  <c r="S56" i="115"/>
  <c r="R56" i="115"/>
  <c r="Q56" i="115"/>
  <c r="P56" i="115"/>
  <c r="O56" i="115"/>
  <c r="N56" i="115"/>
  <c r="M56" i="115"/>
  <c r="L56" i="115"/>
  <c r="K56" i="115"/>
  <c r="J56" i="115"/>
  <c r="I56" i="115"/>
  <c r="H56" i="115"/>
  <c r="G56" i="115"/>
  <c r="F56" i="115"/>
  <c r="E56" i="115"/>
  <c r="D56" i="115"/>
  <c r="C56" i="115"/>
  <c r="S48" i="115"/>
  <c r="R48" i="115"/>
  <c r="Q48" i="115"/>
  <c r="P48" i="115"/>
  <c r="O48" i="115"/>
  <c r="N48" i="115"/>
  <c r="M48" i="115"/>
  <c r="L48" i="115"/>
  <c r="K48" i="115"/>
  <c r="J48" i="115"/>
  <c r="I48" i="115"/>
  <c r="H48" i="115"/>
  <c r="G48" i="115"/>
  <c r="F48" i="115"/>
  <c r="E48" i="115"/>
  <c r="D48" i="115"/>
  <c r="C48" i="115"/>
  <c r="S40" i="115"/>
  <c r="R40" i="115"/>
  <c r="Q40" i="115"/>
  <c r="P40" i="115"/>
  <c r="O40" i="115"/>
  <c r="N40" i="115"/>
  <c r="M40" i="115"/>
  <c r="L40" i="115"/>
  <c r="K40" i="115"/>
  <c r="J40" i="115"/>
  <c r="I40" i="115"/>
  <c r="H40" i="115"/>
  <c r="G40" i="115"/>
  <c r="F40" i="115"/>
  <c r="E40" i="115"/>
  <c r="D40" i="115"/>
  <c r="C40" i="115"/>
  <c r="B14" i="98"/>
  <c r="B9" i="98"/>
  <c r="T67" i="117" l="1"/>
  <c r="T59" i="117"/>
  <c r="T51" i="117"/>
  <c r="T43" i="117"/>
  <c r="L18" i="117" s="1"/>
  <c r="T64" i="115"/>
  <c r="T56" i="115"/>
  <c r="T48" i="115"/>
  <c r="T40" i="115"/>
  <c r="L17" i="115" s="1"/>
  <c r="C12" i="89"/>
  <c r="D36" i="98"/>
  <c r="D35" i="98"/>
  <c r="D35" i="114" l="1"/>
  <c r="D36" i="114"/>
  <c r="D37" i="114"/>
  <c r="D38" i="114"/>
  <c r="D39" i="114"/>
  <c r="D40" i="114"/>
  <c r="D41" i="114"/>
  <c r="D42" i="114"/>
  <c r="D43" i="114"/>
  <c r="D44" i="114"/>
  <c r="D45" i="114"/>
  <c r="D46" i="114"/>
  <c r="D47" i="114"/>
  <c r="D48" i="114"/>
  <c r="D49" i="114"/>
  <c r="D50" i="114"/>
  <c r="D51" i="114"/>
  <c r="D52" i="114"/>
  <c r="D53" i="114"/>
  <c r="D54" i="114"/>
  <c r="D55" i="114"/>
  <c r="D56" i="114"/>
  <c r="D57" i="114"/>
  <c r="D58" i="114"/>
  <c r="D59" i="114"/>
  <c r="D60" i="114"/>
  <c r="D61" i="114"/>
  <c r="D62" i="114"/>
  <c r="D63" i="114"/>
  <c r="D64" i="114"/>
  <c r="D65" i="114"/>
  <c r="D66" i="114"/>
  <c r="D67" i="114"/>
  <c r="D68" i="114"/>
  <c r="D69" i="114"/>
  <c r="D70" i="114"/>
  <c r="D71" i="114"/>
  <c r="D72" i="114"/>
  <c r="D73" i="114"/>
  <c r="D74" i="114"/>
  <c r="D75" i="114"/>
  <c r="D76" i="114"/>
  <c r="D77" i="114"/>
  <c r="D78" i="114"/>
  <c r="D79" i="114"/>
  <c r="D80" i="114"/>
  <c r="D81" i="114"/>
  <c r="D82" i="114"/>
  <c r="C35" i="114"/>
  <c r="C36" i="114"/>
  <c r="C37" i="114"/>
  <c r="C38" i="114"/>
  <c r="C39" i="114"/>
  <c r="C40" i="114"/>
  <c r="C41" i="114"/>
  <c r="C42" i="114"/>
  <c r="C43" i="114"/>
  <c r="C44" i="114"/>
  <c r="C45" i="114"/>
  <c r="C46" i="114"/>
  <c r="C47" i="114"/>
  <c r="C48" i="114"/>
  <c r="C49" i="114"/>
  <c r="C50" i="114"/>
  <c r="C51" i="114"/>
  <c r="C52" i="114"/>
  <c r="C53" i="114"/>
  <c r="C54" i="114"/>
  <c r="C55" i="114"/>
  <c r="C56" i="114"/>
  <c r="C57" i="114"/>
  <c r="C58" i="114"/>
  <c r="C59" i="114"/>
  <c r="C60" i="114"/>
  <c r="C61" i="114"/>
  <c r="C62" i="114"/>
  <c r="C63" i="114"/>
  <c r="C64" i="114"/>
  <c r="C65" i="114"/>
  <c r="C66" i="114"/>
  <c r="C67" i="114"/>
  <c r="C68" i="114"/>
  <c r="C69" i="114"/>
  <c r="C70" i="114"/>
  <c r="C71" i="114"/>
  <c r="C72" i="114"/>
  <c r="C73" i="114"/>
  <c r="C74" i="114"/>
  <c r="C75" i="114"/>
  <c r="C76" i="114"/>
  <c r="C77" i="114"/>
  <c r="C78" i="114"/>
  <c r="C79" i="114"/>
  <c r="C80" i="114"/>
  <c r="C81" i="114"/>
  <c r="C82" i="114"/>
  <c r="D43" i="98"/>
  <c r="D44" i="98"/>
  <c r="D45" i="98"/>
  <c r="D46" i="98"/>
  <c r="D47" i="98"/>
  <c r="D48" i="98"/>
  <c r="D49" i="98"/>
  <c r="D50" i="98"/>
  <c r="D51" i="98"/>
  <c r="D52" i="98"/>
  <c r="D53" i="98"/>
  <c r="D54" i="98"/>
  <c r="D55" i="98"/>
  <c r="D56" i="98"/>
  <c r="D57" i="98"/>
  <c r="D58" i="98"/>
  <c r="D59" i="98"/>
  <c r="D60" i="98"/>
  <c r="D61" i="98"/>
  <c r="D62" i="98"/>
  <c r="D63" i="98"/>
  <c r="D64" i="98"/>
  <c r="D65" i="98"/>
  <c r="D66" i="98"/>
  <c r="D67" i="98"/>
  <c r="D68" i="98"/>
  <c r="D69" i="98"/>
  <c r="D70" i="98"/>
  <c r="D71" i="98"/>
  <c r="D72" i="98"/>
  <c r="D73" i="98"/>
  <c r="D74" i="98"/>
  <c r="D75" i="98"/>
  <c r="D76" i="98"/>
  <c r="D77" i="98"/>
  <c r="D78" i="98"/>
  <c r="D79" i="98"/>
  <c r="D80" i="98"/>
  <c r="D81" i="98"/>
  <c r="D82" i="98"/>
  <c r="C35" i="98"/>
  <c r="C36" i="98"/>
  <c r="C37" i="98"/>
  <c r="C38" i="98"/>
  <c r="C39" i="98"/>
  <c r="C40" i="98"/>
  <c r="C41" i="98"/>
  <c r="C42" i="98"/>
  <c r="C43" i="98"/>
  <c r="C44" i="98"/>
  <c r="C45" i="98"/>
  <c r="C46" i="98"/>
  <c r="C47" i="98"/>
  <c r="C48" i="98"/>
  <c r="C49" i="98"/>
  <c r="C50" i="98"/>
  <c r="C51" i="98"/>
  <c r="C52" i="98"/>
  <c r="C53" i="98"/>
  <c r="C54" i="98"/>
  <c r="C55" i="98"/>
  <c r="C56" i="98"/>
  <c r="C57" i="98"/>
  <c r="C58" i="98"/>
  <c r="C59" i="98"/>
  <c r="C60" i="98"/>
  <c r="C61" i="98"/>
  <c r="C62" i="98"/>
  <c r="C63" i="98"/>
  <c r="C64" i="98"/>
  <c r="C65" i="98"/>
  <c r="C66" i="98"/>
  <c r="C67" i="98"/>
  <c r="C68" i="98"/>
  <c r="C69" i="98"/>
  <c r="C70" i="98"/>
  <c r="C71" i="98"/>
  <c r="C72" i="98"/>
  <c r="C73" i="98"/>
  <c r="C74" i="98"/>
  <c r="C75" i="98"/>
  <c r="C76" i="98"/>
  <c r="C77" i="98"/>
  <c r="C78" i="98"/>
  <c r="C79" i="98"/>
  <c r="C80" i="98"/>
  <c r="C81" i="98"/>
  <c r="C82" i="98"/>
  <c r="C58" i="101"/>
  <c r="C59" i="101"/>
  <c r="C60" i="101"/>
  <c r="C61" i="101"/>
  <c r="C62" i="101"/>
  <c r="C63" i="101"/>
  <c r="C64" i="101"/>
  <c r="C65" i="101"/>
  <c r="C66" i="101"/>
  <c r="C67" i="101"/>
  <c r="C68" i="101"/>
  <c r="C69" i="101"/>
  <c r="C70" i="101"/>
  <c r="C71" i="101"/>
  <c r="C72" i="101"/>
  <c r="C73" i="101"/>
  <c r="C74" i="101"/>
  <c r="C75" i="101"/>
  <c r="C76" i="101"/>
  <c r="C77" i="101"/>
  <c r="C78" i="101"/>
  <c r="C79" i="101"/>
  <c r="C80" i="101"/>
  <c r="C81" i="101"/>
  <c r="C82" i="101"/>
  <c r="D56" i="101"/>
  <c r="D57" i="101"/>
  <c r="D58" i="101"/>
  <c r="D59" i="101"/>
  <c r="D60" i="101"/>
  <c r="D61" i="101"/>
  <c r="D62" i="101"/>
  <c r="D63" i="101"/>
  <c r="D64" i="101"/>
  <c r="D65" i="101"/>
  <c r="D66" i="101"/>
  <c r="D67" i="101"/>
  <c r="D68" i="101"/>
  <c r="D69" i="101"/>
  <c r="D70" i="101"/>
  <c r="D71" i="101"/>
  <c r="D72" i="101"/>
  <c r="D73" i="101"/>
  <c r="D74" i="101"/>
  <c r="D75" i="101"/>
  <c r="D76" i="101"/>
  <c r="D77" i="101"/>
  <c r="D78" i="101"/>
  <c r="D79" i="101"/>
  <c r="D80" i="101"/>
  <c r="D81" i="101"/>
  <c r="D82" i="101"/>
  <c r="D35" i="101"/>
  <c r="D36" i="101"/>
  <c r="D37" i="101"/>
  <c r="D38" i="101"/>
  <c r="D39" i="101"/>
  <c r="D40" i="101"/>
  <c r="D41" i="101"/>
  <c r="D42" i="101"/>
  <c r="D43" i="101"/>
  <c r="D44" i="101"/>
  <c r="D45" i="101"/>
  <c r="D46" i="101"/>
  <c r="D47" i="101"/>
  <c r="D48" i="101"/>
  <c r="D49" i="101"/>
  <c r="D50" i="101"/>
  <c r="D51" i="101"/>
  <c r="D52" i="101"/>
  <c r="D53" i="101"/>
  <c r="D54" i="101"/>
  <c r="D55" i="101"/>
  <c r="D34" i="101"/>
  <c r="C35" i="101"/>
  <c r="C36" i="101"/>
  <c r="C37" i="101"/>
  <c r="C38" i="101"/>
  <c r="C39" i="101"/>
  <c r="C40" i="101"/>
  <c r="C41" i="101"/>
  <c r="C42" i="101"/>
  <c r="C43" i="101"/>
  <c r="C44" i="101"/>
  <c r="C45" i="101"/>
  <c r="C46" i="101"/>
  <c r="C47" i="101"/>
  <c r="C48" i="101"/>
  <c r="C49" i="101"/>
  <c r="C50" i="101"/>
  <c r="C51" i="101"/>
  <c r="C52" i="101"/>
  <c r="C53" i="101"/>
  <c r="C54" i="101"/>
  <c r="C55" i="101"/>
  <c r="C56" i="101"/>
  <c r="C57" i="101"/>
  <c r="C34" i="101"/>
  <c r="H8" i="106"/>
  <c r="H9" i="106"/>
  <c r="H10" i="106"/>
  <c r="H11" i="106"/>
  <c r="H12" i="106"/>
  <c r="H14" i="106"/>
  <c r="H13" i="106"/>
  <c r="H15" i="106"/>
  <c r="H16" i="106"/>
  <c r="H17" i="106"/>
  <c r="H18" i="106"/>
  <c r="H19" i="106"/>
  <c r="H20" i="106"/>
  <c r="H21" i="106"/>
  <c r="H22" i="106"/>
  <c r="H23" i="106"/>
  <c r="H24" i="106"/>
  <c r="H25" i="106"/>
  <c r="H26" i="106"/>
  <c r="H27" i="106"/>
  <c r="H28" i="106"/>
  <c r="H29" i="106"/>
  <c r="H30" i="106"/>
  <c r="H31" i="106"/>
  <c r="H32" i="106"/>
  <c r="H33" i="106"/>
  <c r="H34" i="106"/>
  <c r="H35" i="106"/>
  <c r="H36" i="106"/>
  <c r="H37" i="106"/>
  <c r="H38" i="106"/>
  <c r="H39" i="106"/>
  <c r="H43" i="106"/>
  <c r="H44" i="106"/>
  <c r="H45" i="106"/>
  <c r="H40" i="106"/>
  <c r="H41" i="106"/>
  <c r="H42" i="106"/>
  <c r="H46" i="106"/>
  <c r="H47" i="106"/>
  <c r="H48" i="106"/>
  <c r="H49" i="106"/>
  <c r="H50" i="106"/>
  <c r="H51" i="106"/>
  <c r="H52" i="106"/>
  <c r="H53" i="106"/>
  <c r="H54" i="106"/>
  <c r="H7" i="106"/>
  <c r="H6" i="106"/>
  <c r="B17" i="89" l="1"/>
  <c r="C17" i="89"/>
  <c r="C33" i="87"/>
  <c r="D33" i="87"/>
  <c r="E33" i="87"/>
  <c r="D42" i="98"/>
  <c r="D13" i="106"/>
  <c r="E13" i="106" s="1"/>
  <c r="B53" i="89"/>
  <c r="C53" i="89"/>
  <c r="B54" i="89"/>
  <c r="C54" i="89"/>
  <c r="B55" i="89"/>
  <c r="C55" i="89"/>
  <c r="D32" i="106"/>
  <c r="E32" i="106" s="1"/>
  <c r="D33" i="106"/>
  <c r="E33" i="106" s="1"/>
  <c r="D34" i="106"/>
  <c r="E34" i="106" s="1"/>
  <c r="D30" i="106"/>
  <c r="E30" i="106" s="1"/>
  <c r="D31" i="106"/>
  <c r="E31" i="106" s="1"/>
  <c r="D40" i="106"/>
  <c r="E40" i="106" s="1"/>
  <c r="D41" i="106"/>
  <c r="E41" i="106" s="1"/>
  <c r="D42" i="106"/>
  <c r="E42" i="106" s="1"/>
  <c r="D35" i="106"/>
  <c r="E35" i="106" s="1"/>
  <c r="D36" i="106"/>
  <c r="E36" i="106" s="1"/>
  <c r="W5" i="117" l="1" a="1"/>
  <c r="W5" i="117" s="1"/>
  <c r="W4" i="115" a="1"/>
  <c r="W4" i="115" s="1"/>
  <c r="W5" i="115" a="1"/>
  <c r="W5" i="115" s="1"/>
  <c r="Z4" i="115" a="1"/>
  <c r="Z4" i="115" s="1"/>
  <c r="Z5" i="115" a="1"/>
  <c r="Z5" i="115" s="1"/>
  <c r="Z6" i="115" s="1"/>
  <c r="N10" i="115" l="1"/>
  <c r="N12" i="117" s="1"/>
  <c r="W6" i="115"/>
  <c r="N9" i="115" s="1"/>
  <c r="W6" i="117" a="1"/>
  <c r="W6" i="117" s="1"/>
  <c r="W7" i="117" s="1"/>
  <c r="S47" i="115"/>
  <c r="R47" i="115"/>
  <c r="Q47" i="115"/>
  <c r="P47" i="115"/>
  <c r="O47" i="115"/>
  <c r="N47" i="115"/>
  <c r="M47" i="115"/>
  <c r="L47" i="115"/>
  <c r="K47" i="115"/>
  <c r="J47" i="115"/>
  <c r="I47" i="115"/>
  <c r="H47" i="115"/>
  <c r="G47" i="115"/>
  <c r="F47" i="115"/>
  <c r="E47" i="115"/>
  <c r="D47" i="115"/>
  <c r="C47" i="115"/>
  <c r="S46" i="115"/>
  <c r="R46" i="115"/>
  <c r="Q46" i="115"/>
  <c r="P46" i="115"/>
  <c r="O46" i="115"/>
  <c r="N46" i="115"/>
  <c r="M46" i="115"/>
  <c r="L46" i="115"/>
  <c r="K46" i="115"/>
  <c r="J46" i="115"/>
  <c r="I46" i="115"/>
  <c r="H46" i="115"/>
  <c r="G46" i="115"/>
  <c r="F46" i="115"/>
  <c r="E46" i="115"/>
  <c r="D46" i="115"/>
  <c r="C46" i="115"/>
  <c r="S45" i="115"/>
  <c r="R45" i="115"/>
  <c r="Q45" i="115"/>
  <c r="P45" i="115"/>
  <c r="O45" i="115"/>
  <c r="N45" i="115"/>
  <c r="M45" i="115"/>
  <c r="L45" i="115"/>
  <c r="K45" i="115"/>
  <c r="J45" i="115"/>
  <c r="I45" i="115"/>
  <c r="H45" i="115"/>
  <c r="G45" i="115"/>
  <c r="F45" i="115"/>
  <c r="E45" i="115"/>
  <c r="D45" i="115"/>
  <c r="C45" i="115"/>
  <c r="S44" i="115"/>
  <c r="R44" i="115"/>
  <c r="Q44" i="115"/>
  <c r="P44" i="115"/>
  <c r="O44" i="115"/>
  <c r="N44" i="115"/>
  <c r="M44" i="115"/>
  <c r="L44" i="115"/>
  <c r="K44" i="115"/>
  <c r="J44" i="115"/>
  <c r="I44" i="115"/>
  <c r="H44" i="115"/>
  <c r="G44" i="115"/>
  <c r="F44" i="115"/>
  <c r="E44" i="115"/>
  <c r="D44" i="115"/>
  <c r="C44" i="115"/>
  <c r="F17" i="115"/>
  <c r="E17" i="115"/>
  <c r="D17" i="115"/>
  <c r="C17" i="115"/>
  <c r="F16" i="115"/>
  <c r="E16" i="115"/>
  <c r="D16" i="115"/>
  <c r="C16" i="115"/>
  <c r="B27" i="115"/>
  <c r="H16" i="115"/>
  <c r="H17" i="117"/>
  <c r="N11" i="117" l="1"/>
  <c r="C27" i="87"/>
  <c r="D27" i="87"/>
  <c r="E27" i="87"/>
  <c r="C28" i="87"/>
  <c r="D28" i="87"/>
  <c r="E28" i="87"/>
  <c r="C29" i="87"/>
  <c r="D29" i="87"/>
  <c r="E29" i="87"/>
  <c r="C30" i="87"/>
  <c r="D30" i="87"/>
  <c r="E30" i="87"/>
  <c r="C31" i="87"/>
  <c r="D31" i="87"/>
  <c r="E31" i="87"/>
  <c r="C32" i="87"/>
  <c r="D32" i="87"/>
  <c r="E32" i="87"/>
  <c r="C34" i="87"/>
  <c r="D34" i="87"/>
  <c r="E34" i="87"/>
  <c r="C35" i="87"/>
  <c r="D35" i="87"/>
  <c r="E35" i="87"/>
  <c r="C36" i="87"/>
  <c r="D36" i="87"/>
  <c r="E36" i="87"/>
  <c r="C37" i="87"/>
  <c r="D37" i="87"/>
  <c r="E37" i="87"/>
  <c r="C38" i="87"/>
  <c r="D38" i="87"/>
  <c r="E38" i="87"/>
  <c r="C39" i="87"/>
  <c r="D39" i="87"/>
  <c r="E39" i="87"/>
  <c r="C40" i="87"/>
  <c r="D40" i="87"/>
  <c r="E40" i="87"/>
  <c r="C41" i="87"/>
  <c r="D41" i="87"/>
  <c r="E41" i="87"/>
  <c r="C42" i="87"/>
  <c r="D42" i="87"/>
  <c r="E42" i="87"/>
  <c r="C43" i="87"/>
  <c r="D43" i="87"/>
  <c r="E43" i="87"/>
  <c r="C44" i="87"/>
  <c r="D44" i="87"/>
  <c r="E44" i="87"/>
  <c r="C45" i="87"/>
  <c r="D45" i="87"/>
  <c r="E45" i="87"/>
  <c r="C46" i="87"/>
  <c r="D46" i="87"/>
  <c r="E46" i="87"/>
  <c r="C47" i="87"/>
  <c r="D47" i="87"/>
  <c r="E47" i="87"/>
  <c r="C48" i="87"/>
  <c r="D48" i="87"/>
  <c r="E48" i="87"/>
  <c r="C49" i="87"/>
  <c r="D49" i="87"/>
  <c r="E49" i="87"/>
  <c r="C50" i="87"/>
  <c r="D50" i="87"/>
  <c r="C51" i="87"/>
  <c r="D51" i="87"/>
  <c r="C52" i="87"/>
  <c r="D52" i="87"/>
  <c r="C53" i="87"/>
  <c r="D53" i="87"/>
  <c r="C54" i="87"/>
  <c r="D54" i="87"/>
  <c r="C55" i="87"/>
  <c r="D55" i="87"/>
  <c r="C56" i="87"/>
  <c r="D56" i="87"/>
  <c r="C57" i="87"/>
  <c r="D57" i="87"/>
  <c r="C58" i="87"/>
  <c r="D58" i="87"/>
  <c r="C59" i="87"/>
  <c r="D59" i="87"/>
  <c r="N11" i="115" l="1"/>
  <c r="N13" i="117"/>
  <c r="M11" i="117" a="1"/>
  <c r="M11" i="117" s="1"/>
  <c r="M12" i="117" a="1"/>
  <c r="M12" i="117" s="1"/>
  <c r="B39" i="89"/>
  <c r="C39" i="89"/>
  <c r="B40" i="89"/>
  <c r="C40" i="89"/>
  <c r="B41" i="89"/>
  <c r="C41" i="89"/>
  <c r="B42" i="89"/>
  <c r="C42" i="89"/>
  <c r="B43" i="89"/>
  <c r="C43" i="89"/>
  <c r="B34" i="89"/>
  <c r="C34" i="89"/>
  <c r="B35" i="89"/>
  <c r="C35" i="89"/>
  <c r="D37" i="106"/>
  <c r="E37" i="106" s="1"/>
  <c r="D38" i="106"/>
  <c r="E38" i="106" s="1"/>
  <c r="D39" i="106"/>
  <c r="E39" i="106" s="1"/>
  <c r="D43" i="106"/>
  <c r="E43" i="106" s="1"/>
  <c r="D44" i="106"/>
  <c r="E44" i="106" s="1"/>
  <c r="D45" i="106"/>
  <c r="E45" i="106" s="1"/>
  <c r="D47" i="106"/>
  <c r="E47" i="106" s="1"/>
  <c r="D48" i="106"/>
  <c r="E48" i="106" s="1"/>
  <c r="D49" i="106"/>
  <c r="E49" i="106" s="1"/>
  <c r="D50" i="106"/>
  <c r="E50" i="106" s="1"/>
  <c r="D51" i="106"/>
  <c r="E51" i="106" s="1"/>
  <c r="D52" i="106"/>
  <c r="E52" i="106" s="1"/>
  <c r="D53" i="106"/>
  <c r="E53" i="106" s="1"/>
  <c r="D54" i="106"/>
  <c r="E54" i="106" s="1"/>
  <c r="M10" i="115" a="1"/>
  <c r="M10" i="115" s="1"/>
  <c r="M9" i="115" a="1"/>
  <c r="M9" i="115" s="1"/>
  <c r="M11" i="115" l="1"/>
  <c r="M13" i="117"/>
  <c r="C2" i="92"/>
  <c r="C2" i="91"/>
  <c r="C2" i="93"/>
  <c r="M18" i="88"/>
  <c r="L18" i="88"/>
  <c r="J18" i="88"/>
  <c r="I18" i="88"/>
  <c r="G18" i="88"/>
  <c r="F18" i="88"/>
  <c r="D18" i="88"/>
  <c r="C18" i="88"/>
  <c r="M17" i="88"/>
  <c r="L17" i="88"/>
  <c r="J17" i="88"/>
  <c r="I17" i="88"/>
  <c r="G17" i="88"/>
  <c r="F17" i="88"/>
  <c r="D17" i="88"/>
  <c r="C17" i="88"/>
  <c r="M16" i="88"/>
  <c r="L16" i="88"/>
  <c r="J16" i="88"/>
  <c r="I16" i="88"/>
  <c r="G16" i="88"/>
  <c r="F16" i="88"/>
  <c r="D16" i="88"/>
  <c r="C16" i="88"/>
  <c r="M15" i="88"/>
  <c r="L15" i="88"/>
  <c r="J15" i="88"/>
  <c r="I15" i="88"/>
  <c r="G15" i="88"/>
  <c r="F15" i="88"/>
  <c r="D15" i="88"/>
  <c r="C15" i="88"/>
  <c r="M14" i="88"/>
  <c r="L14" i="88"/>
  <c r="J14" i="88"/>
  <c r="I14" i="88"/>
  <c r="G14" i="88"/>
  <c r="F14" i="88"/>
  <c r="D14" i="88"/>
  <c r="C14" i="88"/>
  <c r="M13" i="88"/>
  <c r="L13" i="88"/>
  <c r="J13" i="88"/>
  <c r="I13" i="88"/>
  <c r="G13" i="88"/>
  <c r="F13" i="88"/>
  <c r="D13" i="88"/>
  <c r="C13" i="88"/>
  <c r="M12" i="88"/>
  <c r="L12" i="88"/>
  <c r="J12" i="88"/>
  <c r="I12" i="88"/>
  <c r="G12" i="88"/>
  <c r="F12" i="88"/>
  <c r="D12" i="88"/>
  <c r="C12" i="88"/>
  <c r="M11" i="88"/>
  <c r="L11" i="88"/>
  <c r="J11" i="88"/>
  <c r="I11" i="88"/>
  <c r="G11" i="88"/>
  <c r="F11" i="88"/>
  <c r="D11" i="88"/>
  <c r="C11" i="88"/>
  <c r="M10" i="88"/>
  <c r="L10" i="88"/>
  <c r="J10" i="88"/>
  <c r="I10" i="88"/>
  <c r="G10" i="88"/>
  <c r="F10" i="88"/>
  <c r="D10" i="88"/>
  <c r="C10" i="88"/>
  <c r="M9" i="88"/>
  <c r="L9" i="88"/>
  <c r="J9" i="88"/>
  <c r="I9" i="88"/>
  <c r="G9" i="88"/>
  <c r="F9" i="88"/>
  <c r="D9" i="88"/>
  <c r="C9" i="88"/>
  <c r="M8" i="88"/>
  <c r="L8" i="88"/>
  <c r="J8" i="88"/>
  <c r="I8" i="88"/>
  <c r="G8" i="88"/>
  <c r="F8" i="88"/>
  <c r="D8" i="88"/>
  <c r="C8" i="88"/>
  <c r="M7" i="88"/>
  <c r="L7" i="88"/>
  <c r="J7" i="88"/>
  <c r="I7" i="88"/>
  <c r="G7" i="88"/>
  <c r="F7" i="88"/>
  <c r="D7" i="88"/>
  <c r="C7" i="88"/>
  <c r="M6" i="88"/>
  <c r="L6" i="88"/>
  <c r="J6" i="88"/>
  <c r="I6" i="88"/>
  <c r="G6" i="88"/>
  <c r="F6" i="88"/>
  <c r="D6" i="88"/>
  <c r="C6" i="88"/>
  <c r="C58" i="89"/>
  <c r="B58" i="89"/>
  <c r="C57" i="89"/>
  <c r="B57" i="89"/>
  <c r="C56" i="89"/>
  <c r="B56" i="89"/>
  <c r="C52" i="89"/>
  <c r="B52" i="89"/>
  <c r="C46" i="89"/>
  <c r="B46" i="89"/>
  <c r="C45" i="89"/>
  <c r="B45" i="89"/>
  <c r="C44" i="89"/>
  <c r="B44" i="89"/>
  <c r="C51" i="89"/>
  <c r="B51" i="89"/>
  <c r="C50" i="89"/>
  <c r="B50" i="89"/>
  <c r="C49" i="89"/>
  <c r="B49" i="89"/>
  <c r="C48" i="89"/>
  <c r="B48" i="89"/>
  <c r="C38" i="89"/>
  <c r="B38" i="89"/>
  <c r="C37" i="89"/>
  <c r="B37" i="89"/>
  <c r="C36" i="89"/>
  <c r="B36" i="89"/>
  <c r="C47" i="89"/>
  <c r="B47" i="89"/>
  <c r="C33" i="89"/>
  <c r="B33" i="89"/>
  <c r="C32" i="89"/>
  <c r="B32" i="89"/>
  <c r="C31" i="89"/>
  <c r="B31" i="89"/>
  <c r="C30" i="89"/>
  <c r="B30" i="89"/>
  <c r="C29" i="89"/>
  <c r="B29" i="89"/>
  <c r="C28" i="89"/>
  <c r="B28" i="89"/>
  <c r="C27" i="89"/>
  <c r="B27" i="89"/>
  <c r="C24" i="89"/>
  <c r="B24" i="89"/>
  <c r="C26" i="89"/>
  <c r="B26" i="89"/>
  <c r="C23" i="89"/>
  <c r="B23" i="89"/>
  <c r="C25" i="89"/>
  <c r="B25" i="89"/>
  <c r="C22" i="89"/>
  <c r="B22" i="89"/>
  <c r="C21" i="89"/>
  <c r="B21" i="89"/>
  <c r="C20" i="89"/>
  <c r="B20" i="89"/>
  <c r="C19" i="89"/>
  <c r="B19" i="89"/>
  <c r="C18" i="89"/>
  <c r="B18" i="89"/>
  <c r="C16" i="89"/>
  <c r="B16" i="89"/>
  <c r="C15" i="89"/>
  <c r="B15" i="89"/>
  <c r="C14" i="89"/>
  <c r="B14" i="89"/>
  <c r="C13" i="89"/>
  <c r="B13" i="89"/>
  <c r="F12" i="89"/>
  <c r="C11" i="89"/>
  <c r="B11" i="89"/>
  <c r="F11" i="89"/>
  <c r="B12" i="89"/>
  <c r="F10" i="89"/>
  <c r="C10" i="89"/>
  <c r="B10" i="89"/>
  <c r="N130" i="87"/>
  <c r="M130" i="87"/>
  <c r="L130" i="87"/>
  <c r="K130" i="87"/>
  <c r="J130" i="87"/>
  <c r="I130" i="87"/>
  <c r="H130" i="87"/>
  <c r="G130" i="87"/>
  <c r="F130" i="87"/>
  <c r="E130" i="87"/>
  <c r="D130" i="87"/>
  <c r="C130" i="87"/>
  <c r="O129" i="87"/>
  <c r="N129" i="87"/>
  <c r="M129" i="87"/>
  <c r="L129" i="87"/>
  <c r="K129" i="87"/>
  <c r="J129" i="87"/>
  <c r="I129" i="87"/>
  <c r="H129" i="87"/>
  <c r="G129" i="87"/>
  <c r="F129" i="87"/>
  <c r="E129" i="87"/>
  <c r="D129" i="87"/>
  <c r="C129" i="87"/>
  <c r="O80" i="87"/>
  <c r="N80" i="87"/>
  <c r="M80" i="87"/>
  <c r="L80" i="87"/>
  <c r="K80" i="87"/>
  <c r="J80" i="87"/>
  <c r="I80" i="87"/>
  <c r="H80" i="87"/>
  <c r="G80" i="87"/>
  <c r="F80" i="87"/>
  <c r="E80" i="87"/>
  <c r="D80" i="87"/>
  <c r="C80" i="87"/>
  <c r="O75" i="87"/>
  <c r="N75" i="87"/>
  <c r="M75" i="87"/>
  <c r="L75" i="87"/>
  <c r="K75" i="87"/>
  <c r="J75" i="87"/>
  <c r="I75" i="87"/>
  <c r="H75" i="87"/>
  <c r="G75" i="87"/>
  <c r="F75" i="87"/>
  <c r="E75" i="87"/>
  <c r="D75" i="87"/>
  <c r="C75" i="87"/>
  <c r="O26" i="87"/>
  <c r="N26" i="87"/>
  <c r="M26" i="87"/>
  <c r="L26" i="87"/>
  <c r="K26" i="87"/>
  <c r="J26" i="87"/>
  <c r="I26" i="87"/>
  <c r="H26" i="87"/>
  <c r="G26" i="87"/>
  <c r="F26" i="87"/>
  <c r="E26" i="87"/>
  <c r="D26" i="87"/>
  <c r="C26" i="87"/>
  <c r="C22" i="87"/>
  <c r="G18" i="84"/>
  <c r="D18" i="84"/>
  <c r="C18" i="84"/>
  <c r="G17" i="84"/>
  <c r="D17" i="84"/>
  <c r="C17" i="84"/>
  <c r="G16" i="84"/>
  <c r="D16" i="84"/>
  <c r="C16" i="84"/>
  <c r="G15" i="84"/>
  <c r="D15" i="84"/>
  <c r="C15" i="84"/>
  <c r="G14" i="84"/>
  <c r="D14" i="84"/>
  <c r="C14" i="84"/>
  <c r="G13" i="84"/>
  <c r="D13" i="84"/>
  <c r="C13" i="84"/>
  <c r="G12" i="84"/>
  <c r="D12" i="84"/>
  <c r="C12" i="84"/>
  <c r="G11" i="84"/>
  <c r="D11" i="84"/>
  <c r="C11" i="84"/>
  <c r="G10" i="84"/>
  <c r="D10" i="84"/>
  <c r="C10" i="84"/>
  <c r="G9" i="84"/>
  <c r="D9" i="84"/>
  <c r="C9" i="84"/>
  <c r="G8" i="84"/>
  <c r="D8" i="84"/>
  <c r="C8" i="84"/>
  <c r="G7" i="84"/>
  <c r="D7" i="84"/>
  <c r="C7" i="84"/>
  <c r="G6" i="84"/>
  <c r="D6" i="84"/>
  <c r="C6" i="84"/>
  <c r="J35" i="95"/>
  <c r="I35" i="95"/>
  <c r="D35" i="95"/>
  <c r="C35" i="95"/>
  <c r="J34" i="95"/>
  <c r="I34" i="95"/>
  <c r="F34" i="95" a="1"/>
  <c r="F34" i="95" s="1"/>
  <c r="D34" i="95"/>
  <c r="C34" i="95"/>
  <c r="J33" i="95"/>
  <c r="I33" i="95"/>
  <c r="F33" i="95" a="1"/>
  <c r="F33" i="95" s="1"/>
  <c r="D33" i="95"/>
  <c r="C33" i="95"/>
  <c r="J32" i="95"/>
  <c r="I32" i="95"/>
  <c r="F32" i="95" a="1"/>
  <c r="F32" i="95" s="1"/>
  <c r="D32" i="95"/>
  <c r="C32" i="95"/>
  <c r="J31" i="95"/>
  <c r="I31" i="95"/>
  <c r="F31" i="95" a="1"/>
  <c r="F31" i="95" s="1"/>
  <c r="D31" i="95"/>
  <c r="C31" i="95"/>
  <c r="J30" i="95"/>
  <c r="K30" i="95" s="1"/>
  <c r="I30" i="95"/>
  <c r="F30" i="95" a="1"/>
  <c r="F30" i="95" s="1"/>
  <c r="D30" i="95"/>
  <c r="C30" i="95"/>
  <c r="J29" i="95"/>
  <c r="I29" i="95"/>
  <c r="F29" i="95" a="1"/>
  <c r="F29" i="95" s="1"/>
  <c r="D29" i="95"/>
  <c r="C29" i="95"/>
  <c r="J28" i="95"/>
  <c r="I28" i="95"/>
  <c r="F28" i="95" a="1"/>
  <c r="F28" i="95" s="1"/>
  <c r="D28" i="95"/>
  <c r="C28" i="95"/>
  <c r="J27" i="95"/>
  <c r="I27" i="95"/>
  <c r="F27" i="95" a="1"/>
  <c r="F27" i="95" s="1"/>
  <c r="D27" i="95"/>
  <c r="C27" i="95"/>
  <c r="J26" i="95"/>
  <c r="I26" i="95"/>
  <c r="F26" i="95" a="1"/>
  <c r="F26" i="95" s="1"/>
  <c r="D26" i="95"/>
  <c r="C26" i="95"/>
  <c r="J25" i="95"/>
  <c r="I25" i="95"/>
  <c r="F25" i="95" a="1"/>
  <c r="F25" i="95" s="1"/>
  <c r="D25" i="95"/>
  <c r="C25" i="95"/>
  <c r="J24" i="95"/>
  <c r="K24" i="95" s="1"/>
  <c r="I24" i="95"/>
  <c r="F24" i="95" a="1"/>
  <c r="F24" i="95" s="1"/>
  <c r="D24" i="95"/>
  <c r="C24" i="95"/>
  <c r="J23" i="95"/>
  <c r="I23" i="95"/>
  <c r="F23" i="95" a="1"/>
  <c r="F23" i="95" s="1"/>
  <c r="D23" i="95"/>
  <c r="C23" i="95"/>
  <c r="J18" i="95"/>
  <c r="K18" i="95" s="1"/>
  <c r="I18" i="95"/>
  <c r="D18" i="95"/>
  <c r="C18" i="95"/>
  <c r="L17" i="95" a="1"/>
  <c r="L17" i="95" s="1"/>
  <c r="J17" i="95"/>
  <c r="I17" i="95"/>
  <c r="F17" i="95" a="1"/>
  <c r="F17" i="95" s="1"/>
  <c r="D17" i="95"/>
  <c r="C17" i="95"/>
  <c r="L16" i="95" a="1"/>
  <c r="L16" i="95" s="1"/>
  <c r="J16" i="95"/>
  <c r="I16" i="95"/>
  <c r="F16" i="95" a="1"/>
  <c r="F16" i="95" s="1"/>
  <c r="D16" i="95"/>
  <c r="C16" i="95"/>
  <c r="L15" i="95" a="1"/>
  <c r="L15" i="95" s="1"/>
  <c r="J15" i="95"/>
  <c r="I15" i="95"/>
  <c r="F15" i="95" a="1"/>
  <c r="F15" i="95" s="1"/>
  <c r="D15" i="95"/>
  <c r="C15" i="95"/>
  <c r="E15" i="95" s="1"/>
  <c r="L14" i="95" a="1"/>
  <c r="L14" i="95" s="1"/>
  <c r="J14" i="95"/>
  <c r="I14" i="95"/>
  <c r="F14" i="95" a="1"/>
  <c r="F14" i="95" s="1"/>
  <c r="D14" i="95"/>
  <c r="C14" i="95"/>
  <c r="L13" i="95" a="1"/>
  <c r="L13" i="95" s="1"/>
  <c r="J13" i="95"/>
  <c r="I13" i="95"/>
  <c r="F13" i="95" a="1"/>
  <c r="F13" i="95" s="1"/>
  <c r="D13" i="95"/>
  <c r="C13" i="95"/>
  <c r="L12" i="95" a="1"/>
  <c r="L12" i="95" s="1"/>
  <c r="J12" i="95"/>
  <c r="I12" i="95"/>
  <c r="F12" i="95" a="1"/>
  <c r="F12" i="95" s="1"/>
  <c r="D12" i="95"/>
  <c r="C12" i="95"/>
  <c r="L11" i="95" a="1"/>
  <c r="L11" i="95" s="1"/>
  <c r="J11" i="95"/>
  <c r="I11" i="95"/>
  <c r="F11" i="95" a="1"/>
  <c r="F11" i="95" s="1"/>
  <c r="D11" i="95"/>
  <c r="C11" i="95"/>
  <c r="E11" i="95" s="1"/>
  <c r="L10" i="95" a="1"/>
  <c r="L10" i="95" s="1"/>
  <c r="J10" i="95"/>
  <c r="I10" i="95"/>
  <c r="F10" i="95" a="1"/>
  <c r="F10" i="95" s="1"/>
  <c r="D10" i="95"/>
  <c r="C10" i="95"/>
  <c r="L9" i="95" a="1"/>
  <c r="L9" i="95" s="1"/>
  <c r="J9" i="95"/>
  <c r="I9" i="95"/>
  <c r="F9" i="95" a="1"/>
  <c r="F9" i="95" s="1"/>
  <c r="D9" i="95"/>
  <c r="C9" i="95"/>
  <c r="L8" i="95" a="1"/>
  <c r="L8" i="95" s="1"/>
  <c r="J8" i="95"/>
  <c r="I8" i="95"/>
  <c r="F8" i="95" a="1"/>
  <c r="F8" i="95" s="1"/>
  <c r="D8" i="95"/>
  <c r="C8" i="95"/>
  <c r="L7" i="95" a="1"/>
  <c r="L7" i="95" s="1"/>
  <c r="J7" i="95"/>
  <c r="I7" i="95"/>
  <c r="F7" i="95" a="1"/>
  <c r="F7" i="95" s="1"/>
  <c r="D7" i="95"/>
  <c r="C7" i="95"/>
  <c r="L6" i="95" a="1"/>
  <c r="L6" i="95" s="1"/>
  <c r="J6" i="95"/>
  <c r="I6" i="95"/>
  <c r="F6" i="95" a="1"/>
  <c r="F6" i="95" s="1"/>
  <c r="D6" i="95"/>
  <c r="C6" i="95"/>
  <c r="L17" i="80"/>
  <c r="K17" i="80"/>
  <c r="I17" i="80"/>
  <c r="H17" i="80"/>
  <c r="F17" i="80"/>
  <c r="E17" i="80"/>
  <c r="D17" i="80"/>
  <c r="C17" i="80"/>
  <c r="L16" i="80"/>
  <c r="K16" i="80"/>
  <c r="I16" i="80"/>
  <c r="H16" i="80"/>
  <c r="F16" i="80"/>
  <c r="E16" i="80"/>
  <c r="D16" i="80"/>
  <c r="C16" i="80"/>
  <c r="L15" i="80"/>
  <c r="K15" i="80"/>
  <c r="I15" i="80"/>
  <c r="H15" i="80"/>
  <c r="F15" i="80"/>
  <c r="E15" i="80"/>
  <c r="D15" i="80"/>
  <c r="C15" i="80"/>
  <c r="L14" i="80"/>
  <c r="K14" i="80"/>
  <c r="I14" i="80"/>
  <c r="H14" i="80"/>
  <c r="F14" i="80"/>
  <c r="E14" i="80"/>
  <c r="D14" i="80"/>
  <c r="C14" i="80"/>
  <c r="L13" i="80"/>
  <c r="K13" i="80"/>
  <c r="I13" i="80"/>
  <c r="H13" i="80"/>
  <c r="F13" i="80"/>
  <c r="E13" i="80"/>
  <c r="D13" i="80"/>
  <c r="C13" i="80"/>
  <c r="L12" i="80"/>
  <c r="K12" i="80"/>
  <c r="I12" i="80"/>
  <c r="H12" i="80"/>
  <c r="F12" i="80"/>
  <c r="E12" i="80"/>
  <c r="D12" i="80"/>
  <c r="C12" i="80"/>
  <c r="L11" i="80"/>
  <c r="K11" i="80"/>
  <c r="I11" i="80"/>
  <c r="H11" i="80"/>
  <c r="F11" i="80"/>
  <c r="E11" i="80"/>
  <c r="D11" i="80"/>
  <c r="C11" i="80"/>
  <c r="L10" i="80"/>
  <c r="K10" i="80"/>
  <c r="I10" i="80"/>
  <c r="H10" i="80"/>
  <c r="F10" i="80"/>
  <c r="E10" i="80"/>
  <c r="D10" i="80"/>
  <c r="C10" i="80"/>
  <c r="L9" i="80"/>
  <c r="K9" i="80"/>
  <c r="I9" i="80"/>
  <c r="H9" i="80"/>
  <c r="F9" i="80"/>
  <c r="E9" i="80"/>
  <c r="D9" i="80"/>
  <c r="C9" i="80"/>
  <c r="L8" i="80"/>
  <c r="K8" i="80"/>
  <c r="I8" i="80"/>
  <c r="H8" i="80"/>
  <c r="F8" i="80"/>
  <c r="E8" i="80"/>
  <c r="D8" i="80"/>
  <c r="C8" i="80"/>
  <c r="L7" i="80"/>
  <c r="K7" i="80"/>
  <c r="I7" i="80"/>
  <c r="H7" i="80"/>
  <c r="F7" i="80"/>
  <c r="E7" i="80"/>
  <c r="D7" i="80"/>
  <c r="C7" i="80"/>
  <c r="L6" i="80"/>
  <c r="K6" i="80"/>
  <c r="I6" i="80"/>
  <c r="H6" i="80"/>
  <c r="F6" i="80"/>
  <c r="E6" i="80"/>
  <c r="D6" i="80"/>
  <c r="C6" i="80"/>
  <c r="L5" i="80"/>
  <c r="K5" i="80"/>
  <c r="I5" i="80"/>
  <c r="H5" i="80"/>
  <c r="F5" i="80"/>
  <c r="E5" i="80"/>
  <c r="D5" i="80"/>
  <c r="C5" i="80"/>
  <c r="T99" i="110"/>
  <c r="AG104" i="110" s="1" a="1"/>
  <c r="B99" i="110"/>
  <c r="E102" i="110" s="1" a="1"/>
  <c r="T92" i="110"/>
  <c r="AF97" i="110" s="1" a="1"/>
  <c r="B92" i="110"/>
  <c r="P97" i="110" s="1" a="1"/>
  <c r="T85" i="110"/>
  <c r="AF89" i="110" s="1" a="1"/>
  <c r="B85" i="110"/>
  <c r="D90" i="110" s="1" a="1"/>
  <c r="T78" i="110"/>
  <c r="AG81" i="110" s="1" a="1"/>
  <c r="B78" i="110"/>
  <c r="O83" i="110" s="1" a="1"/>
  <c r="T71" i="110"/>
  <c r="X76" i="110" s="1" a="1"/>
  <c r="B71" i="110"/>
  <c r="T64" i="110"/>
  <c r="AE69" i="110" s="1"/>
  <c r="B64" i="110"/>
  <c r="Q69" i="110" s="1"/>
  <c r="T57" i="110"/>
  <c r="B57" i="110"/>
  <c r="H60" i="110" s="1"/>
  <c r="T50" i="110"/>
  <c r="AB55" i="110" s="1"/>
  <c r="B50" i="110"/>
  <c r="J54" i="110" s="1"/>
  <c r="T43" i="110"/>
  <c r="Z47" i="110" s="1"/>
  <c r="B43" i="110"/>
  <c r="N48" i="110" s="1"/>
  <c r="T36" i="110"/>
  <c r="AA41" i="110" s="1"/>
  <c r="B36" i="110"/>
  <c r="I39" i="110" s="1"/>
  <c r="T29" i="110"/>
  <c r="B29" i="110"/>
  <c r="P34" i="110" s="1"/>
  <c r="T22" i="110"/>
  <c r="B22" i="110"/>
  <c r="J27" i="110" s="1"/>
  <c r="T15" i="110"/>
  <c r="AJ20" i="110" s="1"/>
  <c r="B15" i="110"/>
  <c r="G20" i="110" s="1"/>
  <c r="T8" i="110"/>
  <c r="V12" i="110" s="1"/>
  <c r="B8" i="110"/>
  <c r="J12" i="110" s="1"/>
  <c r="B99" i="108"/>
  <c r="G102" i="108" s="1" a="1"/>
  <c r="T92" i="108"/>
  <c r="AF94" i="108" s="1" a="1"/>
  <c r="AF94" i="108" s="1"/>
  <c r="B92" i="108"/>
  <c r="L96" i="108" s="1" a="1"/>
  <c r="L96" i="108" s="1"/>
  <c r="T85" i="108"/>
  <c r="AJ90" i="108" s="1" a="1"/>
  <c r="AJ90" i="108" s="1"/>
  <c r="B85" i="108"/>
  <c r="T78" i="108"/>
  <c r="B78" i="108"/>
  <c r="G80" i="108" s="1" a="1"/>
  <c r="G80" i="108" s="1"/>
  <c r="T71" i="108"/>
  <c r="X75" i="108" s="1" a="1"/>
  <c r="X75" i="108" s="1"/>
  <c r="B71" i="108"/>
  <c r="Q73" i="108" s="1"/>
  <c r="T64" i="108"/>
  <c r="V69" i="108" s="1"/>
  <c r="B64" i="108"/>
  <c r="D68" i="108" s="1"/>
  <c r="T57" i="108"/>
  <c r="AB60" i="108" s="1"/>
  <c r="B57" i="108"/>
  <c r="T50" i="108"/>
  <c r="Z55" i="108" s="1"/>
  <c r="B50" i="108"/>
  <c r="C55" i="108" s="1"/>
  <c r="T43" i="108"/>
  <c r="Y46" i="108" s="1"/>
  <c r="B43" i="108"/>
  <c r="H47" i="108" s="1"/>
  <c r="T36" i="108"/>
  <c r="AC41" i="108" s="1"/>
  <c r="B36" i="108"/>
  <c r="M41" i="108" s="1"/>
  <c r="T29" i="108"/>
  <c r="AH31" i="108" s="1"/>
  <c r="B29" i="108"/>
  <c r="O34" i="108" s="1"/>
  <c r="T22" i="108"/>
  <c r="AC27" i="108" s="1"/>
  <c r="B22" i="108"/>
  <c r="F24" i="108" s="1"/>
  <c r="T15" i="108"/>
  <c r="B15" i="108"/>
  <c r="L20" i="108" s="1"/>
  <c r="T8" i="108"/>
  <c r="U11" i="108" s="1"/>
  <c r="B8" i="108"/>
  <c r="B99" i="109"/>
  <c r="T92" i="109"/>
  <c r="V94" i="109" s="1"/>
  <c r="B92" i="109"/>
  <c r="C97" i="109" s="1"/>
  <c r="T85" i="109"/>
  <c r="AB89" i="109" s="1"/>
  <c r="B85" i="109"/>
  <c r="K88" i="109" s="1"/>
  <c r="T78" i="109"/>
  <c r="V83" i="109" s="1"/>
  <c r="B78" i="109"/>
  <c r="T71" i="109"/>
  <c r="AB76" i="109" s="1"/>
  <c r="B71" i="109"/>
  <c r="J74" i="109" s="1"/>
  <c r="T64" i="109"/>
  <c r="AB69" i="109" s="1"/>
  <c r="B64" i="109"/>
  <c r="O67" i="109" s="1"/>
  <c r="T57" i="109"/>
  <c r="AB62" i="109" s="1"/>
  <c r="B57" i="109"/>
  <c r="R59" i="109" s="1"/>
  <c r="T50" i="109"/>
  <c r="AB55" i="109" s="1"/>
  <c r="B50" i="109"/>
  <c r="K53" i="109" s="1"/>
  <c r="T43" i="109"/>
  <c r="X47" i="109" s="1"/>
  <c r="B43" i="109"/>
  <c r="T36" i="109"/>
  <c r="W38" i="109" s="1"/>
  <c r="B36" i="109"/>
  <c r="J41" i="109" s="1"/>
  <c r="T29" i="109"/>
  <c r="AB33" i="109" s="1"/>
  <c r="B29" i="109"/>
  <c r="L34" i="109" s="1"/>
  <c r="T22" i="109"/>
  <c r="U27" i="109" s="1"/>
  <c r="B22" i="109"/>
  <c r="Q27" i="109" s="1"/>
  <c r="T15" i="109"/>
  <c r="B15" i="109"/>
  <c r="T8" i="109"/>
  <c r="B8" i="109"/>
  <c r="O13" i="109" s="1"/>
  <c r="T99" i="107"/>
  <c r="Z103" i="107" s="1"/>
  <c r="B99" i="107"/>
  <c r="R104" i="107" s="1"/>
  <c r="T92" i="107"/>
  <c r="AE95" i="107" s="1"/>
  <c r="B92" i="107"/>
  <c r="M97" i="107" s="1"/>
  <c r="T85" i="107"/>
  <c r="B85" i="107"/>
  <c r="R87" i="107" s="1"/>
  <c r="T78" i="107"/>
  <c r="B78" i="107"/>
  <c r="N83" i="107" s="1"/>
  <c r="T71" i="107"/>
  <c r="AB73" i="107" s="1"/>
  <c r="B71" i="107"/>
  <c r="R76" i="107" s="1"/>
  <c r="T64" i="107"/>
  <c r="Z69" i="107" s="1"/>
  <c r="B64" i="107"/>
  <c r="R69" i="107" s="1"/>
  <c r="T57" i="107"/>
  <c r="AI62" i="107" s="1"/>
  <c r="B57" i="107"/>
  <c r="R62" i="107" s="1"/>
  <c r="T50" i="107"/>
  <c r="U55" i="107" s="1"/>
  <c r="B50" i="107"/>
  <c r="R55" i="107" s="1"/>
  <c r="T43" i="107"/>
  <c r="AH48" i="107" s="1"/>
  <c r="B43" i="107"/>
  <c r="R48" i="107" s="1"/>
  <c r="T36" i="107"/>
  <c r="X39" i="107" s="1"/>
  <c r="B36" i="107"/>
  <c r="R41" i="107" s="1"/>
  <c r="T29" i="107"/>
  <c r="AJ34" i="107" s="1"/>
  <c r="B29" i="107"/>
  <c r="R34" i="107" s="1"/>
  <c r="T22" i="107"/>
  <c r="B22" i="107"/>
  <c r="R27" i="107" s="1"/>
  <c r="T15" i="107"/>
  <c r="AD20" i="107" s="1"/>
  <c r="B15" i="107"/>
  <c r="R20" i="107" s="1"/>
  <c r="T8" i="107"/>
  <c r="AH13" i="107" s="1"/>
  <c r="B8" i="107"/>
  <c r="R13" i="107" s="1"/>
  <c r="B124" i="81"/>
  <c r="D124" i="81" s="1"/>
  <c r="B123" i="81"/>
  <c r="D123" i="81" s="1"/>
  <c r="B122" i="81"/>
  <c r="D122" i="81" s="1"/>
  <c r="B121" i="81"/>
  <c r="D121" i="81" s="1"/>
  <c r="B120" i="81"/>
  <c r="D120" i="81" s="1"/>
  <c r="B119" i="81"/>
  <c r="D119" i="81" s="1"/>
  <c r="B118" i="81"/>
  <c r="D118" i="81" s="1"/>
  <c r="B117" i="81"/>
  <c r="D117" i="81" s="1"/>
  <c r="B116" i="81"/>
  <c r="D116" i="81" s="1"/>
  <c r="B115" i="81"/>
  <c r="D115" i="81" s="1"/>
  <c r="B114" i="81"/>
  <c r="D114" i="81" s="1"/>
  <c r="B113" i="81"/>
  <c r="D113" i="81" s="1"/>
  <c r="B112" i="81"/>
  <c r="D112" i="81" s="1"/>
  <c r="B111" i="81"/>
  <c r="D111" i="81" s="1"/>
  <c r="B110" i="81"/>
  <c r="D110" i="81" s="1"/>
  <c r="B109" i="81"/>
  <c r="D109" i="81" s="1"/>
  <c r="B108" i="81"/>
  <c r="D108" i="81" s="1"/>
  <c r="B107" i="81"/>
  <c r="D107" i="81" s="1"/>
  <c r="B106" i="81"/>
  <c r="D106" i="81" s="1"/>
  <c r="B105" i="81"/>
  <c r="D105" i="81" s="1"/>
  <c r="B104" i="81"/>
  <c r="D104" i="81" s="1"/>
  <c r="B103" i="81"/>
  <c r="D103" i="81" s="1"/>
  <c r="B102" i="81"/>
  <c r="D102" i="81" s="1"/>
  <c r="B101" i="81"/>
  <c r="D101" i="81" s="1"/>
  <c r="B100" i="81"/>
  <c r="D100" i="81" s="1"/>
  <c r="B99" i="81"/>
  <c r="D99" i="81" s="1"/>
  <c r="B98" i="81"/>
  <c r="D98" i="81" s="1"/>
  <c r="G97" i="81"/>
  <c r="E97" i="81"/>
  <c r="D97" i="81"/>
  <c r="C97" i="81"/>
  <c r="B94" i="81"/>
  <c r="I94" i="81" s="1"/>
  <c r="B93" i="81"/>
  <c r="J93" i="81" s="1"/>
  <c r="B92" i="81"/>
  <c r="I92" i="81" s="1"/>
  <c r="B91" i="81"/>
  <c r="B90" i="81"/>
  <c r="I90" i="81" s="1"/>
  <c r="B89" i="81"/>
  <c r="I89" i="81" s="1"/>
  <c r="B88" i="81"/>
  <c r="I88" i="81" s="1"/>
  <c r="B87" i="81"/>
  <c r="F87" i="81" s="1"/>
  <c r="B86" i="81"/>
  <c r="I86" i="81" s="1"/>
  <c r="B85" i="81"/>
  <c r="J85" i="81" s="1"/>
  <c r="B84" i="81"/>
  <c r="I84" i="81" s="1"/>
  <c r="B83" i="81"/>
  <c r="B82" i="81"/>
  <c r="I82" i="81" s="1"/>
  <c r="B81" i="81"/>
  <c r="I81" i="81" s="1"/>
  <c r="B80" i="81"/>
  <c r="I80" i="81" s="1"/>
  <c r="B79" i="81"/>
  <c r="F79" i="81" s="1"/>
  <c r="B78" i="81"/>
  <c r="I78" i="81" s="1"/>
  <c r="B77" i="81"/>
  <c r="F77" i="81" s="1"/>
  <c r="B76" i="81"/>
  <c r="I76" i="81" s="1"/>
  <c r="B75" i="81"/>
  <c r="B74" i="81"/>
  <c r="I74" i="81" s="1"/>
  <c r="B73" i="81"/>
  <c r="F73" i="81" s="1"/>
  <c r="B72" i="81"/>
  <c r="I72" i="81" s="1"/>
  <c r="B71" i="81"/>
  <c r="F71" i="81" s="1"/>
  <c r="B70" i="81"/>
  <c r="I70" i="81" s="1"/>
  <c r="B69" i="81"/>
  <c r="I69" i="81" s="1"/>
  <c r="B68" i="81"/>
  <c r="I68" i="81" s="1"/>
  <c r="J67" i="81"/>
  <c r="I67" i="81"/>
  <c r="G67" i="81"/>
  <c r="F67" i="81"/>
  <c r="D67" i="81"/>
  <c r="C67" i="81"/>
  <c r="B64" i="81"/>
  <c r="F64" i="81" s="1"/>
  <c r="B63" i="81"/>
  <c r="F63" i="81" s="1"/>
  <c r="B62" i="81"/>
  <c r="F62" i="81" s="1"/>
  <c r="B61" i="81"/>
  <c r="B60" i="81"/>
  <c r="F60" i="81" s="1"/>
  <c r="B59" i="81"/>
  <c r="F59" i="81" s="1"/>
  <c r="B58" i="81"/>
  <c r="F58" i="81" s="1"/>
  <c r="B57" i="81"/>
  <c r="F57" i="81" s="1"/>
  <c r="B56" i="81"/>
  <c r="B55" i="81"/>
  <c r="B54" i="81"/>
  <c r="I54" i="81" s="1"/>
  <c r="B53" i="81"/>
  <c r="B52" i="81"/>
  <c r="L52" i="81" s="1"/>
  <c r="B51" i="81"/>
  <c r="B50" i="81"/>
  <c r="B49" i="81"/>
  <c r="F49" i="81" s="1"/>
  <c r="B48" i="81"/>
  <c r="G48" i="81" s="1"/>
  <c r="B47" i="81"/>
  <c r="L47" i="81" s="1"/>
  <c r="B46" i="81"/>
  <c r="B45" i="81"/>
  <c r="B44" i="81"/>
  <c r="K44" i="81" s="1"/>
  <c r="B43" i="81"/>
  <c r="I43" i="81" s="1"/>
  <c r="B42" i="81"/>
  <c r="I42" i="81" s="1"/>
  <c r="B41" i="81"/>
  <c r="G41" i="81" s="1"/>
  <c r="B40" i="81"/>
  <c r="G40" i="81" s="1"/>
  <c r="B39" i="81"/>
  <c r="L39" i="81" s="1"/>
  <c r="B38" i="81"/>
  <c r="K38" i="81" s="1"/>
  <c r="L37" i="81"/>
  <c r="K37" i="81"/>
  <c r="I37" i="81"/>
  <c r="G37" i="81"/>
  <c r="F37" i="81"/>
  <c r="D37" i="81"/>
  <c r="C37" i="81"/>
  <c r="B34" i="81"/>
  <c r="H34" i="81" s="1"/>
  <c r="B33" i="81"/>
  <c r="H33" i="81" s="1"/>
  <c r="B32" i="81"/>
  <c r="H32" i="81" s="1"/>
  <c r="B31" i="81"/>
  <c r="B30" i="81"/>
  <c r="H30" i="81" s="1"/>
  <c r="B29" i="81"/>
  <c r="D29" i="81" s="1"/>
  <c r="B28" i="81"/>
  <c r="H28" i="81" s="1"/>
  <c r="B27" i="81"/>
  <c r="B26" i="81"/>
  <c r="H26" i="81" s="1"/>
  <c r="B25" i="81"/>
  <c r="D25" i="81" s="1"/>
  <c r="B24" i="81"/>
  <c r="H24" i="81" s="1"/>
  <c r="B23" i="81"/>
  <c r="B22" i="81"/>
  <c r="H22" i="81" s="1"/>
  <c r="B21" i="81"/>
  <c r="H21" i="81" s="1"/>
  <c r="B20" i="81"/>
  <c r="H20" i="81" s="1"/>
  <c r="B19" i="81"/>
  <c r="B18" i="81"/>
  <c r="H18" i="81" s="1"/>
  <c r="B17" i="81"/>
  <c r="B16" i="81"/>
  <c r="H16" i="81" s="1"/>
  <c r="B15" i="81"/>
  <c r="B14" i="81"/>
  <c r="H14" i="81" s="1"/>
  <c r="B13" i="81"/>
  <c r="D13" i="81" s="1"/>
  <c r="B12" i="81"/>
  <c r="H12" i="81" s="1"/>
  <c r="B11" i="81"/>
  <c r="B10" i="81"/>
  <c r="H10" i="81" s="1"/>
  <c r="B9" i="81"/>
  <c r="B8" i="81"/>
  <c r="H8" i="81" s="1"/>
  <c r="K7" i="81"/>
  <c r="J7" i="81"/>
  <c r="H7" i="81"/>
  <c r="G7" i="81"/>
  <c r="E7" i="81"/>
  <c r="D7" i="81"/>
  <c r="C7" i="81"/>
  <c r="T99" i="105"/>
  <c r="AJ104" i="105" s="1"/>
  <c r="B99" i="105"/>
  <c r="F102" i="105" s="1"/>
  <c r="T92" i="105"/>
  <c r="V97" i="105" s="1"/>
  <c r="B92" i="105"/>
  <c r="K97" i="105" s="1"/>
  <c r="T85" i="105"/>
  <c r="AG90" i="105" s="1"/>
  <c r="B85" i="105"/>
  <c r="O88" i="105" s="1"/>
  <c r="T78" i="105"/>
  <c r="AD82" i="105" s="1"/>
  <c r="B78" i="105"/>
  <c r="L83" i="105" s="1"/>
  <c r="T71" i="105"/>
  <c r="X76" i="105" s="1"/>
  <c r="B71" i="105"/>
  <c r="O76" i="105" s="1"/>
  <c r="T64" i="105"/>
  <c r="AJ69" i="105" s="1"/>
  <c r="B64" i="105"/>
  <c r="L69" i="105" s="1"/>
  <c r="T57" i="105"/>
  <c r="Z59" i="105" s="1"/>
  <c r="B57" i="105"/>
  <c r="O60" i="105" s="1"/>
  <c r="T50" i="105"/>
  <c r="Y54" i="105" s="1"/>
  <c r="B50" i="105"/>
  <c r="O55" i="105" s="1"/>
  <c r="T43" i="105"/>
  <c r="B43" i="105"/>
  <c r="T36" i="105"/>
  <c r="AJ39" i="105" s="1"/>
  <c r="B36" i="105"/>
  <c r="G41" i="105" s="1"/>
  <c r="T29" i="105"/>
  <c r="AD34" i="105" s="1"/>
  <c r="B29" i="105"/>
  <c r="T22" i="105"/>
  <c r="AG27" i="105" s="1"/>
  <c r="B22" i="105"/>
  <c r="O27" i="105" s="1"/>
  <c r="T15" i="105"/>
  <c r="AC20" i="105" s="1"/>
  <c r="B15" i="105"/>
  <c r="L19" i="105" s="1"/>
  <c r="T8" i="105"/>
  <c r="AH13" i="105" s="1"/>
  <c r="B8" i="105"/>
  <c r="O11" i="105" s="1"/>
  <c r="T99" i="102"/>
  <c r="U101" i="102" s="1"/>
  <c r="B99" i="102"/>
  <c r="P99" i="102" s="1"/>
  <c r="T92" i="102"/>
  <c r="AH92" i="102" s="1"/>
  <c r="B92" i="102"/>
  <c r="L97" i="102" s="1"/>
  <c r="T85" i="102"/>
  <c r="AH85" i="102" s="1"/>
  <c r="B85" i="102"/>
  <c r="K88" i="102" s="1"/>
  <c r="T78" i="102"/>
  <c r="AH78" i="102" s="1"/>
  <c r="B78" i="102"/>
  <c r="L83" i="102" s="1"/>
  <c r="T71" i="102"/>
  <c r="AB76" i="102" s="1"/>
  <c r="B71" i="102"/>
  <c r="L104" i="102" s="1"/>
  <c r="T64" i="102"/>
  <c r="AB97" i="102" s="1"/>
  <c r="B64" i="102"/>
  <c r="L66" i="102" s="1"/>
  <c r="T57" i="102"/>
  <c r="AH61" i="102" s="1"/>
  <c r="B57" i="102"/>
  <c r="O62" i="102" s="1"/>
  <c r="T50" i="102"/>
  <c r="AH55" i="102" s="1"/>
  <c r="B50" i="102"/>
  <c r="P54" i="102" s="1"/>
  <c r="T43" i="102"/>
  <c r="AG47" i="102" s="1"/>
  <c r="B43" i="102"/>
  <c r="F46" i="102" s="1"/>
  <c r="T36" i="102"/>
  <c r="AJ39" i="102" s="1"/>
  <c r="B36" i="102"/>
  <c r="G41" i="102" s="1"/>
  <c r="T29" i="102"/>
  <c r="AD32" i="102" s="1"/>
  <c r="B29" i="102"/>
  <c r="O34" i="102" s="1"/>
  <c r="T22" i="102"/>
  <c r="AC27" i="102" s="1"/>
  <c r="B22" i="102"/>
  <c r="D27" i="102" s="1"/>
  <c r="T15" i="102"/>
  <c r="W20" i="102" s="1"/>
  <c r="B15" i="102"/>
  <c r="J20" i="102" s="1"/>
  <c r="T8" i="102"/>
  <c r="B8" i="102"/>
  <c r="P13" i="102" s="1"/>
  <c r="S68" i="111"/>
  <c r="R68" i="111"/>
  <c r="Q68" i="111"/>
  <c r="P68" i="111"/>
  <c r="O68" i="111"/>
  <c r="N68" i="111"/>
  <c r="M68" i="111"/>
  <c r="L68" i="111"/>
  <c r="K68" i="111"/>
  <c r="AD68" i="111" s="1"/>
  <c r="J68" i="111"/>
  <c r="I68" i="111"/>
  <c r="H68" i="111"/>
  <c r="G68" i="111"/>
  <c r="F68" i="111"/>
  <c r="E68" i="111"/>
  <c r="D68" i="111"/>
  <c r="C68" i="111"/>
  <c r="V68" i="111" s="1"/>
  <c r="S67" i="111"/>
  <c r="R67" i="111"/>
  <c r="Q67" i="111"/>
  <c r="P67" i="111"/>
  <c r="O67" i="111"/>
  <c r="N67" i="111"/>
  <c r="M67" i="111"/>
  <c r="L67" i="111"/>
  <c r="K67" i="111"/>
  <c r="AD67" i="111" s="1"/>
  <c r="J67" i="111"/>
  <c r="I67" i="111"/>
  <c r="H67" i="111"/>
  <c r="G67" i="111"/>
  <c r="F67" i="111"/>
  <c r="E67" i="111"/>
  <c r="D67" i="111"/>
  <c r="C67" i="111"/>
  <c r="V67" i="111" s="1"/>
  <c r="S66" i="111"/>
  <c r="R66" i="111"/>
  <c r="Q66" i="111"/>
  <c r="P66" i="111"/>
  <c r="O66" i="111"/>
  <c r="N66" i="111"/>
  <c r="M66" i="111"/>
  <c r="L66" i="111"/>
  <c r="K66" i="111"/>
  <c r="AD66" i="111" s="1"/>
  <c r="J66" i="111"/>
  <c r="I66" i="111"/>
  <c r="H66" i="111"/>
  <c r="G66" i="111"/>
  <c r="F66" i="111"/>
  <c r="E66" i="111"/>
  <c r="D66" i="111"/>
  <c r="C66" i="111"/>
  <c r="V66" i="111" s="1"/>
  <c r="S65" i="111"/>
  <c r="R65" i="111"/>
  <c r="Q65" i="111"/>
  <c r="P65" i="111"/>
  <c r="O65" i="111"/>
  <c r="N65" i="111"/>
  <c r="M65" i="111"/>
  <c r="L65" i="111"/>
  <c r="K65" i="111"/>
  <c r="AD65" i="111" s="1"/>
  <c r="J65" i="111"/>
  <c r="I65" i="111"/>
  <c r="H65" i="111"/>
  <c r="G65" i="111"/>
  <c r="F65" i="111"/>
  <c r="E65" i="111"/>
  <c r="D65" i="111"/>
  <c r="C65" i="111"/>
  <c r="V65" i="111" s="1"/>
  <c r="S64" i="111"/>
  <c r="R64" i="111"/>
  <c r="Q64" i="111"/>
  <c r="P64" i="111"/>
  <c r="O64" i="111"/>
  <c r="N64" i="111"/>
  <c r="M64" i="111"/>
  <c r="L64" i="111"/>
  <c r="K64" i="111"/>
  <c r="AD64" i="111" s="1"/>
  <c r="J64" i="111"/>
  <c r="I64" i="111"/>
  <c r="H64" i="111"/>
  <c r="G64" i="111"/>
  <c r="F64" i="111"/>
  <c r="E64" i="111"/>
  <c r="D64" i="111"/>
  <c r="C64" i="111"/>
  <c r="V64" i="111" s="1"/>
  <c r="S63" i="111"/>
  <c r="R63" i="111"/>
  <c r="Q63" i="111"/>
  <c r="P63" i="111"/>
  <c r="O63" i="111"/>
  <c r="N63" i="111"/>
  <c r="M63" i="111"/>
  <c r="L63" i="111"/>
  <c r="K63" i="111"/>
  <c r="AD63" i="111" s="1"/>
  <c r="J63" i="111"/>
  <c r="I63" i="111"/>
  <c r="H63" i="111"/>
  <c r="G63" i="111"/>
  <c r="F63" i="111"/>
  <c r="E63" i="111"/>
  <c r="D63" i="111"/>
  <c r="C63" i="111"/>
  <c r="V63" i="111" s="1"/>
  <c r="S62" i="111"/>
  <c r="R62" i="111"/>
  <c r="Q62" i="111"/>
  <c r="P62" i="111"/>
  <c r="O62" i="111"/>
  <c r="N62" i="111"/>
  <c r="M62" i="111"/>
  <c r="L62" i="111"/>
  <c r="K62" i="111"/>
  <c r="AD62" i="111" s="1"/>
  <c r="J62" i="111"/>
  <c r="I62" i="111"/>
  <c r="H62" i="111"/>
  <c r="G62" i="111"/>
  <c r="F62" i="111"/>
  <c r="E62" i="111"/>
  <c r="D62" i="111"/>
  <c r="C62" i="111"/>
  <c r="V62" i="111" s="1"/>
  <c r="S61" i="111"/>
  <c r="R61" i="111"/>
  <c r="Q61" i="111"/>
  <c r="P61" i="111"/>
  <c r="O61" i="111"/>
  <c r="N61" i="111"/>
  <c r="M61" i="111"/>
  <c r="L61" i="111"/>
  <c r="K61" i="111"/>
  <c r="AD61" i="111" s="1"/>
  <c r="J61" i="111"/>
  <c r="I61" i="111"/>
  <c r="H61" i="111"/>
  <c r="G61" i="111"/>
  <c r="F61" i="111"/>
  <c r="E61" i="111"/>
  <c r="D61" i="111"/>
  <c r="C61" i="111"/>
  <c r="V61" i="111" s="1"/>
  <c r="S60" i="111"/>
  <c r="R60" i="111"/>
  <c r="Q60" i="111"/>
  <c r="P60" i="111"/>
  <c r="O60" i="111"/>
  <c r="N60" i="111"/>
  <c r="M60" i="111"/>
  <c r="L60" i="111"/>
  <c r="K60" i="111"/>
  <c r="AD60" i="111" s="1"/>
  <c r="J60" i="111"/>
  <c r="I60" i="111"/>
  <c r="H60" i="111"/>
  <c r="G60" i="111"/>
  <c r="F60" i="111"/>
  <c r="E60" i="111"/>
  <c r="D60" i="111"/>
  <c r="C60" i="111"/>
  <c r="V60" i="111" s="1"/>
  <c r="S59" i="111"/>
  <c r="R59" i="111"/>
  <c r="Q59" i="111"/>
  <c r="P59" i="111"/>
  <c r="O59" i="111"/>
  <c r="N59" i="111"/>
  <c r="M59" i="111"/>
  <c r="L59" i="111"/>
  <c r="K59" i="111"/>
  <c r="AD59" i="111" s="1"/>
  <c r="J59" i="111"/>
  <c r="I59" i="111"/>
  <c r="H59" i="111"/>
  <c r="G59" i="111"/>
  <c r="F59" i="111"/>
  <c r="E59" i="111"/>
  <c r="D59" i="111"/>
  <c r="C59" i="111"/>
  <c r="V59" i="111" s="1"/>
  <c r="S58" i="111"/>
  <c r="R58" i="111"/>
  <c r="Q58" i="111"/>
  <c r="P58" i="111"/>
  <c r="O58" i="111"/>
  <c r="N58" i="111"/>
  <c r="M58" i="111"/>
  <c r="L58" i="111"/>
  <c r="K58" i="111"/>
  <c r="AD58" i="111" s="1"/>
  <c r="J58" i="111"/>
  <c r="I58" i="111"/>
  <c r="H58" i="111"/>
  <c r="G58" i="111"/>
  <c r="F58" i="111"/>
  <c r="E58" i="111"/>
  <c r="D58" i="111"/>
  <c r="C58" i="111"/>
  <c r="V58" i="111" s="1"/>
  <c r="S57" i="111"/>
  <c r="R57" i="111"/>
  <c r="Q57" i="111"/>
  <c r="P57" i="111"/>
  <c r="O57" i="111"/>
  <c r="N57" i="111"/>
  <c r="M57" i="111"/>
  <c r="L57" i="111"/>
  <c r="K57" i="111"/>
  <c r="AD57" i="111" s="1"/>
  <c r="J57" i="111"/>
  <c r="I57" i="111"/>
  <c r="H57" i="111"/>
  <c r="G57" i="111"/>
  <c r="F57" i="111"/>
  <c r="E57" i="111"/>
  <c r="D57" i="111"/>
  <c r="C57" i="111"/>
  <c r="V57" i="111" s="1"/>
  <c r="S56" i="111"/>
  <c r="R56" i="111"/>
  <c r="Q56" i="111"/>
  <c r="P56" i="111"/>
  <c r="O56" i="111"/>
  <c r="N56" i="111"/>
  <c r="M56" i="111"/>
  <c r="L56" i="111"/>
  <c r="K56" i="111"/>
  <c r="AD56" i="111" s="1"/>
  <c r="J56" i="111"/>
  <c r="I56" i="111"/>
  <c r="H56" i="111"/>
  <c r="G56" i="111"/>
  <c r="F56" i="111"/>
  <c r="E56" i="111"/>
  <c r="D56" i="111"/>
  <c r="C56" i="111"/>
  <c r="V56" i="111" s="1"/>
  <c r="S52" i="111"/>
  <c r="R52" i="111"/>
  <c r="Q52" i="111"/>
  <c r="P52" i="111"/>
  <c r="O52" i="111"/>
  <c r="N52" i="111"/>
  <c r="M52" i="111"/>
  <c r="L52" i="111"/>
  <c r="K52" i="111"/>
  <c r="AD52" i="111" s="1"/>
  <c r="J52" i="111"/>
  <c r="I52" i="111"/>
  <c r="H52" i="111"/>
  <c r="G52" i="111"/>
  <c r="F52" i="111"/>
  <c r="E52" i="111"/>
  <c r="D52" i="111"/>
  <c r="C52" i="111"/>
  <c r="V52" i="111" s="1"/>
  <c r="S51" i="111"/>
  <c r="R51" i="111"/>
  <c r="Q51" i="111"/>
  <c r="P51" i="111"/>
  <c r="O51" i="111"/>
  <c r="N51" i="111"/>
  <c r="M51" i="111"/>
  <c r="L51" i="111"/>
  <c r="K51" i="111"/>
  <c r="AD51" i="111" s="1"/>
  <c r="J51" i="111"/>
  <c r="I51" i="111"/>
  <c r="H51" i="111"/>
  <c r="G51" i="111"/>
  <c r="F51" i="111"/>
  <c r="E51" i="111"/>
  <c r="D51" i="111"/>
  <c r="C51" i="111"/>
  <c r="V51" i="111" s="1"/>
  <c r="S50" i="111"/>
  <c r="R50" i="111"/>
  <c r="Q50" i="111"/>
  <c r="P50" i="111"/>
  <c r="O50" i="111"/>
  <c r="N50" i="111"/>
  <c r="M50" i="111"/>
  <c r="L50" i="111"/>
  <c r="K50" i="111"/>
  <c r="AD50" i="111" s="1"/>
  <c r="J50" i="111"/>
  <c r="I50" i="111"/>
  <c r="H50" i="111"/>
  <c r="G50" i="111"/>
  <c r="F50" i="111"/>
  <c r="E50" i="111"/>
  <c r="D50" i="111"/>
  <c r="C50" i="111"/>
  <c r="V50" i="111" s="1"/>
  <c r="S49" i="111"/>
  <c r="R49" i="111"/>
  <c r="Q49" i="111"/>
  <c r="P49" i="111"/>
  <c r="O49" i="111"/>
  <c r="N49" i="111"/>
  <c r="M49" i="111"/>
  <c r="L49" i="111"/>
  <c r="K49" i="111"/>
  <c r="AD49" i="111" s="1"/>
  <c r="J49" i="111"/>
  <c r="I49" i="111"/>
  <c r="H49" i="111"/>
  <c r="G49" i="111"/>
  <c r="F49" i="111"/>
  <c r="E49" i="111"/>
  <c r="D49" i="111"/>
  <c r="C49" i="111"/>
  <c r="V49" i="111" s="1"/>
  <c r="S48" i="111"/>
  <c r="R48" i="111"/>
  <c r="Q48" i="111"/>
  <c r="P48" i="111"/>
  <c r="O48" i="111"/>
  <c r="N48" i="111"/>
  <c r="M48" i="111"/>
  <c r="L48" i="111"/>
  <c r="K48" i="111"/>
  <c r="AD48" i="111" s="1"/>
  <c r="J48" i="111"/>
  <c r="I48" i="111"/>
  <c r="H48" i="111"/>
  <c r="G48" i="111"/>
  <c r="F48" i="111"/>
  <c r="E48" i="111"/>
  <c r="D48" i="111"/>
  <c r="C48" i="111"/>
  <c r="V48" i="111" s="1"/>
  <c r="S47" i="111"/>
  <c r="R47" i="111"/>
  <c r="Q47" i="111"/>
  <c r="P47" i="111"/>
  <c r="O47" i="111"/>
  <c r="N47" i="111"/>
  <c r="M47" i="111"/>
  <c r="L47" i="111"/>
  <c r="K47" i="111"/>
  <c r="AD47" i="111" s="1"/>
  <c r="J47" i="111"/>
  <c r="I47" i="111"/>
  <c r="H47" i="111"/>
  <c r="G47" i="111"/>
  <c r="F47" i="111"/>
  <c r="E47" i="111"/>
  <c r="D47" i="111"/>
  <c r="C47" i="111"/>
  <c r="V47" i="111" s="1"/>
  <c r="S46" i="111"/>
  <c r="R46" i="111"/>
  <c r="Q46" i="111"/>
  <c r="P46" i="111"/>
  <c r="O46" i="111"/>
  <c r="N46" i="111"/>
  <c r="M46" i="111"/>
  <c r="L46" i="111"/>
  <c r="K46" i="111"/>
  <c r="AD46" i="111" s="1"/>
  <c r="J46" i="111"/>
  <c r="I46" i="111"/>
  <c r="H46" i="111"/>
  <c r="G46" i="111"/>
  <c r="F46" i="111"/>
  <c r="E46" i="111"/>
  <c r="D46" i="111"/>
  <c r="C46" i="111"/>
  <c r="V46" i="111" s="1"/>
  <c r="S45" i="111"/>
  <c r="R45" i="111"/>
  <c r="Q45" i="111"/>
  <c r="P45" i="111"/>
  <c r="O45" i="111"/>
  <c r="N45" i="111"/>
  <c r="AG45" i="111" s="1"/>
  <c r="M45" i="111"/>
  <c r="L45" i="111"/>
  <c r="K45" i="111"/>
  <c r="AD45" i="111" s="1"/>
  <c r="J45" i="111"/>
  <c r="I45" i="111"/>
  <c r="H45" i="111"/>
  <c r="G45" i="111"/>
  <c r="F45" i="111"/>
  <c r="Y45" i="111" s="1"/>
  <c r="E45" i="111"/>
  <c r="D45" i="111"/>
  <c r="C45" i="111"/>
  <c r="V45" i="111" s="1"/>
  <c r="S44" i="111"/>
  <c r="R44" i="111"/>
  <c r="Q44" i="111"/>
  <c r="P44" i="111"/>
  <c r="O44" i="111"/>
  <c r="N44" i="111"/>
  <c r="M44" i="111"/>
  <c r="L44" i="111"/>
  <c r="K44" i="111"/>
  <c r="AD44" i="111" s="1"/>
  <c r="J44" i="111"/>
  <c r="I44" i="111"/>
  <c r="H44" i="111"/>
  <c r="G44" i="111"/>
  <c r="F44" i="111"/>
  <c r="E44" i="111"/>
  <c r="D44" i="111"/>
  <c r="C44" i="111"/>
  <c r="V44" i="111" s="1"/>
  <c r="S43" i="111"/>
  <c r="R43" i="111"/>
  <c r="Q43" i="111"/>
  <c r="P43" i="111"/>
  <c r="O43" i="111"/>
  <c r="N43" i="111"/>
  <c r="M43" i="111"/>
  <c r="L43" i="111"/>
  <c r="K43" i="111"/>
  <c r="AD43" i="111" s="1"/>
  <c r="J43" i="111"/>
  <c r="I43" i="111"/>
  <c r="H43" i="111"/>
  <c r="G43" i="111"/>
  <c r="F43" i="111"/>
  <c r="E43" i="111"/>
  <c r="D43" i="111"/>
  <c r="C43" i="111"/>
  <c r="V43" i="111" s="1"/>
  <c r="S42" i="111"/>
  <c r="R42" i="111"/>
  <c r="Q42" i="111"/>
  <c r="P42" i="111"/>
  <c r="O42" i="111"/>
  <c r="N42" i="111"/>
  <c r="M42" i="111"/>
  <c r="L42" i="111"/>
  <c r="K42" i="111"/>
  <c r="AD42" i="111" s="1"/>
  <c r="J42" i="111"/>
  <c r="I42" i="111"/>
  <c r="H42" i="111"/>
  <c r="G42" i="111"/>
  <c r="F42" i="111"/>
  <c r="E42" i="111"/>
  <c r="D42" i="111"/>
  <c r="C42" i="111"/>
  <c r="V42" i="111" s="1"/>
  <c r="S41" i="111"/>
  <c r="R41" i="111"/>
  <c r="Q41" i="111"/>
  <c r="P41" i="111"/>
  <c r="O41" i="111"/>
  <c r="N41" i="111"/>
  <c r="M41" i="111"/>
  <c r="L41" i="111"/>
  <c r="K41" i="111"/>
  <c r="AD41" i="111" s="1"/>
  <c r="J41" i="111"/>
  <c r="I41" i="111"/>
  <c r="H41" i="111"/>
  <c r="G41" i="111"/>
  <c r="F41" i="111"/>
  <c r="E41" i="111"/>
  <c r="D41" i="111"/>
  <c r="C41" i="111"/>
  <c r="V41" i="111" s="1"/>
  <c r="S40" i="111"/>
  <c r="R40" i="111"/>
  <c r="Q40" i="111"/>
  <c r="P40" i="111"/>
  <c r="O40" i="111"/>
  <c r="N40" i="111"/>
  <c r="M40" i="111"/>
  <c r="L40" i="111"/>
  <c r="K40" i="111"/>
  <c r="AD40" i="111" s="1"/>
  <c r="J40" i="111"/>
  <c r="I40" i="111"/>
  <c r="H40" i="111"/>
  <c r="G40" i="111"/>
  <c r="F40" i="111"/>
  <c r="E40" i="111"/>
  <c r="D40" i="111"/>
  <c r="C40" i="111"/>
  <c r="V40" i="111" s="1"/>
  <c r="S35" i="111"/>
  <c r="R35" i="111"/>
  <c r="Q35" i="111"/>
  <c r="P35" i="111"/>
  <c r="O35" i="111"/>
  <c r="N35" i="111"/>
  <c r="M35" i="111"/>
  <c r="L35" i="111"/>
  <c r="K35" i="111"/>
  <c r="AD35" i="111" s="1"/>
  <c r="J35" i="111"/>
  <c r="I35" i="111"/>
  <c r="H35" i="111"/>
  <c r="G35" i="111"/>
  <c r="F35" i="111"/>
  <c r="E35" i="111"/>
  <c r="D35" i="111"/>
  <c r="C35" i="111"/>
  <c r="V35" i="111" s="1"/>
  <c r="S34" i="111"/>
  <c r="R34" i="111"/>
  <c r="Q34" i="111"/>
  <c r="P34" i="111"/>
  <c r="O34" i="111"/>
  <c r="N34" i="111"/>
  <c r="M34" i="111"/>
  <c r="L34" i="111"/>
  <c r="K34" i="111"/>
  <c r="AD34" i="111" s="1"/>
  <c r="J34" i="111"/>
  <c r="I34" i="111"/>
  <c r="H34" i="111"/>
  <c r="G34" i="111"/>
  <c r="F34" i="111"/>
  <c r="E34" i="111"/>
  <c r="D34" i="111"/>
  <c r="C34" i="111"/>
  <c r="V34" i="111" s="1"/>
  <c r="S33" i="111"/>
  <c r="R33" i="111"/>
  <c r="Q33" i="111"/>
  <c r="P33" i="111"/>
  <c r="O33" i="111"/>
  <c r="N33" i="111"/>
  <c r="M33" i="111"/>
  <c r="L33" i="111"/>
  <c r="K33" i="111"/>
  <c r="AD33" i="111" s="1"/>
  <c r="J33" i="111"/>
  <c r="I33" i="111"/>
  <c r="H33" i="111"/>
  <c r="G33" i="111"/>
  <c r="F33" i="111"/>
  <c r="E33" i="111"/>
  <c r="D33" i="111"/>
  <c r="C33" i="111"/>
  <c r="V33" i="111" s="1"/>
  <c r="S32" i="111"/>
  <c r="R32" i="111"/>
  <c r="Q32" i="111"/>
  <c r="P32" i="111"/>
  <c r="O32" i="111"/>
  <c r="N32" i="111"/>
  <c r="M32" i="111"/>
  <c r="L32" i="111"/>
  <c r="K32" i="111"/>
  <c r="AD32" i="111" s="1"/>
  <c r="J32" i="111"/>
  <c r="I32" i="111"/>
  <c r="H32" i="111"/>
  <c r="G32" i="111"/>
  <c r="F32" i="111"/>
  <c r="E32" i="111"/>
  <c r="D32" i="111"/>
  <c r="C32" i="111"/>
  <c r="V32" i="111" s="1"/>
  <c r="S31" i="111"/>
  <c r="R31" i="111"/>
  <c r="Q31" i="111"/>
  <c r="P31" i="111"/>
  <c r="O31" i="111"/>
  <c r="N31" i="111"/>
  <c r="M31" i="111"/>
  <c r="L31" i="111"/>
  <c r="K31" i="111"/>
  <c r="AD31" i="111" s="1"/>
  <c r="J31" i="111"/>
  <c r="I31" i="111"/>
  <c r="H31" i="111"/>
  <c r="G31" i="111"/>
  <c r="F31" i="111"/>
  <c r="E31" i="111"/>
  <c r="D31" i="111"/>
  <c r="C31" i="111"/>
  <c r="V31" i="111" s="1"/>
  <c r="S30" i="111"/>
  <c r="R30" i="111"/>
  <c r="Q30" i="111"/>
  <c r="P30" i="111"/>
  <c r="O30" i="111"/>
  <c r="N30" i="111"/>
  <c r="M30" i="111"/>
  <c r="L30" i="111"/>
  <c r="K30" i="111"/>
  <c r="AD30" i="111" s="1"/>
  <c r="J30" i="111"/>
  <c r="I30" i="111"/>
  <c r="H30" i="111"/>
  <c r="G30" i="111"/>
  <c r="F30" i="111"/>
  <c r="E30" i="111"/>
  <c r="D30" i="111"/>
  <c r="C30" i="111"/>
  <c r="V30" i="111" s="1"/>
  <c r="S29" i="111"/>
  <c r="R29" i="111"/>
  <c r="Q29" i="111"/>
  <c r="P29" i="111"/>
  <c r="O29" i="111"/>
  <c r="N29" i="111"/>
  <c r="M29" i="111"/>
  <c r="L29" i="111"/>
  <c r="K29" i="111"/>
  <c r="AD29" i="111" s="1"/>
  <c r="J29" i="111"/>
  <c r="I29" i="111"/>
  <c r="H29" i="111"/>
  <c r="G29" i="111"/>
  <c r="F29" i="111"/>
  <c r="E29" i="111"/>
  <c r="D29" i="111"/>
  <c r="C29" i="111"/>
  <c r="V29" i="111" s="1"/>
  <c r="S28" i="111"/>
  <c r="R28" i="111"/>
  <c r="Q28" i="111"/>
  <c r="P28" i="111"/>
  <c r="O28" i="111"/>
  <c r="N28" i="111"/>
  <c r="M28" i="111"/>
  <c r="L28" i="111"/>
  <c r="K28" i="111"/>
  <c r="AD28" i="111" s="1"/>
  <c r="J28" i="111"/>
  <c r="I28" i="111"/>
  <c r="H28" i="111"/>
  <c r="G28" i="111"/>
  <c r="F28" i="111"/>
  <c r="E28" i="111"/>
  <c r="D28" i="111"/>
  <c r="C28" i="111"/>
  <c r="V28" i="111" s="1"/>
  <c r="S27" i="111"/>
  <c r="R27" i="111"/>
  <c r="Q27" i="111"/>
  <c r="P27" i="111"/>
  <c r="O27" i="111"/>
  <c r="N27" i="111"/>
  <c r="M27" i="111"/>
  <c r="L27" i="111"/>
  <c r="K27" i="111"/>
  <c r="AD27" i="111" s="1"/>
  <c r="J27" i="111"/>
  <c r="I27" i="111"/>
  <c r="H27" i="111"/>
  <c r="G27" i="111"/>
  <c r="F27" i="111"/>
  <c r="E27" i="111"/>
  <c r="D27" i="111"/>
  <c r="C27" i="111"/>
  <c r="V27" i="111" s="1"/>
  <c r="S26" i="111"/>
  <c r="R26" i="111"/>
  <c r="Q26" i="111"/>
  <c r="P26" i="111"/>
  <c r="O26" i="111"/>
  <c r="N26" i="111"/>
  <c r="M26" i="111"/>
  <c r="L26" i="111"/>
  <c r="K26" i="111"/>
  <c r="AD26" i="111" s="1"/>
  <c r="J26" i="111"/>
  <c r="I26" i="111"/>
  <c r="H26" i="111"/>
  <c r="G26" i="111"/>
  <c r="F26" i="111"/>
  <c r="E26" i="111"/>
  <c r="D26" i="111"/>
  <c r="C26" i="111"/>
  <c r="V26" i="111" s="1"/>
  <c r="S25" i="111"/>
  <c r="R25" i="111"/>
  <c r="Q25" i="111"/>
  <c r="P25" i="111"/>
  <c r="O25" i="111"/>
  <c r="N25" i="111"/>
  <c r="M25" i="111"/>
  <c r="L25" i="111"/>
  <c r="K25" i="111"/>
  <c r="AD25" i="111" s="1"/>
  <c r="J25" i="111"/>
  <c r="I25" i="111"/>
  <c r="H25" i="111"/>
  <c r="G25" i="111"/>
  <c r="F25" i="111"/>
  <c r="E25" i="111"/>
  <c r="D25" i="111"/>
  <c r="C25" i="111"/>
  <c r="V25" i="111" s="1"/>
  <c r="S24" i="111"/>
  <c r="R24" i="111"/>
  <c r="Q24" i="111"/>
  <c r="P24" i="111"/>
  <c r="O24" i="111"/>
  <c r="N24" i="111"/>
  <c r="M24" i="111"/>
  <c r="L24" i="111"/>
  <c r="K24" i="111"/>
  <c r="AD24" i="111" s="1"/>
  <c r="J24" i="111"/>
  <c r="I24" i="111"/>
  <c r="H24" i="111"/>
  <c r="G24" i="111"/>
  <c r="F24" i="111"/>
  <c r="E24" i="111"/>
  <c r="D24" i="111"/>
  <c r="C24" i="111"/>
  <c r="V24" i="111" s="1"/>
  <c r="S23" i="111"/>
  <c r="R23" i="111"/>
  <c r="Q23" i="111"/>
  <c r="P23" i="111"/>
  <c r="O23" i="111"/>
  <c r="N23" i="111"/>
  <c r="M23" i="111"/>
  <c r="L23" i="111"/>
  <c r="K23" i="111"/>
  <c r="AD23" i="111" s="1"/>
  <c r="J23" i="111"/>
  <c r="I23" i="111"/>
  <c r="H23" i="111"/>
  <c r="G23" i="111"/>
  <c r="F23" i="111"/>
  <c r="E23" i="111"/>
  <c r="D23" i="111"/>
  <c r="C23" i="111"/>
  <c r="V23" i="111" s="1"/>
  <c r="S18" i="111"/>
  <c r="R18" i="111"/>
  <c r="Q18" i="111"/>
  <c r="P18" i="111"/>
  <c r="O18" i="111"/>
  <c r="N18" i="111"/>
  <c r="M18" i="111"/>
  <c r="L18" i="111"/>
  <c r="K18" i="111"/>
  <c r="AD18" i="111" s="1"/>
  <c r="J18" i="111"/>
  <c r="I18" i="111"/>
  <c r="H18" i="111"/>
  <c r="G18" i="111"/>
  <c r="F18" i="111"/>
  <c r="E18" i="111"/>
  <c r="D18" i="111"/>
  <c r="C18" i="111"/>
  <c r="V18" i="111" s="1"/>
  <c r="S17" i="111"/>
  <c r="R17" i="111"/>
  <c r="Q17" i="111"/>
  <c r="P17" i="111"/>
  <c r="O17" i="111"/>
  <c r="N17" i="111"/>
  <c r="M17" i="111"/>
  <c r="L17" i="111"/>
  <c r="K17" i="111"/>
  <c r="AD17" i="111" s="1"/>
  <c r="J17" i="111"/>
  <c r="I17" i="111"/>
  <c r="H17" i="111"/>
  <c r="G17" i="111"/>
  <c r="F17" i="111"/>
  <c r="E17" i="111"/>
  <c r="D17" i="111"/>
  <c r="C17" i="111"/>
  <c r="V17" i="111" s="1"/>
  <c r="S16" i="111"/>
  <c r="R16" i="111"/>
  <c r="Q16" i="111"/>
  <c r="P16" i="111"/>
  <c r="O16" i="111"/>
  <c r="N16" i="111"/>
  <c r="M16" i="111"/>
  <c r="L16" i="111"/>
  <c r="K16" i="111"/>
  <c r="AD16" i="111" s="1"/>
  <c r="J16" i="111"/>
  <c r="I16" i="111"/>
  <c r="H16" i="111"/>
  <c r="G16" i="111"/>
  <c r="F16" i="111"/>
  <c r="E16" i="111"/>
  <c r="D16" i="111"/>
  <c r="C16" i="111"/>
  <c r="V16" i="111" s="1"/>
  <c r="S15" i="111"/>
  <c r="R15" i="111"/>
  <c r="Q15" i="111"/>
  <c r="P15" i="111"/>
  <c r="O15" i="111"/>
  <c r="N15" i="111"/>
  <c r="M15" i="111"/>
  <c r="L15" i="111"/>
  <c r="K15" i="111"/>
  <c r="AD15" i="111" s="1"/>
  <c r="J15" i="111"/>
  <c r="I15" i="111"/>
  <c r="H15" i="111"/>
  <c r="G15" i="111"/>
  <c r="F15" i="111"/>
  <c r="E15" i="111"/>
  <c r="D15" i="111"/>
  <c r="C15" i="111"/>
  <c r="V15" i="111" s="1"/>
  <c r="S14" i="111"/>
  <c r="R14" i="111"/>
  <c r="Q14" i="111"/>
  <c r="P14" i="111"/>
  <c r="O14" i="111"/>
  <c r="N14" i="111"/>
  <c r="M14" i="111"/>
  <c r="L14" i="111"/>
  <c r="K14" i="111"/>
  <c r="AD14" i="111" s="1"/>
  <c r="J14" i="111"/>
  <c r="I14" i="111"/>
  <c r="H14" i="111"/>
  <c r="G14" i="111"/>
  <c r="F14" i="111"/>
  <c r="E14" i="111"/>
  <c r="D14" i="111"/>
  <c r="C14" i="111"/>
  <c r="V14" i="111" s="1"/>
  <c r="S13" i="111"/>
  <c r="R13" i="111"/>
  <c r="Q13" i="111"/>
  <c r="P13" i="111"/>
  <c r="O13" i="111"/>
  <c r="N13" i="111"/>
  <c r="M13" i="111"/>
  <c r="L13" i="111"/>
  <c r="K13" i="111"/>
  <c r="AD13" i="111" s="1"/>
  <c r="J13" i="111"/>
  <c r="I13" i="111"/>
  <c r="H13" i="111"/>
  <c r="G13" i="111"/>
  <c r="F13" i="111"/>
  <c r="E13" i="111"/>
  <c r="D13" i="111"/>
  <c r="C13" i="111"/>
  <c r="V13" i="111" s="1"/>
  <c r="S12" i="111"/>
  <c r="R12" i="111"/>
  <c r="Q12" i="111"/>
  <c r="P12" i="111"/>
  <c r="O12" i="111"/>
  <c r="N12" i="111"/>
  <c r="M12" i="111"/>
  <c r="L12" i="111"/>
  <c r="K12" i="111"/>
  <c r="AD12" i="111" s="1"/>
  <c r="J12" i="111"/>
  <c r="I12" i="111"/>
  <c r="H12" i="111"/>
  <c r="G12" i="111"/>
  <c r="F12" i="111"/>
  <c r="E12" i="111"/>
  <c r="D12" i="111"/>
  <c r="C12" i="111"/>
  <c r="V12" i="111" s="1"/>
  <c r="S11" i="111"/>
  <c r="R11" i="111"/>
  <c r="Q11" i="111"/>
  <c r="P11" i="111"/>
  <c r="O11" i="111"/>
  <c r="N11" i="111"/>
  <c r="M11" i="111"/>
  <c r="L11" i="111"/>
  <c r="K11" i="111"/>
  <c r="AD11" i="111" s="1"/>
  <c r="J11" i="111"/>
  <c r="I11" i="111"/>
  <c r="H11" i="111"/>
  <c r="G11" i="111"/>
  <c r="F11" i="111"/>
  <c r="E11" i="111"/>
  <c r="D11" i="111"/>
  <c r="C11" i="111"/>
  <c r="V11" i="111" s="1"/>
  <c r="S10" i="111"/>
  <c r="R10" i="111"/>
  <c r="Q10" i="111"/>
  <c r="P10" i="111"/>
  <c r="O10" i="111"/>
  <c r="N10" i="111"/>
  <c r="M10" i="111"/>
  <c r="L10" i="111"/>
  <c r="K10" i="111"/>
  <c r="AD10" i="111" s="1"/>
  <c r="J10" i="111"/>
  <c r="I10" i="111"/>
  <c r="H10" i="111"/>
  <c r="G10" i="111"/>
  <c r="F10" i="111"/>
  <c r="E10" i="111"/>
  <c r="D10" i="111"/>
  <c r="C10" i="111"/>
  <c r="V10" i="111" s="1"/>
  <c r="S9" i="111"/>
  <c r="R9" i="111"/>
  <c r="Q9" i="111"/>
  <c r="P9" i="111"/>
  <c r="O9" i="111"/>
  <c r="N9" i="111"/>
  <c r="M9" i="111"/>
  <c r="L9" i="111"/>
  <c r="K9" i="111"/>
  <c r="AD9" i="111" s="1"/>
  <c r="J9" i="111"/>
  <c r="I9" i="111"/>
  <c r="H9" i="111"/>
  <c r="G9" i="111"/>
  <c r="F9" i="111"/>
  <c r="E9" i="111"/>
  <c r="D9" i="111"/>
  <c r="C9" i="111"/>
  <c r="V9" i="111" s="1"/>
  <c r="S8" i="111"/>
  <c r="R8" i="111"/>
  <c r="Q8" i="111"/>
  <c r="P8" i="111"/>
  <c r="O8" i="111"/>
  <c r="N8" i="111"/>
  <c r="M8" i="111"/>
  <c r="L8" i="111"/>
  <c r="K8" i="111"/>
  <c r="AD8" i="111" s="1"/>
  <c r="J8" i="111"/>
  <c r="I8" i="111"/>
  <c r="H8" i="111"/>
  <c r="G8" i="111"/>
  <c r="F8" i="111"/>
  <c r="E8" i="111"/>
  <c r="D8" i="111"/>
  <c r="C8" i="111"/>
  <c r="V8" i="111" s="1"/>
  <c r="S7" i="111"/>
  <c r="R7" i="111"/>
  <c r="Q7" i="111"/>
  <c r="P7" i="111"/>
  <c r="O7" i="111"/>
  <c r="N7" i="111"/>
  <c r="M7" i="111"/>
  <c r="L7" i="111"/>
  <c r="K7" i="111"/>
  <c r="AD7" i="111" s="1"/>
  <c r="J7" i="111"/>
  <c r="I7" i="111"/>
  <c r="H7" i="111"/>
  <c r="G7" i="111"/>
  <c r="F7" i="111"/>
  <c r="E7" i="111"/>
  <c r="D7" i="111"/>
  <c r="C7" i="111"/>
  <c r="V7" i="111" s="1"/>
  <c r="S6" i="111"/>
  <c r="R6" i="111"/>
  <c r="Q6" i="111"/>
  <c r="P6" i="111"/>
  <c r="O6" i="111"/>
  <c r="N6" i="111"/>
  <c r="M6" i="111"/>
  <c r="L6" i="111"/>
  <c r="K6" i="111"/>
  <c r="AD6" i="111" s="1"/>
  <c r="J6" i="111"/>
  <c r="I6" i="111"/>
  <c r="H6" i="111"/>
  <c r="G6" i="111"/>
  <c r="F6" i="111"/>
  <c r="E6" i="111"/>
  <c r="D6" i="111"/>
  <c r="C6" i="111"/>
  <c r="V6" i="111" s="1"/>
  <c r="T212" i="100"/>
  <c r="S212" i="100"/>
  <c r="R212" i="100"/>
  <c r="Q212" i="100"/>
  <c r="P212" i="100"/>
  <c r="O212" i="100"/>
  <c r="N212" i="100"/>
  <c r="M212" i="100"/>
  <c r="L212" i="100"/>
  <c r="K212" i="100"/>
  <c r="J212" i="100"/>
  <c r="I212" i="100"/>
  <c r="H212" i="100"/>
  <c r="G212" i="100"/>
  <c r="F212" i="100"/>
  <c r="E212" i="100"/>
  <c r="D212" i="100"/>
  <c r="T210" i="100"/>
  <c r="S210" i="100"/>
  <c r="R210" i="100"/>
  <c r="Q210" i="100"/>
  <c r="P210" i="100"/>
  <c r="O210" i="100"/>
  <c r="AJ210" i="100" s="1"/>
  <c r="N210" i="100"/>
  <c r="M210" i="100"/>
  <c r="L210" i="100"/>
  <c r="K210" i="100"/>
  <c r="J210" i="100"/>
  <c r="I210" i="100"/>
  <c r="H210" i="100"/>
  <c r="G210" i="100"/>
  <c r="AB210" i="100" s="1"/>
  <c r="F210" i="100"/>
  <c r="E210" i="100"/>
  <c r="D210" i="100"/>
  <c r="T209" i="100"/>
  <c r="S209" i="100"/>
  <c r="R209" i="100"/>
  <c r="Q209" i="100"/>
  <c r="P209" i="100"/>
  <c r="O209" i="100"/>
  <c r="N209" i="100"/>
  <c r="M209" i="100"/>
  <c r="L209" i="100"/>
  <c r="K209" i="100"/>
  <c r="J209" i="100"/>
  <c r="I209" i="100"/>
  <c r="H209" i="100"/>
  <c r="G209" i="100"/>
  <c r="F209" i="100"/>
  <c r="E209" i="100"/>
  <c r="D209" i="100"/>
  <c r="T208" i="100"/>
  <c r="S208" i="100"/>
  <c r="R208" i="100"/>
  <c r="Q208" i="100"/>
  <c r="P208" i="100"/>
  <c r="O208" i="100"/>
  <c r="N208" i="100"/>
  <c r="M208" i="100"/>
  <c r="L208" i="100"/>
  <c r="K208" i="100"/>
  <c r="J208" i="100"/>
  <c r="I208" i="100"/>
  <c r="H208" i="100"/>
  <c r="G208" i="100"/>
  <c r="F208" i="100"/>
  <c r="E208" i="100"/>
  <c r="D208" i="100"/>
  <c r="T207" i="100"/>
  <c r="S207" i="100"/>
  <c r="R207" i="100"/>
  <c r="Q207" i="100"/>
  <c r="P207" i="100"/>
  <c r="O207" i="100"/>
  <c r="N207" i="100"/>
  <c r="M207" i="100"/>
  <c r="L207" i="100"/>
  <c r="K207" i="100"/>
  <c r="J207" i="100"/>
  <c r="I207" i="100"/>
  <c r="H207" i="100"/>
  <c r="G207" i="100"/>
  <c r="F207" i="100"/>
  <c r="E207" i="100"/>
  <c r="D207" i="100"/>
  <c r="T205" i="100"/>
  <c r="S205" i="100"/>
  <c r="R205" i="100"/>
  <c r="Q205" i="100"/>
  <c r="P205" i="100"/>
  <c r="O205" i="100"/>
  <c r="N205" i="100"/>
  <c r="M205" i="100"/>
  <c r="L205" i="100"/>
  <c r="K205" i="100"/>
  <c r="J205" i="100"/>
  <c r="I205" i="100"/>
  <c r="H205" i="100"/>
  <c r="G205" i="100"/>
  <c r="F205" i="100"/>
  <c r="E205" i="100"/>
  <c r="D205" i="100"/>
  <c r="T204" i="100"/>
  <c r="E204" i="100"/>
  <c r="D204" i="100"/>
  <c r="T203" i="100"/>
  <c r="E203" i="100"/>
  <c r="D203" i="100"/>
  <c r="T202" i="100"/>
  <c r="S202" i="100"/>
  <c r="R202" i="100"/>
  <c r="Q202" i="100"/>
  <c r="P202" i="100"/>
  <c r="O202" i="100"/>
  <c r="N202" i="100"/>
  <c r="M202" i="100"/>
  <c r="L202" i="100"/>
  <c r="K202" i="100"/>
  <c r="J202" i="100"/>
  <c r="I202" i="100"/>
  <c r="H202" i="100"/>
  <c r="G202" i="100"/>
  <c r="F202" i="100"/>
  <c r="E202" i="100"/>
  <c r="D202" i="100"/>
  <c r="T200" i="100"/>
  <c r="S200" i="100"/>
  <c r="R200" i="100"/>
  <c r="Q200" i="100"/>
  <c r="P200" i="100"/>
  <c r="O200" i="100"/>
  <c r="N200" i="100"/>
  <c r="M200" i="100"/>
  <c r="L200" i="100"/>
  <c r="K200" i="100"/>
  <c r="J200" i="100"/>
  <c r="I200" i="100"/>
  <c r="H200" i="100"/>
  <c r="G200" i="100"/>
  <c r="F200" i="100"/>
  <c r="E200" i="100"/>
  <c r="D200" i="100"/>
  <c r="T199" i="100"/>
  <c r="E199" i="100"/>
  <c r="D199" i="100"/>
  <c r="T198" i="100"/>
  <c r="E198" i="100"/>
  <c r="D198" i="100"/>
  <c r="T197" i="100"/>
  <c r="S197" i="100"/>
  <c r="R197" i="100"/>
  <c r="Q197" i="100"/>
  <c r="P197" i="100"/>
  <c r="O197" i="100"/>
  <c r="N197" i="100"/>
  <c r="M197" i="100"/>
  <c r="L197" i="100"/>
  <c r="K197" i="100"/>
  <c r="J197" i="100"/>
  <c r="I197" i="100"/>
  <c r="H197" i="100"/>
  <c r="G197" i="100"/>
  <c r="F197" i="100"/>
  <c r="E197" i="100"/>
  <c r="D197" i="100"/>
  <c r="T195" i="100"/>
  <c r="S195" i="100"/>
  <c r="AN195" i="100" s="1"/>
  <c r="R195" i="100"/>
  <c r="Q195" i="100"/>
  <c r="P195" i="100"/>
  <c r="O195" i="100"/>
  <c r="N195" i="100"/>
  <c r="M195" i="100"/>
  <c r="L195" i="100"/>
  <c r="K195" i="100"/>
  <c r="AF195" i="100" s="1"/>
  <c r="J195" i="100"/>
  <c r="I195" i="100"/>
  <c r="H195" i="100"/>
  <c r="G195" i="100"/>
  <c r="F195" i="100"/>
  <c r="E195" i="100"/>
  <c r="D195" i="100"/>
  <c r="T194" i="100"/>
  <c r="S194" i="100"/>
  <c r="R194" i="100"/>
  <c r="Q194" i="100"/>
  <c r="P194" i="100"/>
  <c r="O194" i="100"/>
  <c r="N194" i="100"/>
  <c r="M194" i="100"/>
  <c r="L194" i="100"/>
  <c r="K194" i="100"/>
  <c r="J194" i="100"/>
  <c r="I194" i="100"/>
  <c r="H194" i="100"/>
  <c r="G194" i="100"/>
  <c r="F194" i="100"/>
  <c r="E194" i="100"/>
  <c r="D194" i="100"/>
  <c r="T193" i="100"/>
  <c r="S193" i="100"/>
  <c r="R193" i="100"/>
  <c r="Q193" i="100"/>
  <c r="P193" i="100"/>
  <c r="O193" i="100"/>
  <c r="N193" i="100"/>
  <c r="M193" i="100"/>
  <c r="L193" i="100"/>
  <c r="K193" i="100"/>
  <c r="J193" i="100"/>
  <c r="I193" i="100"/>
  <c r="H193" i="100"/>
  <c r="G193" i="100"/>
  <c r="F193" i="100"/>
  <c r="E193" i="100"/>
  <c r="D193" i="100"/>
  <c r="T192" i="100"/>
  <c r="S192" i="100"/>
  <c r="R192" i="100"/>
  <c r="Q192" i="100"/>
  <c r="P192" i="100"/>
  <c r="O192" i="100"/>
  <c r="N192" i="100"/>
  <c r="M192" i="100"/>
  <c r="L192" i="100"/>
  <c r="K192" i="100"/>
  <c r="J192" i="100"/>
  <c r="I192" i="100"/>
  <c r="H192" i="100"/>
  <c r="G192" i="100"/>
  <c r="F192" i="100"/>
  <c r="E192" i="100"/>
  <c r="D192" i="100"/>
  <c r="T190" i="100"/>
  <c r="S190" i="100"/>
  <c r="R190" i="100"/>
  <c r="Q190" i="100"/>
  <c r="P190" i="100"/>
  <c r="O190" i="100"/>
  <c r="AJ190" i="100" s="1"/>
  <c r="N190" i="100"/>
  <c r="M190" i="100"/>
  <c r="L190" i="100"/>
  <c r="K190" i="100"/>
  <c r="J190" i="100"/>
  <c r="I190" i="100"/>
  <c r="H190" i="100"/>
  <c r="G190" i="100"/>
  <c r="AB190" i="100" s="1"/>
  <c r="F190" i="100"/>
  <c r="E190" i="100"/>
  <c r="D190" i="100"/>
  <c r="T189" i="100"/>
  <c r="S189" i="100"/>
  <c r="R189" i="100"/>
  <c r="Q189" i="100"/>
  <c r="P189" i="100"/>
  <c r="O189" i="100"/>
  <c r="N189" i="100"/>
  <c r="M189" i="100"/>
  <c r="L189" i="100"/>
  <c r="K189" i="100"/>
  <c r="J189" i="100"/>
  <c r="I189" i="100"/>
  <c r="H189" i="100"/>
  <c r="G189" i="100"/>
  <c r="F189" i="100"/>
  <c r="E189" i="100"/>
  <c r="D189" i="100"/>
  <c r="T188" i="100"/>
  <c r="S188" i="100"/>
  <c r="R188" i="100"/>
  <c r="Q188" i="100"/>
  <c r="P188" i="100"/>
  <c r="O188" i="100"/>
  <c r="N188" i="100"/>
  <c r="M188" i="100"/>
  <c r="L188" i="100"/>
  <c r="K188" i="100"/>
  <c r="J188" i="100"/>
  <c r="I188" i="100"/>
  <c r="H188" i="100"/>
  <c r="G188" i="100"/>
  <c r="F188" i="100"/>
  <c r="E188" i="100"/>
  <c r="D188" i="100"/>
  <c r="T187" i="100"/>
  <c r="S187" i="100"/>
  <c r="R187" i="100"/>
  <c r="Q187" i="100"/>
  <c r="P187" i="100"/>
  <c r="O187" i="100"/>
  <c r="N187" i="100"/>
  <c r="M187" i="100"/>
  <c r="L187" i="100"/>
  <c r="K187" i="100"/>
  <c r="J187" i="100"/>
  <c r="I187" i="100"/>
  <c r="H187" i="100"/>
  <c r="G187" i="100"/>
  <c r="F187" i="100"/>
  <c r="E187" i="100"/>
  <c r="D187" i="100"/>
  <c r="T185" i="100"/>
  <c r="S185" i="100"/>
  <c r="AN185" i="100" s="1"/>
  <c r="R185" i="100"/>
  <c r="Q185" i="100"/>
  <c r="P185" i="100"/>
  <c r="O185" i="100"/>
  <c r="N185" i="100"/>
  <c r="M185" i="100"/>
  <c r="L185" i="100"/>
  <c r="K185" i="100"/>
  <c r="AF185" i="100" s="1"/>
  <c r="J185" i="100"/>
  <c r="I185" i="100"/>
  <c r="H185" i="100"/>
  <c r="G185" i="100"/>
  <c r="F185" i="100"/>
  <c r="E185" i="100"/>
  <c r="D185" i="100"/>
  <c r="T184" i="100"/>
  <c r="S184" i="100"/>
  <c r="R184" i="100"/>
  <c r="Q184" i="100"/>
  <c r="P184" i="100"/>
  <c r="O184" i="100"/>
  <c r="N184" i="100"/>
  <c r="M184" i="100"/>
  <c r="L184" i="100"/>
  <c r="K184" i="100"/>
  <c r="J184" i="100"/>
  <c r="I184" i="100"/>
  <c r="H184" i="100"/>
  <c r="G184" i="100"/>
  <c r="F184" i="100"/>
  <c r="E184" i="100"/>
  <c r="D184" i="100"/>
  <c r="T183" i="100"/>
  <c r="S183" i="100"/>
  <c r="R183" i="100"/>
  <c r="Q183" i="100"/>
  <c r="P183" i="100"/>
  <c r="O183" i="100"/>
  <c r="N183" i="100"/>
  <c r="M183" i="100"/>
  <c r="L183" i="100"/>
  <c r="K183" i="100"/>
  <c r="J183" i="100"/>
  <c r="I183" i="100"/>
  <c r="H183" i="100"/>
  <c r="G183" i="100"/>
  <c r="F183" i="100"/>
  <c r="E183" i="100"/>
  <c r="D183" i="100"/>
  <c r="T182" i="100"/>
  <c r="S182" i="100"/>
  <c r="R182" i="100"/>
  <c r="Q182" i="100"/>
  <c r="P182" i="100"/>
  <c r="O182" i="100"/>
  <c r="N182" i="100"/>
  <c r="M182" i="100"/>
  <c r="L182" i="100"/>
  <c r="K182" i="100"/>
  <c r="J182" i="100"/>
  <c r="I182" i="100"/>
  <c r="H182" i="100"/>
  <c r="G182" i="100"/>
  <c r="F182" i="100"/>
  <c r="E182" i="100"/>
  <c r="D182" i="100"/>
  <c r="T180" i="100"/>
  <c r="S180" i="100"/>
  <c r="R180" i="100"/>
  <c r="Q180" i="100"/>
  <c r="P180" i="100"/>
  <c r="O180" i="100"/>
  <c r="AJ180" i="100" s="1"/>
  <c r="N180" i="100"/>
  <c r="M180" i="100"/>
  <c r="L180" i="100"/>
  <c r="K180" i="100"/>
  <c r="J180" i="100"/>
  <c r="I180" i="100"/>
  <c r="H180" i="100"/>
  <c r="G180" i="100"/>
  <c r="AB180" i="100" s="1"/>
  <c r="F180" i="100"/>
  <c r="E180" i="100"/>
  <c r="D180" i="100"/>
  <c r="T179" i="100"/>
  <c r="S179" i="100"/>
  <c r="R179" i="100"/>
  <c r="Q179" i="100"/>
  <c r="P179" i="100"/>
  <c r="O179" i="100"/>
  <c r="N179" i="100"/>
  <c r="M179" i="100"/>
  <c r="L179" i="100"/>
  <c r="K179" i="100"/>
  <c r="J179" i="100"/>
  <c r="I179" i="100"/>
  <c r="H179" i="100"/>
  <c r="G179" i="100"/>
  <c r="F179" i="100"/>
  <c r="E179" i="100"/>
  <c r="D179" i="100"/>
  <c r="T178" i="100"/>
  <c r="S178" i="100"/>
  <c r="R178" i="100"/>
  <c r="Q178" i="100"/>
  <c r="P178" i="100"/>
  <c r="O178" i="100"/>
  <c r="N178" i="100"/>
  <c r="M178" i="100"/>
  <c r="L178" i="100"/>
  <c r="K178" i="100"/>
  <c r="J178" i="100"/>
  <c r="I178" i="100"/>
  <c r="H178" i="100"/>
  <c r="G178" i="100"/>
  <c r="F178" i="100"/>
  <c r="E178" i="100"/>
  <c r="D178" i="100"/>
  <c r="T177" i="100"/>
  <c r="S177" i="100"/>
  <c r="R177" i="100"/>
  <c r="Q177" i="100"/>
  <c r="P177" i="100"/>
  <c r="O177" i="100"/>
  <c r="N177" i="100"/>
  <c r="M177" i="100"/>
  <c r="L177" i="100"/>
  <c r="K177" i="100"/>
  <c r="J177" i="100"/>
  <c r="I177" i="100"/>
  <c r="H177" i="100"/>
  <c r="G177" i="100"/>
  <c r="F177" i="100"/>
  <c r="E177" i="100"/>
  <c r="D177" i="100"/>
  <c r="T175" i="100"/>
  <c r="S175" i="100"/>
  <c r="AN175" i="100" s="1"/>
  <c r="R175" i="100"/>
  <c r="Q175" i="100"/>
  <c r="P175" i="100"/>
  <c r="O175" i="100"/>
  <c r="N175" i="100"/>
  <c r="M175" i="100"/>
  <c r="L175" i="100"/>
  <c r="K175" i="100"/>
  <c r="AF175" i="100" s="1"/>
  <c r="J175" i="100"/>
  <c r="I175" i="100"/>
  <c r="H175" i="100"/>
  <c r="G175" i="100"/>
  <c r="F175" i="100"/>
  <c r="E175" i="100"/>
  <c r="D175" i="100"/>
  <c r="T174" i="100"/>
  <c r="S174" i="100"/>
  <c r="R174" i="100"/>
  <c r="Q174" i="100"/>
  <c r="P174" i="100"/>
  <c r="O174" i="100"/>
  <c r="N174" i="100"/>
  <c r="M174" i="100"/>
  <c r="L174" i="100"/>
  <c r="K174" i="100"/>
  <c r="J174" i="100"/>
  <c r="I174" i="100"/>
  <c r="H174" i="100"/>
  <c r="G174" i="100"/>
  <c r="F174" i="100"/>
  <c r="E174" i="100"/>
  <c r="D174" i="100"/>
  <c r="T173" i="100"/>
  <c r="S173" i="100"/>
  <c r="R173" i="100"/>
  <c r="Q173" i="100"/>
  <c r="P173" i="100"/>
  <c r="O173" i="100"/>
  <c r="N173" i="100"/>
  <c r="M173" i="100"/>
  <c r="L173" i="100"/>
  <c r="K173" i="100"/>
  <c r="J173" i="100"/>
  <c r="I173" i="100"/>
  <c r="H173" i="100"/>
  <c r="G173" i="100"/>
  <c r="F173" i="100"/>
  <c r="E173" i="100"/>
  <c r="D173" i="100"/>
  <c r="T172" i="100"/>
  <c r="S172" i="100"/>
  <c r="R172" i="100"/>
  <c r="Q172" i="100"/>
  <c r="P172" i="100"/>
  <c r="O172" i="100"/>
  <c r="N172" i="100"/>
  <c r="M172" i="100"/>
  <c r="L172" i="100"/>
  <c r="K172" i="100"/>
  <c r="J172" i="100"/>
  <c r="I172" i="100"/>
  <c r="H172" i="100"/>
  <c r="G172" i="100"/>
  <c r="F172" i="100"/>
  <c r="E172" i="100"/>
  <c r="D172" i="100"/>
  <c r="T170" i="100"/>
  <c r="S170" i="100"/>
  <c r="R170" i="100"/>
  <c r="Q170" i="100"/>
  <c r="P170" i="100"/>
  <c r="O170" i="100"/>
  <c r="AJ170" i="100" s="1"/>
  <c r="N170" i="100"/>
  <c r="M170" i="100"/>
  <c r="L170" i="100"/>
  <c r="K170" i="100"/>
  <c r="J170" i="100"/>
  <c r="I170" i="100"/>
  <c r="H170" i="100"/>
  <c r="G170" i="100"/>
  <c r="AB170" i="100" s="1"/>
  <c r="F170" i="100"/>
  <c r="E170" i="100"/>
  <c r="D170" i="100"/>
  <c r="T169" i="100"/>
  <c r="S169" i="100"/>
  <c r="R169" i="100"/>
  <c r="Q169" i="100"/>
  <c r="P169" i="100"/>
  <c r="O169" i="100"/>
  <c r="N169" i="100"/>
  <c r="M169" i="100"/>
  <c r="L169" i="100"/>
  <c r="K169" i="100"/>
  <c r="J169" i="100"/>
  <c r="I169" i="100"/>
  <c r="H169" i="100"/>
  <c r="G169" i="100"/>
  <c r="F169" i="100"/>
  <c r="E169" i="100"/>
  <c r="D169" i="100"/>
  <c r="T168" i="100"/>
  <c r="S168" i="100"/>
  <c r="R168" i="100"/>
  <c r="Q168" i="100"/>
  <c r="P168" i="100"/>
  <c r="O168" i="100"/>
  <c r="N168" i="100"/>
  <c r="M168" i="100"/>
  <c r="L168" i="100"/>
  <c r="K168" i="100"/>
  <c r="J168" i="100"/>
  <c r="I168" i="100"/>
  <c r="H168" i="100"/>
  <c r="G168" i="100"/>
  <c r="F168" i="100"/>
  <c r="E168" i="100"/>
  <c r="D168" i="100"/>
  <c r="T167" i="100"/>
  <c r="S167" i="100"/>
  <c r="R167" i="100"/>
  <c r="Q167" i="100"/>
  <c r="P167" i="100"/>
  <c r="O167" i="100"/>
  <c r="N167" i="100"/>
  <c r="M167" i="100"/>
  <c r="L167" i="100"/>
  <c r="K167" i="100"/>
  <c r="J167" i="100"/>
  <c r="I167" i="100"/>
  <c r="H167" i="100"/>
  <c r="G167" i="100"/>
  <c r="F167" i="100"/>
  <c r="E167" i="100"/>
  <c r="D167" i="100"/>
  <c r="T165" i="100"/>
  <c r="S165" i="100"/>
  <c r="AN165" i="100" s="1"/>
  <c r="R165" i="100"/>
  <c r="Q165" i="100"/>
  <c r="P165" i="100"/>
  <c r="O165" i="100"/>
  <c r="N165" i="100"/>
  <c r="M165" i="100"/>
  <c r="L165" i="100"/>
  <c r="K165" i="100"/>
  <c r="AF165" i="100" s="1"/>
  <c r="J165" i="100"/>
  <c r="I165" i="100"/>
  <c r="H165" i="100"/>
  <c r="G165" i="100"/>
  <c r="F165" i="100"/>
  <c r="E165" i="100"/>
  <c r="D165" i="100"/>
  <c r="T164" i="100"/>
  <c r="S164" i="100"/>
  <c r="R164" i="100"/>
  <c r="Q164" i="100"/>
  <c r="P164" i="100"/>
  <c r="O164" i="100"/>
  <c r="N164" i="100"/>
  <c r="M164" i="100"/>
  <c r="L164" i="100"/>
  <c r="K164" i="100"/>
  <c r="J164" i="100"/>
  <c r="I164" i="100"/>
  <c r="H164" i="100"/>
  <c r="G164" i="100"/>
  <c r="F164" i="100"/>
  <c r="E164" i="100"/>
  <c r="D164" i="100"/>
  <c r="T163" i="100"/>
  <c r="S163" i="100"/>
  <c r="R163" i="100"/>
  <c r="Q163" i="100"/>
  <c r="P163" i="100"/>
  <c r="O163" i="100"/>
  <c r="N163" i="100"/>
  <c r="M163" i="100"/>
  <c r="L163" i="100"/>
  <c r="K163" i="100"/>
  <c r="J163" i="100"/>
  <c r="I163" i="100"/>
  <c r="H163" i="100"/>
  <c r="G163" i="100"/>
  <c r="F163" i="100"/>
  <c r="E163" i="100"/>
  <c r="D163" i="100"/>
  <c r="T162" i="100"/>
  <c r="S162" i="100"/>
  <c r="R162" i="100"/>
  <c r="Q162" i="100"/>
  <c r="P162" i="100"/>
  <c r="O162" i="100"/>
  <c r="N162" i="100"/>
  <c r="M162" i="100"/>
  <c r="L162" i="100"/>
  <c r="K162" i="100"/>
  <c r="J162" i="100"/>
  <c r="I162" i="100"/>
  <c r="H162" i="100"/>
  <c r="G162" i="100"/>
  <c r="F162" i="100"/>
  <c r="E162" i="100"/>
  <c r="D162" i="100"/>
  <c r="T160" i="100"/>
  <c r="S160" i="100"/>
  <c r="R160" i="100"/>
  <c r="Q160" i="100"/>
  <c r="P160" i="100"/>
  <c r="O160" i="100"/>
  <c r="AJ160" i="100" s="1"/>
  <c r="N160" i="100"/>
  <c r="M160" i="100"/>
  <c r="L160" i="100"/>
  <c r="K160" i="100"/>
  <c r="J160" i="100"/>
  <c r="I160" i="100"/>
  <c r="H160" i="100"/>
  <c r="G160" i="100"/>
  <c r="AB160" i="100" s="1"/>
  <c r="F160" i="100"/>
  <c r="E160" i="100"/>
  <c r="D160" i="100"/>
  <c r="T159" i="100"/>
  <c r="S159" i="100"/>
  <c r="R159" i="100"/>
  <c r="Q159" i="100"/>
  <c r="P159" i="100"/>
  <c r="O159" i="100"/>
  <c r="N159" i="100"/>
  <c r="M159" i="100"/>
  <c r="L159" i="100"/>
  <c r="K159" i="100"/>
  <c r="J159" i="100"/>
  <c r="I159" i="100"/>
  <c r="H159" i="100"/>
  <c r="G159" i="100"/>
  <c r="F159" i="100"/>
  <c r="E159" i="100"/>
  <c r="D159" i="100"/>
  <c r="T158" i="100"/>
  <c r="S158" i="100"/>
  <c r="R158" i="100"/>
  <c r="Q158" i="100"/>
  <c r="P158" i="100"/>
  <c r="O158" i="100"/>
  <c r="N158" i="100"/>
  <c r="M158" i="100"/>
  <c r="L158" i="100"/>
  <c r="K158" i="100"/>
  <c r="J158" i="100"/>
  <c r="I158" i="100"/>
  <c r="H158" i="100"/>
  <c r="G158" i="100"/>
  <c r="F158" i="100"/>
  <c r="E158" i="100"/>
  <c r="D158" i="100"/>
  <c r="T157" i="100"/>
  <c r="S157" i="100"/>
  <c r="R157" i="100"/>
  <c r="Q157" i="100"/>
  <c r="P157" i="100"/>
  <c r="O157" i="100"/>
  <c r="N157" i="100"/>
  <c r="M157" i="100"/>
  <c r="L157" i="100"/>
  <c r="K157" i="100"/>
  <c r="J157" i="100"/>
  <c r="I157" i="100"/>
  <c r="H157" i="100"/>
  <c r="G157" i="100"/>
  <c r="F157" i="100"/>
  <c r="E157" i="100"/>
  <c r="D157" i="100"/>
  <c r="T155" i="100"/>
  <c r="S155" i="100"/>
  <c r="AN155" i="100" s="1"/>
  <c r="R155" i="100"/>
  <c r="Q155" i="100"/>
  <c r="P155" i="100"/>
  <c r="O155" i="100"/>
  <c r="N155" i="100"/>
  <c r="M155" i="100"/>
  <c r="L155" i="100"/>
  <c r="K155" i="100"/>
  <c r="AF155" i="100" s="1"/>
  <c r="J155" i="100"/>
  <c r="I155" i="100"/>
  <c r="H155" i="100"/>
  <c r="G155" i="100"/>
  <c r="F155" i="100"/>
  <c r="E155" i="100"/>
  <c r="D155" i="100"/>
  <c r="T154" i="100"/>
  <c r="S154" i="100"/>
  <c r="R154" i="100"/>
  <c r="Q154" i="100"/>
  <c r="P154" i="100"/>
  <c r="O154" i="100"/>
  <c r="N154" i="100"/>
  <c r="M154" i="100"/>
  <c r="L154" i="100"/>
  <c r="K154" i="100"/>
  <c r="J154" i="100"/>
  <c r="I154" i="100"/>
  <c r="H154" i="100"/>
  <c r="G154" i="100"/>
  <c r="F154" i="100"/>
  <c r="E154" i="100"/>
  <c r="D154" i="100"/>
  <c r="T153" i="100"/>
  <c r="S153" i="100"/>
  <c r="R153" i="100"/>
  <c r="Q153" i="100"/>
  <c r="P153" i="100"/>
  <c r="O153" i="100"/>
  <c r="N153" i="100"/>
  <c r="M153" i="100"/>
  <c r="L153" i="100"/>
  <c r="K153" i="100"/>
  <c r="J153" i="100"/>
  <c r="I153" i="100"/>
  <c r="H153" i="100"/>
  <c r="G153" i="100"/>
  <c r="F153" i="100"/>
  <c r="E153" i="100"/>
  <c r="D153" i="100"/>
  <c r="T152" i="100"/>
  <c r="S152" i="100"/>
  <c r="R152" i="100"/>
  <c r="Q152" i="100"/>
  <c r="P152" i="100"/>
  <c r="O152" i="100"/>
  <c r="N152" i="100"/>
  <c r="M152" i="100"/>
  <c r="L152" i="100"/>
  <c r="K152" i="100"/>
  <c r="J152" i="100"/>
  <c r="I152" i="100"/>
  <c r="H152" i="100"/>
  <c r="G152" i="100"/>
  <c r="F152" i="100"/>
  <c r="E152" i="100"/>
  <c r="D152" i="100"/>
  <c r="T150" i="100"/>
  <c r="S150" i="100"/>
  <c r="R150" i="100"/>
  <c r="Q150" i="100"/>
  <c r="P150" i="100"/>
  <c r="O150" i="100"/>
  <c r="AJ150" i="100" s="1"/>
  <c r="N150" i="100"/>
  <c r="M150" i="100"/>
  <c r="L150" i="100"/>
  <c r="K150" i="100"/>
  <c r="J150" i="100"/>
  <c r="I150" i="100"/>
  <c r="H150" i="100"/>
  <c r="G150" i="100"/>
  <c r="AB150" i="100" s="1"/>
  <c r="F150" i="100"/>
  <c r="E150" i="100"/>
  <c r="D150" i="100"/>
  <c r="T149" i="100"/>
  <c r="S149" i="100"/>
  <c r="R149" i="100"/>
  <c r="Q149" i="100"/>
  <c r="P149" i="100"/>
  <c r="O149" i="100"/>
  <c r="N149" i="100"/>
  <c r="M149" i="100"/>
  <c r="L149" i="100"/>
  <c r="K149" i="100"/>
  <c r="J149" i="100"/>
  <c r="I149" i="100"/>
  <c r="H149" i="100"/>
  <c r="G149" i="100"/>
  <c r="F149" i="100"/>
  <c r="E149" i="100"/>
  <c r="D149" i="100"/>
  <c r="T148" i="100"/>
  <c r="S148" i="100"/>
  <c r="R148" i="100"/>
  <c r="Q148" i="100"/>
  <c r="P148" i="100"/>
  <c r="O148" i="100"/>
  <c r="N148" i="100"/>
  <c r="M148" i="100"/>
  <c r="L148" i="100"/>
  <c r="K148" i="100"/>
  <c r="J148" i="100"/>
  <c r="I148" i="100"/>
  <c r="H148" i="100"/>
  <c r="G148" i="100"/>
  <c r="F148" i="100"/>
  <c r="E148" i="100"/>
  <c r="D148" i="100"/>
  <c r="T147" i="100"/>
  <c r="S147" i="100"/>
  <c r="R147" i="100"/>
  <c r="Q147" i="100"/>
  <c r="P147" i="100"/>
  <c r="O147" i="100"/>
  <c r="N147" i="100"/>
  <c r="M147" i="100"/>
  <c r="L147" i="100"/>
  <c r="K147" i="100"/>
  <c r="J147" i="100"/>
  <c r="I147" i="100"/>
  <c r="H147" i="100"/>
  <c r="G147" i="100"/>
  <c r="F147" i="100"/>
  <c r="E147" i="100"/>
  <c r="D147" i="100"/>
  <c r="T142" i="100"/>
  <c r="S142" i="100" a="1"/>
  <c r="S142" i="100" s="1"/>
  <c r="R142" i="100" a="1"/>
  <c r="R142" i="100" s="1"/>
  <c r="Q142" i="100" a="1"/>
  <c r="Q142" i="100" s="1"/>
  <c r="P142" i="100" a="1"/>
  <c r="P142" i="100" s="1"/>
  <c r="O142" i="100" a="1"/>
  <c r="O142" i="100" s="1"/>
  <c r="N142" i="100" a="1"/>
  <c r="N142" i="100" s="1"/>
  <c r="M142" i="100" a="1"/>
  <c r="M142" i="100" s="1"/>
  <c r="L142" i="100" a="1"/>
  <c r="L142" i="100" s="1"/>
  <c r="K142" i="100" a="1"/>
  <c r="K142" i="100" s="1"/>
  <c r="J142" i="100" a="1"/>
  <c r="J142" i="100" s="1"/>
  <c r="I142" i="100" a="1"/>
  <c r="I142" i="100" s="1"/>
  <c r="H142" i="100" a="1"/>
  <c r="H142" i="100" s="1"/>
  <c r="G142" i="100" a="1"/>
  <c r="G142" i="100" s="1"/>
  <c r="F142" i="100" a="1"/>
  <c r="F142" i="100" s="1"/>
  <c r="E142" i="100" a="1"/>
  <c r="E142" i="100" s="1"/>
  <c r="D142" i="100" a="1"/>
  <c r="D142" i="100" s="1"/>
  <c r="T140" i="100"/>
  <c r="S140" i="100"/>
  <c r="R140" i="100"/>
  <c r="Q140" i="100"/>
  <c r="P140" i="100"/>
  <c r="O140" i="100"/>
  <c r="N140" i="100"/>
  <c r="M140" i="100"/>
  <c r="L140" i="100"/>
  <c r="K140" i="100"/>
  <c r="J140" i="100"/>
  <c r="I140" i="100"/>
  <c r="H140" i="100"/>
  <c r="G140" i="100"/>
  <c r="F140" i="100"/>
  <c r="E140" i="100"/>
  <c r="D140" i="100"/>
  <c r="T139" i="100"/>
  <c r="S139" i="100" a="1"/>
  <c r="S139" i="100" s="1"/>
  <c r="R139" i="100" a="1"/>
  <c r="R139" i="100" s="1"/>
  <c r="Q139" i="100" a="1"/>
  <c r="Q139" i="100" s="1"/>
  <c r="P139" i="100" a="1"/>
  <c r="P139" i="100" s="1"/>
  <c r="O139" i="100" a="1"/>
  <c r="O139" i="100" s="1"/>
  <c r="N139" i="100" a="1"/>
  <c r="N139" i="100" s="1"/>
  <c r="M139" i="100" a="1"/>
  <c r="M139" i="100" s="1"/>
  <c r="L139" i="100" a="1"/>
  <c r="L139" i="100" s="1"/>
  <c r="K139" i="100" a="1"/>
  <c r="K139" i="100" s="1"/>
  <c r="J139" i="100" a="1"/>
  <c r="J139" i="100" s="1"/>
  <c r="I139" i="100" a="1"/>
  <c r="I139" i="100" s="1"/>
  <c r="H139" i="100" a="1"/>
  <c r="H139" i="100" s="1"/>
  <c r="G139" i="100" a="1"/>
  <c r="G139" i="100" s="1"/>
  <c r="F139" i="100" a="1"/>
  <c r="F139" i="100" s="1"/>
  <c r="E139" i="100" a="1"/>
  <c r="E139" i="100" s="1"/>
  <c r="D139" i="100" a="1"/>
  <c r="D139" i="100" s="1"/>
  <c r="T138" i="100"/>
  <c r="S138" i="100" a="1"/>
  <c r="S138" i="100" s="1"/>
  <c r="R138" i="100" a="1"/>
  <c r="R138" i="100" s="1"/>
  <c r="Q138" i="100" a="1"/>
  <c r="Q138" i="100" s="1"/>
  <c r="P138" i="100" a="1"/>
  <c r="P138" i="100" s="1"/>
  <c r="O138" i="100" a="1"/>
  <c r="O138" i="100" s="1"/>
  <c r="N138" i="100" a="1"/>
  <c r="N138" i="100" s="1"/>
  <c r="M138" i="100" a="1"/>
  <c r="M138" i="100" s="1"/>
  <c r="L138" i="100" a="1"/>
  <c r="L138" i="100" s="1"/>
  <c r="K138" i="100" a="1"/>
  <c r="K138" i="100" s="1"/>
  <c r="J138" i="100" a="1"/>
  <c r="J138" i="100" s="1"/>
  <c r="I138" i="100" a="1"/>
  <c r="I138" i="100" s="1"/>
  <c r="H138" i="100" a="1"/>
  <c r="H138" i="100" s="1"/>
  <c r="G138" i="100" a="1"/>
  <c r="G138" i="100" s="1"/>
  <c r="F138" i="100" a="1"/>
  <c r="F138" i="100" s="1"/>
  <c r="E138" i="100" a="1"/>
  <c r="E138" i="100" s="1"/>
  <c r="D138" i="100" a="1"/>
  <c r="D138" i="100" s="1"/>
  <c r="T137" i="100"/>
  <c r="S137" i="100" a="1"/>
  <c r="S137" i="100" s="1"/>
  <c r="R137" i="100" a="1"/>
  <c r="R137" i="100" s="1"/>
  <c r="Q137" i="100" a="1"/>
  <c r="Q137" i="100" s="1"/>
  <c r="P137" i="100" a="1"/>
  <c r="P137" i="100" s="1"/>
  <c r="O137" i="100" a="1"/>
  <c r="O137" i="100" s="1"/>
  <c r="N137" i="100" a="1"/>
  <c r="N137" i="100" s="1"/>
  <c r="M137" i="100" a="1"/>
  <c r="M137" i="100" s="1"/>
  <c r="L137" i="100" a="1"/>
  <c r="L137" i="100" s="1"/>
  <c r="K137" i="100" a="1"/>
  <c r="K137" i="100" s="1"/>
  <c r="J137" i="100" a="1"/>
  <c r="J137" i="100" s="1"/>
  <c r="I137" i="100" a="1"/>
  <c r="I137" i="100" s="1"/>
  <c r="H137" i="100" a="1"/>
  <c r="H137" i="100" s="1"/>
  <c r="G137" i="100" a="1"/>
  <c r="G137" i="100" s="1"/>
  <c r="F137" i="100" a="1"/>
  <c r="F137" i="100" s="1"/>
  <c r="E137" i="100" a="1"/>
  <c r="E137" i="100" s="1"/>
  <c r="D137" i="100" a="1"/>
  <c r="D137" i="100" s="1"/>
  <c r="T135" i="100" a="1"/>
  <c r="T135" i="100" s="1"/>
  <c r="S135" i="100" a="1"/>
  <c r="S135" i="100" s="1"/>
  <c r="R135" i="100" a="1"/>
  <c r="R135" i="100" s="1"/>
  <c r="Q135" i="100" a="1"/>
  <c r="Q135" i="100" s="1"/>
  <c r="P135" i="100" a="1"/>
  <c r="P135" i="100" s="1"/>
  <c r="O135" i="100" a="1"/>
  <c r="O135" i="100" s="1"/>
  <c r="N135" i="100" a="1"/>
  <c r="N135" i="100" s="1"/>
  <c r="M135" i="100" a="1"/>
  <c r="M135" i="100" s="1"/>
  <c r="L135" i="100" a="1"/>
  <c r="L135" i="100" s="1"/>
  <c r="K135" i="100" a="1"/>
  <c r="K135" i="100" s="1"/>
  <c r="J135" i="100" a="1"/>
  <c r="J135" i="100" s="1"/>
  <c r="I135" i="100" a="1"/>
  <c r="I135" i="100" s="1"/>
  <c r="H135" i="100" a="1"/>
  <c r="H135" i="100" s="1"/>
  <c r="G135" i="100" a="1"/>
  <c r="G135" i="100" s="1"/>
  <c r="F135" i="100" a="1"/>
  <c r="F135" i="100" s="1"/>
  <c r="E135" i="100" a="1"/>
  <c r="E135" i="100" s="1"/>
  <c r="D135" i="100" a="1"/>
  <c r="D135" i="100" s="1"/>
  <c r="T134" i="100" a="1"/>
  <c r="T134" i="100" s="1"/>
  <c r="S134" i="100" a="1"/>
  <c r="S134" i="100" s="1"/>
  <c r="R134" i="100" a="1"/>
  <c r="R134" i="100" s="1"/>
  <c r="Q134" i="100" a="1"/>
  <c r="Q134" i="100" s="1"/>
  <c r="P134" i="100" a="1"/>
  <c r="P134" i="100" s="1"/>
  <c r="O134" i="100" a="1"/>
  <c r="O134" i="100" s="1"/>
  <c r="N134" i="100" a="1"/>
  <c r="N134" i="100" s="1"/>
  <c r="M134" i="100" a="1"/>
  <c r="M134" i="100" s="1"/>
  <c r="L134" i="100" a="1"/>
  <c r="L134" i="100" s="1"/>
  <c r="K134" i="100" a="1"/>
  <c r="K134" i="100" s="1"/>
  <c r="J134" i="100" a="1"/>
  <c r="J134" i="100" s="1"/>
  <c r="I134" i="100" a="1"/>
  <c r="I134" i="100" s="1"/>
  <c r="H134" i="100" a="1"/>
  <c r="H134" i="100" s="1"/>
  <c r="G134" i="100" a="1"/>
  <c r="G134" i="100" s="1"/>
  <c r="F134" i="100" a="1"/>
  <c r="F134" i="100" s="1"/>
  <c r="E134" i="100" a="1"/>
  <c r="E134" i="100" s="1"/>
  <c r="D134" i="100" a="1"/>
  <c r="D134" i="100" s="1"/>
  <c r="T133" i="100" a="1"/>
  <c r="T133" i="100" s="1"/>
  <c r="S133" i="100" a="1"/>
  <c r="S133" i="100" s="1"/>
  <c r="R133" i="100" a="1"/>
  <c r="R133" i="100" s="1"/>
  <c r="Q133" i="100" a="1"/>
  <c r="Q133" i="100" s="1"/>
  <c r="P133" i="100" a="1"/>
  <c r="P133" i="100" s="1"/>
  <c r="O133" i="100" a="1"/>
  <c r="O133" i="100" s="1"/>
  <c r="N133" i="100" a="1"/>
  <c r="N133" i="100" s="1"/>
  <c r="M133" i="100" a="1"/>
  <c r="M133" i="100" s="1"/>
  <c r="L133" i="100" a="1"/>
  <c r="L133" i="100" s="1"/>
  <c r="K133" i="100" a="1"/>
  <c r="K133" i="100" s="1"/>
  <c r="J133" i="100" a="1"/>
  <c r="J133" i="100" s="1"/>
  <c r="I133" i="100" a="1"/>
  <c r="I133" i="100" s="1"/>
  <c r="H133" i="100" a="1"/>
  <c r="H133" i="100" s="1"/>
  <c r="G133" i="100" a="1"/>
  <c r="G133" i="100" s="1"/>
  <c r="F133" i="100" a="1"/>
  <c r="F133" i="100" s="1"/>
  <c r="E133" i="100" a="1"/>
  <c r="E133" i="100" s="1"/>
  <c r="D133" i="100" a="1"/>
  <c r="D133" i="100" s="1"/>
  <c r="T132" i="100"/>
  <c r="S132" i="100" a="1"/>
  <c r="S132" i="100" s="1"/>
  <c r="R132" i="100" a="1"/>
  <c r="R132" i="100" s="1"/>
  <c r="Q132" i="100" a="1"/>
  <c r="Q132" i="100" s="1"/>
  <c r="P132" i="100" a="1"/>
  <c r="P132" i="100" s="1"/>
  <c r="O132" i="100" a="1"/>
  <c r="O132" i="100" s="1"/>
  <c r="N132" i="100" a="1"/>
  <c r="N132" i="100" s="1"/>
  <c r="M132" i="100" a="1"/>
  <c r="M132" i="100" s="1"/>
  <c r="L132" i="100" a="1"/>
  <c r="L132" i="100" s="1"/>
  <c r="K132" i="100" a="1"/>
  <c r="K132" i="100" s="1"/>
  <c r="J132" i="100" a="1"/>
  <c r="J132" i="100" s="1"/>
  <c r="I132" i="100" a="1"/>
  <c r="I132" i="100" s="1"/>
  <c r="H132" i="100" a="1"/>
  <c r="H132" i="100" s="1"/>
  <c r="G132" i="100" a="1"/>
  <c r="G132" i="100" s="1"/>
  <c r="F132" i="100" a="1"/>
  <c r="F132" i="100" s="1"/>
  <c r="E132" i="100" a="1"/>
  <c r="E132" i="100" s="1"/>
  <c r="D132" i="100" a="1"/>
  <c r="D132" i="100" s="1"/>
  <c r="T130" i="100" a="1"/>
  <c r="T130" i="100" s="1"/>
  <c r="S130" i="100" a="1"/>
  <c r="S130" i="100" s="1"/>
  <c r="R130" i="100" a="1"/>
  <c r="R130" i="100" s="1"/>
  <c r="Q130" i="100" a="1"/>
  <c r="Q130" i="100" s="1"/>
  <c r="P130" i="100" a="1"/>
  <c r="P130" i="100" s="1"/>
  <c r="O130" i="100" a="1"/>
  <c r="O130" i="100" s="1"/>
  <c r="N130" i="100" a="1"/>
  <c r="N130" i="100" s="1"/>
  <c r="M130" i="100" a="1"/>
  <c r="M130" i="100" s="1"/>
  <c r="L130" i="100" a="1"/>
  <c r="L130" i="100" s="1"/>
  <c r="K130" i="100" a="1"/>
  <c r="K130" i="100" s="1"/>
  <c r="J130" i="100" a="1"/>
  <c r="J130" i="100" s="1"/>
  <c r="I130" i="100" a="1"/>
  <c r="I130" i="100" s="1"/>
  <c r="H130" i="100" a="1"/>
  <c r="H130" i="100" s="1"/>
  <c r="G130" i="100" a="1"/>
  <c r="G130" i="100" s="1"/>
  <c r="F130" i="100" a="1"/>
  <c r="F130" i="100" s="1"/>
  <c r="E130" i="100" a="1"/>
  <c r="E130" i="100" s="1"/>
  <c r="D130" i="100" a="1"/>
  <c r="D130" i="100" s="1"/>
  <c r="T129" i="100" a="1"/>
  <c r="T129" i="100" s="1"/>
  <c r="S129" i="100" a="1"/>
  <c r="S129" i="100" s="1"/>
  <c r="R129" i="100" a="1"/>
  <c r="R129" i="100" s="1"/>
  <c r="Q129" i="100" a="1"/>
  <c r="Q129" i="100" s="1"/>
  <c r="P129" i="100" a="1"/>
  <c r="P129" i="100" s="1"/>
  <c r="O129" i="100" a="1"/>
  <c r="O129" i="100" s="1"/>
  <c r="N129" i="100" a="1"/>
  <c r="N129" i="100" s="1"/>
  <c r="M129" i="100" a="1"/>
  <c r="M129" i="100" s="1"/>
  <c r="L129" i="100" a="1"/>
  <c r="L129" i="100" s="1"/>
  <c r="K129" i="100" a="1"/>
  <c r="K129" i="100" s="1"/>
  <c r="J129" i="100" a="1"/>
  <c r="J129" i="100" s="1"/>
  <c r="I129" i="100" a="1"/>
  <c r="I129" i="100" s="1"/>
  <c r="H129" i="100" a="1"/>
  <c r="H129" i="100" s="1"/>
  <c r="G129" i="100" a="1"/>
  <c r="G129" i="100" s="1"/>
  <c r="F129" i="100" a="1"/>
  <c r="F129" i="100" s="1"/>
  <c r="E129" i="100" a="1"/>
  <c r="E129" i="100" s="1"/>
  <c r="D129" i="100" a="1"/>
  <c r="D129" i="100" s="1"/>
  <c r="T128" i="100" a="1"/>
  <c r="T128" i="100" s="1"/>
  <c r="S128" i="100" a="1"/>
  <c r="S128" i="100" s="1"/>
  <c r="R128" i="100" a="1"/>
  <c r="R128" i="100" s="1"/>
  <c r="Q128" i="100" a="1"/>
  <c r="Q128" i="100" s="1"/>
  <c r="P128" i="100" a="1"/>
  <c r="P128" i="100" s="1"/>
  <c r="O128" i="100" a="1"/>
  <c r="O128" i="100" s="1"/>
  <c r="N128" i="100" a="1"/>
  <c r="N128" i="100" s="1"/>
  <c r="M128" i="100" a="1"/>
  <c r="M128" i="100" s="1"/>
  <c r="L128" i="100" a="1"/>
  <c r="L128" i="100" s="1"/>
  <c r="K128" i="100" a="1"/>
  <c r="K128" i="100" s="1"/>
  <c r="J128" i="100" a="1"/>
  <c r="J128" i="100" s="1"/>
  <c r="I128" i="100" a="1"/>
  <c r="I128" i="100" s="1"/>
  <c r="H128" i="100" a="1"/>
  <c r="H128" i="100" s="1"/>
  <c r="G128" i="100" a="1"/>
  <c r="G128" i="100" s="1"/>
  <c r="F128" i="100" a="1"/>
  <c r="F128" i="100" s="1"/>
  <c r="E128" i="100" a="1"/>
  <c r="E128" i="100" s="1"/>
  <c r="D128" i="100" a="1"/>
  <c r="D128" i="100" s="1"/>
  <c r="T127" i="100"/>
  <c r="S127" i="100" a="1"/>
  <c r="S127" i="100" s="1"/>
  <c r="R127" i="100" a="1"/>
  <c r="R127" i="100" s="1"/>
  <c r="Q127" i="100" a="1"/>
  <c r="Q127" i="100" s="1"/>
  <c r="P127" i="100" a="1"/>
  <c r="P127" i="100" s="1"/>
  <c r="O127" i="100" a="1"/>
  <c r="O127" i="100" s="1"/>
  <c r="N127" i="100" a="1"/>
  <c r="N127" i="100" s="1"/>
  <c r="M127" i="100" a="1"/>
  <c r="M127" i="100" s="1"/>
  <c r="L127" i="100" a="1"/>
  <c r="L127" i="100" s="1"/>
  <c r="K127" i="100" a="1"/>
  <c r="K127" i="100" s="1"/>
  <c r="J127" i="100" a="1"/>
  <c r="J127" i="100" s="1"/>
  <c r="I127" i="100" a="1"/>
  <c r="I127" i="100" s="1"/>
  <c r="H127" i="100" a="1"/>
  <c r="H127" i="100" s="1"/>
  <c r="G127" i="100" a="1"/>
  <c r="G127" i="100" s="1"/>
  <c r="F127" i="100" a="1"/>
  <c r="F127" i="100" s="1"/>
  <c r="E127" i="100" a="1"/>
  <c r="E127" i="100" s="1"/>
  <c r="D127" i="100" a="1"/>
  <c r="D127" i="100" s="1"/>
  <c r="T125" i="100" a="1"/>
  <c r="T125" i="100" s="1"/>
  <c r="S125" i="100" a="1"/>
  <c r="S125" i="100" s="1"/>
  <c r="R125" i="100" a="1"/>
  <c r="R125" i="100" s="1"/>
  <c r="Q125" i="100" a="1"/>
  <c r="Q125" i="100" s="1"/>
  <c r="P125" i="100" a="1"/>
  <c r="P125" i="100" s="1"/>
  <c r="O125" i="100" a="1"/>
  <c r="O125" i="100" s="1"/>
  <c r="N125" i="100" a="1"/>
  <c r="N125" i="100" s="1"/>
  <c r="M125" i="100" a="1"/>
  <c r="M125" i="100" s="1"/>
  <c r="L125" i="100" a="1"/>
  <c r="L125" i="100" s="1"/>
  <c r="K125" i="100" a="1"/>
  <c r="K125" i="100" s="1"/>
  <c r="J125" i="100" a="1"/>
  <c r="J125" i="100" s="1"/>
  <c r="I125" i="100" a="1"/>
  <c r="I125" i="100" s="1"/>
  <c r="H125" i="100" a="1"/>
  <c r="H125" i="100" s="1"/>
  <c r="G125" i="100" a="1"/>
  <c r="G125" i="100" s="1"/>
  <c r="F125" i="100" a="1"/>
  <c r="F125" i="100" s="1"/>
  <c r="E125" i="100" a="1"/>
  <c r="E125" i="100" s="1"/>
  <c r="D125" i="100" a="1"/>
  <c r="D125" i="100" s="1"/>
  <c r="T124" i="100" a="1"/>
  <c r="T124" i="100" s="1"/>
  <c r="S124" i="100" a="1"/>
  <c r="S124" i="100" s="1"/>
  <c r="R124" i="100" a="1"/>
  <c r="R124" i="100" s="1"/>
  <c r="Q124" i="100" a="1"/>
  <c r="Q124" i="100" s="1"/>
  <c r="P124" i="100" a="1"/>
  <c r="P124" i="100" s="1"/>
  <c r="O124" i="100" a="1"/>
  <c r="O124" i="100" s="1"/>
  <c r="N124" i="100" a="1"/>
  <c r="N124" i="100" s="1"/>
  <c r="M124" i="100" a="1"/>
  <c r="M124" i="100" s="1"/>
  <c r="L124" i="100" a="1"/>
  <c r="L124" i="100" s="1"/>
  <c r="K124" i="100" a="1"/>
  <c r="K124" i="100" s="1"/>
  <c r="J124" i="100" a="1"/>
  <c r="J124" i="100" s="1"/>
  <c r="I124" i="100" a="1"/>
  <c r="I124" i="100" s="1"/>
  <c r="H124" i="100" a="1"/>
  <c r="H124" i="100" s="1"/>
  <c r="G124" i="100" a="1"/>
  <c r="G124" i="100" s="1"/>
  <c r="F124" i="100" a="1"/>
  <c r="F124" i="100" s="1"/>
  <c r="E124" i="100" a="1"/>
  <c r="E124" i="100" s="1"/>
  <c r="D124" i="100" a="1"/>
  <c r="D124" i="100" s="1"/>
  <c r="T123" i="100" a="1"/>
  <c r="T123" i="100" s="1"/>
  <c r="S123" i="100" a="1"/>
  <c r="S123" i="100" s="1"/>
  <c r="R123" i="100" a="1"/>
  <c r="R123" i="100" s="1"/>
  <c r="Q123" i="100" a="1"/>
  <c r="Q123" i="100" s="1"/>
  <c r="P123" i="100" a="1"/>
  <c r="P123" i="100" s="1"/>
  <c r="O123" i="100" a="1"/>
  <c r="O123" i="100" s="1"/>
  <c r="N123" i="100" a="1"/>
  <c r="N123" i="100" s="1"/>
  <c r="M123" i="100" a="1"/>
  <c r="M123" i="100" s="1"/>
  <c r="L123" i="100" a="1"/>
  <c r="L123" i="100" s="1"/>
  <c r="K123" i="100" a="1"/>
  <c r="K123" i="100" s="1"/>
  <c r="J123" i="100" a="1"/>
  <c r="J123" i="100" s="1"/>
  <c r="I123" i="100" a="1"/>
  <c r="I123" i="100" s="1"/>
  <c r="H123" i="100" a="1"/>
  <c r="H123" i="100" s="1"/>
  <c r="G123" i="100" a="1"/>
  <c r="G123" i="100" s="1"/>
  <c r="F123" i="100" a="1"/>
  <c r="F123" i="100" s="1"/>
  <c r="E123" i="100" a="1"/>
  <c r="E123" i="100" s="1"/>
  <c r="D123" i="100" a="1"/>
  <c r="D123" i="100" s="1"/>
  <c r="T122" i="100" a="1"/>
  <c r="T122" i="100" s="1"/>
  <c r="S122" i="100" a="1"/>
  <c r="S122" i="100" s="1"/>
  <c r="R122" i="100" a="1"/>
  <c r="R122" i="100" s="1"/>
  <c r="Q122" i="100" a="1"/>
  <c r="Q122" i="100" s="1"/>
  <c r="P122" i="100" a="1"/>
  <c r="P122" i="100" s="1"/>
  <c r="O122" i="100" a="1"/>
  <c r="O122" i="100" s="1"/>
  <c r="N122" i="100" a="1"/>
  <c r="N122" i="100" s="1"/>
  <c r="M122" i="100" a="1"/>
  <c r="M122" i="100" s="1"/>
  <c r="L122" i="100" a="1"/>
  <c r="L122" i="100" s="1"/>
  <c r="K122" i="100" a="1"/>
  <c r="K122" i="100" s="1"/>
  <c r="J122" i="100" a="1"/>
  <c r="J122" i="100" s="1"/>
  <c r="I122" i="100" a="1"/>
  <c r="I122" i="100" s="1"/>
  <c r="H122" i="100" a="1"/>
  <c r="H122" i="100" s="1"/>
  <c r="G122" i="100" a="1"/>
  <c r="G122" i="100" s="1"/>
  <c r="F122" i="100" a="1"/>
  <c r="F122" i="100" s="1"/>
  <c r="E122" i="100" a="1"/>
  <c r="E122" i="100" s="1"/>
  <c r="D122" i="100" a="1"/>
  <c r="D122" i="100" s="1"/>
  <c r="T120" i="100" a="1"/>
  <c r="T120" i="100" s="1"/>
  <c r="S120" i="100" a="1"/>
  <c r="S120" i="100" s="1"/>
  <c r="R120" i="100" a="1"/>
  <c r="R120" i="100" s="1"/>
  <c r="Q120" i="100" a="1"/>
  <c r="Q120" i="100" s="1"/>
  <c r="P120" i="100" a="1"/>
  <c r="P120" i="100" s="1"/>
  <c r="O120" i="100" a="1"/>
  <c r="O120" i="100" s="1"/>
  <c r="N120" i="100" a="1"/>
  <c r="N120" i="100" s="1"/>
  <c r="M120" i="100" a="1"/>
  <c r="M120" i="100" s="1"/>
  <c r="L120" i="100" a="1"/>
  <c r="L120" i="100" s="1"/>
  <c r="K120" i="100" a="1"/>
  <c r="K120" i="100" s="1"/>
  <c r="J120" i="100" a="1"/>
  <c r="J120" i="100" s="1"/>
  <c r="I120" i="100" a="1"/>
  <c r="I120" i="100" s="1"/>
  <c r="H120" i="100" a="1"/>
  <c r="H120" i="100" s="1"/>
  <c r="G120" i="100" a="1"/>
  <c r="G120" i="100" s="1"/>
  <c r="F120" i="100" a="1"/>
  <c r="F120" i="100" s="1"/>
  <c r="E120" i="100" a="1"/>
  <c r="E120" i="100" s="1"/>
  <c r="D120" i="100" a="1"/>
  <c r="D120" i="100" s="1"/>
  <c r="T119" i="100" a="1"/>
  <c r="T119" i="100" s="1"/>
  <c r="S119" i="100" a="1"/>
  <c r="S119" i="100" s="1"/>
  <c r="R119" i="100" a="1"/>
  <c r="R119" i="100" s="1"/>
  <c r="Q119" i="100" a="1"/>
  <c r="Q119" i="100" s="1"/>
  <c r="P119" i="100" a="1"/>
  <c r="P119" i="100" s="1"/>
  <c r="O119" i="100" a="1"/>
  <c r="O119" i="100" s="1"/>
  <c r="N119" i="100" a="1"/>
  <c r="N119" i="100" s="1"/>
  <c r="M119" i="100" a="1"/>
  <c r="M119" i="100" s="1"/>
  <c r="L119" i="100" a="1"/>
  <c r="L119" i="100" s="1"/>
  <c r="K119" i="100" a="1"/>
  <c r="K119" i="100" s="1"/>
  <c r="J119" i="100" a="1"/>
  <c r="J119" i="100" s="1"/>
  <c r="I119" i="100" a="1"/>
  <c r="I119" i="100" s="1"/>
  <c r="H119" i="100" a="1"/>
  <c r="H119" i="100" s="1"/>
  <c r="G119" i="100" a="1"/>
  <c r="G119" i="100" s="1"/>
  <c r="F119" i="100" a="1"/>
  <c r="F119" i="100" s="1"/>
  <c r="E119" i="100" a="1"/>
  <c r="E119" i="100" s="1"/>
  <c r="D119" i="100" a="1"/>
  <c r="D119" i="100" s="1"/>
  <c r="T118" i="100" a="1"/>
  <c r="T118" i="100" s="1"/>
  <c r="S118" i="100" a="1"/>
  <c r="S118" i="100" s="1"/>
  <c r="R118" i="100" a="1"/>
  <c r="R118" i="100" s="1"/>
  <c r="Q118" i="100" a="1"/>
  <c r="Q118" i="100" s="1"/>
  <c r="P118" i="100" a="1"/>
  <c r="P118" i="100" s="1"/>
  <c r="O118" i="100" a="1"/>
  <c r="O118" i="100" s="1"/>
  <c r="N118" i="100" a="1"/>
  <c r="N118" i="100" s="1"/>
  <c r="M118" i="100" a="1"/>
  <c r="M118" i="100" s="1"/>
  <c r="L118" i="100" a="1"/>
  <c r="L118" i="100" s="1"/>
  <c r="K118" i="100" a="1"/>
  <c r="K118" i="100" s="1"/>
  <c r="J118" i="100" a="1"/>
  <c r="J118" i="100" s="1"/>
  <c r="I118" i="100" a="1"/>
  <c r="I118" i="100" s="1"/>
  <c r="H118" i="100" a="1"/>
  <c r="H118" i="100" s="1"/>
  <c r="G118" i="100" a="1"/>
  <c r="G118" i="100" s="1"/>
  <c r="F118" i="100" a="1"/>
  <c r="F118" i="100" s="1"/>
  <c r="E118" i="100" a="1"/>
  <c r="E118" i="100" s="1"/>
  <c r="D118" i="100" a="1"/>
  <c r="D118" i="100" s="1"/>
  <c r="T117" i="100"/>
  <c r="S117" i="100" a="1"/>
  <c r="S117" i="100" s="1"/>
  <c r="R117" i="100" a="1"/>
  <c r="R117" i="100" s="1"/>
  <c r="Q117" i="100" a="1"/>
  <c r="Q117" i="100" s="1"/>
  <c r="P117" i="100" a="1"/>
  <c r="P117" i="100" s="1"/>
  <c r="O117" i="100" a="1"/>
  <c r="O117" i="100" s="1"/>
  <c r="N117" i="100" a="1"/>
  <c r="N117" i="100" s="1"/>
  <c r="M117" i="100" a="1"/>
  <c r="M117" i="100" s="1"/>
  <c r="L117" i="100" a="1"/>
  <c r="L117" i="100" s="1"/>
  <c r="K117" i="100" a="1"/>
  <c r="K117" i="100" s="1"/>
  <c r="J117" i="100" a="1"/>
  <c r="J117" i="100" s="1"/>
  <c r="I117" i="100" a="1"/>
  <c r="I117" i="100" s="1"/>
  <c r="H117" i="100" a="1"/>
  <c r="H117" i="100" s="1"/>
  <c r="G117" i="100" a="1"/>
  <c r="G117" i="100" s="1"/>
  <c r="F117" i="100" a="1"/>
  <c r="F117" i="100" s="1"/>
  <c r="E117" i="100" a="1"/>
  <c r="E117" i="100" s="1"/>
  <c r="D117" i="100" a="1"/>
  <c r="D117" i="100" s="1"/>
  <c r="T115" i="100" a="1"/>
  <c r="T115" i="100" s="1"/>
  <c r="S115" i="100" a="1"/>
  <c r="S115" i="100" s="1"/>
  <c r="R115" i="100" a="1"/>
  <c r="R115" i="100" s="1"/>
  <c r="Q115" i="100" a="1"/>
  <c r="Q115" i="100" s="1"/>
  <c r="P115" i="100" a="1"/>
  <c r="P115" i="100" s="1"/>
  <c r="O115" i="100" a="1"/>
  <c r="O115" i="100" s="1"/>
  <c r="N115" i="100" a="1"/>
  <c r="N115" i="100" s="1"/>
  <c r="M115" i="100" a="1"/>
  <c r="M115" i="100" s="1"/>
  <c r="L115" i="100" a="1"/>
  <c r="L115" i="100" s="1"/>
  <c r="K115" i="100" a="1"/>
  <c r="K115" i="100" s="1"/>
  <c r="J115" i="100" a="1"/>
  <c r="J115" i="100" s="1"/>
  <c r="I115" i="100" a="1"/>
  <c r="I115" i="100" s="1"/>
  <c r="H115" i="100" a="1"/>
  <c r="H115" i="100" s="1"/>
  <c r="G115" i="100" a="1"/>
  <c r="G115" i="100" s="1"/>
  <c r="F115" i="100" a="1"/>
  <c r="F115" i="100" s="1"/>
  <c r="E115" i="100" a="1"/>
  <c r="E115" i="100" s="1"/>
  <c r="D115" i="100" a="1"/>
  <c r="D115" i="100" s="1"/>
  <c r="T114" i="100" a="1"/>
  <c r="T114" i="100" s="1"/>
  <c r="S114" i="100" a="1"/>
  <c r="S114" i="100" s="1"/>
  <c r="R114" i="100" a="1"/>
  <c r="R114" i="100" s="1"/>
  <c r="Q114" i="100" a="1"/>
  <c r="Q114" i="100" s="1"/>
  <c r="P114" i="100" a="1"/>
  <c r="P114" i="100" s="1"/>
  <c r="O114" i="100" a="1"/>
  <c r="O114" i="100" s="1"/>
  <c r="N114" i="100" a="1"/>
  <c r="N114" i="100" s="1"/>
  <c r="M114" i="100" a="1"/>
  <c r="M114" i="100" s="1"/>
  <c r="L114" i="100" a="1"/>
  <c r="L114" i="100" s="1"/>
  <c r="K114" i="100" a="1"/>
  <c r="K114" i="100" s="1"/>
  <c r="J114" i="100" a="1"/>
  <c r="J114" i="100" s="1"/>
  <c r="I114" i="100" a="1"/>
  <c r="I114" i="100" s="1"/>
  <c r="H114" i="100" a="1"/>
  <c r="H114" i="100" s="1"/>
  <c r="G114" i="100" a="1"/>
  <c r="G114" i="100" s="1"/>
  <c r="F114" i="100" a="1"/>
  <c r="F114" i="100" s="1"/>
  <c r="E114" i="100" a="1"/>
  <c r="E114" i="100" s="1"/>
  <c r="D114" i="100" a="1"/>
  <c r="D114" i="100" s="1"/>
  <c r="T113" i="100" a="1"/>
  <c r="T113" i="100" s="1"/>
  <c r="S113" i="100" a="1"/>
  <c r="S113" i="100" s="1"/>
  <c r="R113" i="100" a="1"/>
  <c r="R113" i="100" s="1"/>
  <c r="Q113" i="100" a="1"/>
  <c r="Q113" i="100" s="1"/>
  <c r="P113" i="100" a="1"/>
  <c r="P113" i="100" s="1"/>
  <c r="O113" i="100" a="1"/>
  <c r="O113" i="100" s="1"/>
  <c r="N113" i="100" a="1"/>
  <c r="N113" i="100" s="1"/>
  <c r="M113" i="100" a="1"/>
  <c r="M113" i="100" s="1"/>
  <c r="L113" i="100" a="1"/>
  <c r="L113" i="100" s="1"/>
  <c r="K113" i="100" a="1"/>
  <c r="K113" i="100" s="1"/>
  <c r="J113" i="100" a="1"/>
  <c r="J113" i="100" s="1"/>
  <c r="I113" i="100" a="1"/>
  <c r="I113" i="100" s="1"/>
  <c r="H113" i="100" a="1"/>
  <c r="H113" i="100" s="1"/>
  <c r="G113" i="100" a="1"/>
  <c r="G113" i="100" s="1"/>
  <c r="F113" i="100" a="1"/>
  <c r="F113" i="100" s="1"/>
  <c r="E113" i="100" a="1"/>
  <c r="E113" i="100" s="1"/>
  <c r="D113" i="100" a="1"/>
  <c r="D113" i="100" s="1"/>
  <c r="T112" i="100"/>
  <c r="S112" i="100" a="1"/>
  <c r="S112" i="100" s="1"/>
  <c r="R112" i="100" a="1"/>
  <c r="R112" i="100" s="1"/>
  <c r="Q112" i="100" a="1"/>
  <c r="Q112" i="100" s="1"/>
  <c r="P112" i="100" a="1"/>
  <c r="P112" i="100" s="1"/>
  <c r="O112" i="100" a="1"/>
  <c r="O112" i="100" s="1"/>
  <c r="N112" i="100" a="1"/>
  <c r="N112" i="100" s="1"/>
  <c r="M112" i="100" a="1"/>
  <c r="M112" i="100" s="1"/>
  <c r="L112" i="100" a="1"/>
  <c r="L112" i="100" s="1"/>
  <c r="K112" i="100" a="1"/>
  <c r="K112" i="100" s="1"/>
  <c r="J112" i="100" a="1"/>
  <c r="J112" i="100" s="1"/>
  <c r="I112" i="100" a="1"/>
  <c r="I112" i="100" s="1"/>
  <c r="H112" i="100" a="1"/>
  <c r="H112" i="100" s="1"/>
  <c r="G112" i="100" a="1"/>
  <c r="G112" i="100" s="1"/>
  <c r="F112" i="100" a="1"/>
  <c r="F112" i="100" s="1"/>
  <c r="E112" i="100" a="1"/>
  <c r="E112" i="100" s="1"/>
  <c r="T110" i="100" a="1"/>
  <c r="T110" i="100" s="1"/>
  <c r="S110" i="100"/>
  <c r="R110" i="100"/>
  <c r="Q110" i="100"/>
  <c r="P110" i="100"/>
  <c r="O110" i="100"/>
  <c r="N110" i="100"/>
  <c r="M110" i="100"/>
  <c r="L110" i="100"/>
  <c r="K110" i="100"/>
  <c r="J110" i="100"/>
  <c r="I110" i="100"/>
  <c r="G110" i="100"/>
  <c r="F110" i="100"/>
  <c r="E110" i="100"/>
  <c r="D110" i="100"/>
  <c r="S109" i="100" a="1"/>
  <c r="S109" i="100" s="1"/>
  <c r="R109" i="100" a="1"/>
  <c r="R109" i="100" s="1"/>
  <c r="Q109" i="100" a="1"/>
  <c r="Q109" i="100" s="1"/>
  <c r="P109" i="100" a="1"/>
  <c r="P109" i="100" s="1"/>
  <c r="O109" i="100" a="1"/>
  <c r="O109" i="100" s="1"/>
  <c r="N109" i="100" a="1"/>
  <c r="N109" i="100" s="1"/>
  <c r="M109" i="100" a="1"/>
  <c r="M109" i="100" s="1"/>
  <c r="L109" i="100" a="1"/>
  <c r="L109" i="100" s="1"/>
  <c r="K109" i="100" a="1"/>
  <c r="K109" i="100" s="1"/>
  <c r="J109" i="100" a="1"/>
  <c r="J109" i="100" s="1"/>
  <c r="I109" i="100" a="1"/>
  <c r="I109" i="100" s="1"/>
  <c r="G109" i="100" a="1"/>
  <c r="G109" i="100" s="1"/>
  <c r="F109" i="100" a="1"/>
  <c r="F109" i="100" s="1"/>
  <c r="E109" i="100" a="1"/>
  <c r="E109" i="100" s="1"/>
  <c r="D109" i="100" a="1"/>
  <c r="D109" i="100" s="1"/>
  <c r="S108" i="100" a="1"/>
  <c r="S108" i="100" s="1"/>
  <c r="R108" i="100" a="1"/>
  <c r="R108" i="100" s="1"/>
  <c r="Q108" i="100" a="1"/>
  <c r="Q108" i="100" s="1"/>
  <c r="P108" i="100" a="1"/>
  <c r="P108" i="100" s="1"/>
  <c r="O108" i="100" a="1"/>
  <c r="O108" i="100" s="1"/>
  <c r="N108" i="100" a="1"/>
  <c r="N108" i="100" s="1"/>
  <c r="M108" i="100" a="1"/>
  <c r="M108" i="100" s="1"/>
  <c r="L108" i="100" a="1"/>
  <c r="L108" i="100" s="1"/>
  <c r="K108" i="100" a="1"/>
  <c r="K108" i="100" s="1"/>
  <c r="J108" i="100" a="1"/>
  <c r="J108" i="100" s="1"/>
  <c r="I108" i="100" a="1"/>
  <c r="I108" i="100" s="1"/>
  <c r="H108" i="100" a="1"/>
  <c r="H108" i="100" s="1"/>
  <c r="G108" i="100" a="1"/>
  <c r="G108" i="100" s="1"/>
  <c r="F108" i="100" a="1"/>
  <c r="F108" i="100" s="1"/>
  <c r="E108" i="100" a="1"/>
  <c r="E108" i="100" s="1"/>
  <c r="D108" i="100" a="1"/>
  <c r="D108" i="100" s="1"/>
  <c r="T107" i="100"/>
  <c r="T105" i="100" a="1"/>
  <c r="T105" i="100" s="1"/>
  <c r="S105" i="100" a="1"/>
  <c r="S105" i="100" s="1"/>
  <c r="R105" i="100" a="1"/>
  <c r="R105" i="100" s="1"/>
  <c r="Q105" i="100" a="1"/>
  <c r="Q105" i="100" s="1"/>
  <c r="P105" i="100" a="1"/>
  <c r="P105" i="100" s="1"/>
  <c r="O105" i="100" a="1"/>
  <c r="O105" i="100" s="1"/>
  <c r="N105" i="100" a="1"/>
  <c r="N105" i="100" s="1"/>
  <c r="M105" i="100" a="1"/>
  <c r="M105" i="100" s="1"/>
  <c r="L105" i="100" a="1"/>
  <c r="L105" i="100" s="1"/>
  <c r="K105" i="100" a="1"/>
  <c r="K105" i="100" s="1"/>
  <c r="J105" i="100" a="1"/>
  <c r="J105" i="100" s="1"/>
  <c r="I105" i="100" a="1"/>
  <c r="I105" i="100" s="1"/>
  <c r="H105" i="100" a="1"/>
  <c r="H105" i="100" s="1"/>
  <c r="G105" i="100" a="1"/>
  <c r="G105" i="100" s="1"/>
  <c r="F105" i="100" a="1"/>
  <c r="F105" i="100" s="1"/>
  <c r="E105" i="100" a="1"/>
  <c r="E105" i="100" s="1"/>
  <c r="D105" i="100" a="1"/>
  <c r="D105" i="100" s="1"/>
  <c r="T104" i="100" a="1"/>
  <c r="T104" i="100" s="1"/>
  <c r="S104" i="100" a="1"/>
  <c r="S104" i="100" s="1"/>
  <c r="R104" i="100" a="1"/>
  <c r="R104" i="100" s="1"/>
  <c r="Q104" i="100" a="1"/>
  <c r="Q104" i="100" s="1"/>
  <c r="P104" i="100" a="1"/>
  <c r="P104" i="100" s="1"/>
  <c r="O104" i="100" a="1"/>
  <c r="O104" i="100" s="1"/>
  <c r="N104" i="100" a="1"/>
  <c r="N104" i="100" s="1"/>
  <c r="M104" i="100" a="1"/>
  <c r="M104" i="100" s="1"/>
  <c r="L104" i="100" a="1"/>
  <c r="L104" i="100" s="1"/>
  <c r="K104" i="100" a="1"/>
  <c r="K104" i="100" s="1"/>
  <c r="J104" i="100" a="1"/>
  <c r="J104" i="100" s="1"/>
  <c r="I104" i="100" a="1"/>
  <c r="I104" i="100" s="1"/>
  <c r="H104" i="100" a="1"/>
  <c r="H104" i="100" s="1"/>
  <c r="G104" i="100" a="1"/>
  <c r="G104" i="100" s="1"/>
  <c r="F104" i="100" a="1"/>
  <c r="F104" i="100" s="1"/>
  <c r="E104" i="100" a="1"/>
  <c r="E104" i="100" s="1"/>
  <c r="D104" i="100" a="1"/>
  <c r="D104" i="100" s="1"/>
  <c r="T103" i="100" a="1"/>
  <c r="T103" i="100" s="1"/>
  <c r="S103" i="100" a="1"/>
  <c r="S103" i="100" s="1"/>
  <c r="R103" i="100" a="1"/>
  <c r="R103" i="100" s="1"/>
  <c r="Q103" i="100" a="1"/>
  <c r="Q103" i="100" s="1"/>
  <c r="P103" i="100" a="1"/>
  <c r="P103" i="100" s="1"/>
  <c r="O103" i="100" a="1"/>
  <c r="O103" i="100" s="1"/>
  <c r="N103" i="100" a="1"/>
  <c r="N103" i="100" s="1"/>
  <c r="M103" i="100" a="1"/>
  <c r="M103" i="100" s="1"/>
  <c r="L103" i="100" a="1"/>
  <c r="L103" i="100" s="1"/>
  <c r="K103" i="100" a="1"/>
  <c r="K103" i="100" s="1"/>
  <c r="J103" i="100" a="1"/>
  <c r="J103" i="100" s="1"/>
  <c r="I103" i="100" a="1"/>
  <c r="I103" i="100" s="1"/>
  <c r="H103" i="100" a="1"/>
  <c r="H103" i="100" s="1"/>
  <c r="G103" i="100" a="1"/>
  <c r="G103" i="100" s="1"/>
  <c r="F103" i="100" a="1"/>
  <c r="F103" i="100" s="1"/>
  <c r="E103" i="100" a="1"/>
  <c r="E103" i="100" s="1"/>
  <c r="D103" i="100" a="1"/>
  <c r="D103" i="100" s="1"/>
  <c r="T102" i="100"/>
  <c r="S102" i="100" a="1"/>
  <c r="S102" i="100" s="1"/>
  <c r="R102" i="100" a="1"/>
  <c r="R102" i="100" s="1"/>
  <c r="Q102" i="100" a="1"/>
  <c r="Q102" i="100" s="1"/>
  <c r="P102" i="100" a="1"/>
  <c r="P102" i="100" s="1"/>
  <c r="O102" i="100" a="1"/>
  <c r="O102" i="100" s="1"/>
  <c r="N102" i="100" a="1"/>
  <c r="N102" i="100" s="1"/>
  <c r="M102" i="100" a="1"/>
  <c r="M102" i="100" s="1"/>
  <c r="L102" i="100" a="1"/>
  <c r="L102" i="100" s="1"/>
  <c r="K102" i="100" a="1"/>
  <c r="K102" i="100" s="1"/>
  <c r="J102" i="100" a="1"/>
  <c r="J102" i="100" s="1"/>
  <c r="I102" i="100" a="1"/>
  <c r="I102" i="100" s="1"/>
  <c r="H102" i="100" a="1"/>
  <c r="H102" i="100" s="1"/>
  <c r="G102" i="100" a="1"/>
  <c r="G102" i="100" s="1"/>
  <c r="F102" i="100" a="1"/>
  <c r="F102" i="100" s="1"/>
  <c r="E102" i="100" a="1"/>
  <c r="E102" i="100" s="1"/>
  <c r="D102" i="100" a="1"/>
  <c r="D102" i="100" s="1"/>
  <c r="T100" i="100" a="1"/>
  <c r="T100" i="100" s="1"/>
  <c r="S100" i="100" a="1"/>
  <c r="S100" i="100" s="1"/>
  <c r="R100" i="100" a="1"/>
  <c r="R100" i="100" s="1"/>
  <c r="Q100" i="100" a="1"/>
  <c r="Q100" i="100" s="1"/>
  <c r="P100" i="100" a="1"/>
  <c r="P100" i="100" s="1"/>
  <c r="O100" i="100" a="1"/>
  <c r="O100" i="100" s="1"/>
  <c r="N100" i="100" a="1"/>
  <c r="N100" i="100" s="1"/>
  <c r="M100" i="100" a="1"/>
  <c r="M100" i="100" s="1"/>
  <c r="L100" i="100" a="1"/>
  <c r="L100" i="100" s="1"/>
  <c r="K100" i="100" a="1"/>
  <c r="K100" i="100" s="1"/>
  <c r="J100" i="100" a="1"/>
  <c r="J100" i="100" s="1"/>
  <c r="I100" i="100" a="1"/>
  <c r="I100" i="100" s="1"/>
  <c r="H100" i="100" a="1"/>
  <c r="H100" i="100" s="1"/>
  <c r="G100" i="100" a="1"/>
  <c r="G100" i="100" s="1"/>
  <c r="F100" i="100" a="1"/>
  <c r="F100" i="100" s="1"/>
  <c r="E100" i="100" a="1"/>
  <c r="E100" i="100" s="1"/>
  <c r="D100" i="100" a="1"/>
  <c r="D100" i="100" s="1"/>
  <c r="T99" i="100" a="1"/>
  <c r="T99" i="100" s="1"/>
  <c r="S99" i="100" a="1"/>
  <c r="S99" i="100" s="1"/>
  <c r="R99" i="100" a="1"/>
  <c r="R99" i="100" s="1"/>
  <c r="Q99" i="100" a="1"/>
  <c r="Q99" i="100" s="1"/>
  <c r="P99" i="100" a="1"/>
  <c r="P99" i="100" s="1"/>
  <c r="O99" i="100" a="1"/>
  <c r="O99" i="100" s="1"/>
  <c r="N99" i="100" a="1"/>
  <c r="N99" i="100" s="1"/>
  <c r="M99" i="100" a="1"/>
  <c r="M99" i="100" s="1"/>
  <c r="L99" i="100" a="1"/>
  <c r="L99" i="100" s="1"/>
  <c r="K99" i="100" a="1"/>
  <c r="K99" i="100" s="1"/>
  <c r="J99" i="100" a="1"/>
  <c r="J99" i="100" s="1"/>
  <c r="I99" i="100" a="1"/>
  <c r="I99" i="100" s="1"/>
  <c r="H99" i="100" a="1"/>
  <c r="H99" i="100" s="1"/>
  <c r="G99" i="100" a="1"/>
  <c r="G99" i="100" s="1"/>
  <c r="F99" i="100" a="1"/>
  <c r="F99" i="100" s="1"/>
  <c r="E99" i="100" a="1"/>
  <c r="E99" i="100" s="1"/>
  <c r="D99" i="100" a="1"/>
  <c r="D99" i="100" s="1"/>
  <c r="T98" i="100" a="1"/>
  <c r="T98" i="100" s="1"/>
  <c r="S98" i="100" a="1"/>
  <c r="S98" i="100" s="1"/>
  <c r="R98" i="100" a="1"/>
  <c r="R98" i="100" s="1"/>
  <c r="Q98" i="100" a="1"/>
  <c r="Q98" i="100" s="1"/>
  <c r="P98" i="100" a="1"/>
  <c r="P98" i="100" s="1"/>
  <c r="O98" i="100" a="1"/>
  <c r="O98" i="100" s="1"/>
  <c r="N98" i="100" a="1"/>
  <c r="N98" i="100" s="1"/>
  <c r="M98" i="100" a="1"/>
  <c r="M98" i="100" s="1"/>
  <c r="L98" i="100" a="1"/>
  <c r="L98" i="100" s="1"/>
  <c r="K98" i="100" a="1"/>
  <c r="K98" i="100" s="1"/>
  <c r="J98" i="100" a="1"/>
  <c r="J98" i="100" s="1"/>
  <c r="I98" i="100" a="1"/>
  <c r="I98" i="100" s="1"/>
  <c r="H98" i="100" a="1"/>
  <c r="H98" i="100" s="1"/>
  <c r="G98" i="100" a="1"/>
  <c r="G98" i="100" s="1"/>
  <c r="F98" i="100" a="1"/>
  <c r="F98" i="100" s="1"/>
  <c r="E98" i="100" a="1"/>
  <c r="E98" i="100" s="1"/>
  <c r="D98" i="100" a="1"/>
  <c r="D98" i="100" s="1"/>
  <c r="T97" i="100"/>
  <c r="S97" i="100" a="1"/>
  <c r="S97" i="100" s="1"/>
  <c r="R97" i="100" a="1"/>
  <c r="R97" i="100" s="1"/>
  <c r="Q97" i="100" a="1"/>
  <c r="Q97" i="100" s="1"/>
  <c r="P97" i="100" a="1"/>
  <c r="P97" i="100" s="1"/>
  <c r="O97" i="100" a="1"/>
  <c r="O97" i="100" s="1"/>
  <c r="N97" i="100" a="1"/>
  <c r="N97" i="100" s="1"/>
  <c r="M97" i="100" a="1"/>
  <c r="M97" i="100" s="1"/>
  <c r="L97" i="100" a="1"/>
  <c r="L97" i="100" s="1"/>
  <c r="K97" i="100" a="1"/>
  <c r="K97" i="100" s="1"/>
  <c r="J97" i="100" a="1"/>
  <c r="J97" i="100" s="1"/>
  <c r="I97" i="100" a="1"/>
  <c r="I97" i="100" s="1"/>
  <c r="H97" i="100" a="1"/>
  <c r="H97" i="100" s="1"/>
  <c r="G97" i="100" a="1"/>
  <c r="G97" i="100" s="1"/>
  <c r="F97" i="100" a="1"/>
  <c r="F97" i="100" s="1"/>
  <c r="E97" i="100" a="1"/>
  <c r="E97" i="100" s="1"/>
  <c r="D97" i="100" a="1"/>
  <c r="D97" i="100" s="1"/>
  <c r="T95" i="100" a="1"/>
  <c r="T95" i="100" s="1"/>
  <c r="S95" i="100" a="1"/>
  <c r="S95" i="100" s="1"/>
  <c r="R95" i="100" a="1"/>
  <c r="R95" i="100" s="1"/>
  <c r="Q95" i="100" a="1"/>
  <c r="Q95" i="100" s="1"/>
  <c r="P95" i="100" a="1"/>
  <c r="P95" i="100" s="1"/>
  <c r="O95" i="100" a="1"/>
  <c r="O95" i="100" s="1"/>
  <c r="N95" i="100" a="1"/>
  <c r="N95" i="100" s="1"/>
  <c r="M95" i="100" a="1"/>
  <c r="M95" i="100" s="1"/>
  <c r="L95" i="100" a="1"/>
  <c r="L95" i="100" s="1"/>
  <c r="K95" i="100" a="1"/>
  <c r="K95" i="100" s="1"/>
  <c r="J95" i="100" a="1"/>
  <c r="J95" i="100" s="1"/>
  <c r="I95" i="100" a="1"/>
  <c r="I95" i="100" s="1"/>
  <c r="H95" i="100" a="1"/>
  <c r="H95" i="100" s="1"/>
  <c r="G95" i="100" a="1"/>
  <c r="G95" i="100" s="1"/>
  <c r="F95" i="100" a="1"/>
  <c r="F95" i="100" s="1"/>
  <c r="E95" i="100" a="1"/>
  <c r="E95" i="100" s="1"/>
  <c r="D95" i="100" a="1"/>
  <c r="D95" i="100" s="1"/>
  <c r="T94" i="100" a="1"/>
  <c r="T94" i="100" s="1"/>
  <c r="S94" i="100" a="1"/>
  <c r="S94" i="100" s="1"/>
  <c r="R94" i="100" a="1"/>
  <c r="R94" i="100" s="1"/>
  <c r="Q94" i="100" a="1"/>
  <c r="Q94" i="100" s="1"/>
  <c r="P94" i="100" a="1"/>
  <c r="P94" i="100" s="1"/>
  <c r="O94" i="100" a="1"/>
  <c r="O94" i="100" s="1"/>
  <c r="N94" i="100" a="1"/>
  <c r="N94" i="100" s="1"/>
  <c r="M94" i="100" a="1"/>
  <c r="M94" i="100" s="1"/>
  <c r="L94" i="100" a="1"/>
  <c r="L94" i="100" s="1"/>
  <c r="K94" i="100" a="1"/>
  <c r="K94" i="100" s="1"/>
  <c r="J94" i="100" a="1"/>
  <c r="J94" i="100" s="1"/>
  <c r="I94" i="100" a="1"/>
  <c r="I94" i="100" s="1"/>
  <c r="H94" i="100" a="1"/>
  <c r="H94" i="100" s="1"/>
  <c r="G94" i="100" a="1"/>
  <c r="G94" i="100" s="1"/>
  <c r="F94" i="100" a="1"/>
  <c r="F94" i="100" s="1"/>
  <c r="E94" i="100" a="1"/>
  <c r="E94" i="100" s="1"/>
  <c r="D94" i="100" a="1"/>
  <c r="D94" i="100" s="1"/>
  <c r="T93" i="100" a="1"/>
  <c r="T93" i="100" s="1"/>
  <c r="S93" i="100" a="1"/>
  <c r="S93" i="100" s="1"/>
  <c r="R93" i="100" a="1"/>
  <c r="R93" i="100" s="1"/>
  <c r="Q93" i="100" a="1"/>
  <c r="Q93" i="100" s="1"/>
  <c r="P93" i="100" a="1"/>
  <c r="P93" i="100" s="1"/>
  <c r="O93" i="100" a="1"/>
  <c r="O93" i="100" s="1"/>
  <c r="N93" i="100" a="1"/>
  <c r="N93" i="100" s="1"/>
  <c r="M93" i="100" a="1"/>
  <c r="M93" i="100" s="1"/>
  <c r="L93" i="100" a="1"/>
  <c r="L93" i="100" s="1"/>
  <c r="K93" i="100" a="1"/>
  <c r="K93" i="100" s="1"/>
  <c r="J93" i="100" a="1"/>
  <c r="J93" i="100" s="1"/>
  <c r="I93" i="100" a="1"/>
  <c r="I93" i="100" s="1"/>
  <c r="H93" i="100" a="1"/>
  <c r="H93" i="100" s="1"/>
  <c r="G93" i="100" a="1"/>
  <c r="G93" i="100" s="1"/>
  <c r="F93" i="100" a="1"/>
  <c r="F93" i="100" s="1"/>
  <c r="E93" i="100" a="1"/>
  <c r="E93" i="100" s="1"/>
  <c r="D93" i="100" a="1"/>
  <c r="D93" i="100" s="1"/>
  <c r="T92" i="100"/>
  <c r="S92" i="100" a="1"/>
  <c r="S92" i="100" s="1"/>
  <c r="R92" i="100" a="1"/>
  <c r="R92" i="100" s="1"/>
  <c r="Q92" i="100" a="1"/>
  <c r="Q92" i="100" s="1"/>
  <c r="P92" i="100" a="1"/>
  <c r="P92" i="100" s="1"/>
  <c r="O92" i="100" a="1"/>
  <c r="O92" i="100" s="1"/>
  <c r="N92" i="100" a="1"/>
  <c r="N92" i="100" s="1"/>
  <c r="M92" i="100" a="1"/>
  <c r="M92" i="100" s="1"/>
  <c r="L92" i="100" a="1"/>
  <c r="L92" i="100" s="1"/>
  <c r="K92" i="100" a="1"/>
  <c r="K92" i="100" s="1"/>
  <c r="J92" i="100" a="1"/>
  <c r="J92" i="100" s="1"/>
  <c r="I92" i="100" a="1"/>
  <c r="I92" i="100" s="1"/>
  <c r="H92" i="100" a="1"/>
  <c r="H92" i="100" s="1"/>
  <c r="G92" i="100" a="1"/>
  <c r="G92" i="100" s="1"/>
  <c r="F92" i="100" a="1"/>
  <c r="F92" i="100" s="1"/>
  <c r="E92" i="100" a="1"/>
  <c r="E92" i="100" s="1"/>
  <c r="D92" i="100" a="1"/>
  <c r="D92" i="100" s="1"/>
  <c r="T90" i="100" a="1"/>
  <c r="T90" i="100" s="1"/>
  <c r="S90" i="100" a="1"/>
  <c r="S90" i="100" s="1"/>
  <c r="R90" i="100" a="1"/>
  <c r="R90" i="100" s="1"/>
  <c r="Q90" i="100" a="1"/>
  <c r="Q90" i="100" s="1"/>
  <c r="P90" i="100" a="1"/>
  <c r="P90" i="100" s="1"/>
  <c r="O90" i="100" a="1"/>
  <c r="O90" i="100" s="1"/>
  <c r="N90" i="100" a="1"/>
  <c r="N90" i="100" s="1"/>
  <c r="M90" i="100" a="1"/>
  <c r="M90" i="100" s="1"/>
  <c r="L90" i="100" a="1"/>
  <c r="L90" i="100" s="1"/>
  <c r="K90" i="100" a="1"/>
  <c r="K90" i="100" s="1"/>
  <c r="J90" i="100" a="1"/>
  <c r="J90" i="100" s="1"/>
  <c r="I90" i="100" a="1"/>
  <c r="I90" i="100" s="1"/>
  <c r="H90" i="100" a="1"/>
  <c r="H90" i="100" s="1"/>
  <c r="G90" i="100" a="1"/>
  <c r="G90" i="100" s="1"/>
  <c r="F90" i="100" a="1"/>
  <c r="F90" i="100" s="1"/>
  <c r="E90" i="100" a="1"/>
  <c r="E90" i="100" s="1"/>
  <c r="D90" i="100" a="1"/>
  <c r="D90" i="100" s="1"/>
  <c r="T89" i="100" a="1"/>
  <c r="T89" i="100" s="1"/>
  <c r="S89" i="100" a="1"/>
  <c r="S89" i="100" s="1"/>
  <c r="R89" i="100" a="1"/>
  <c r="R89" i="100" s="1"/>
  <c r="Q89" i="100" a="1"/>
  <c r="Q89" i="100" s="1"/>
  <c r="P89" i="100" a="1"/>
  <c r="P89" i="100" s="1"/>
  <c r="O89" i="100" a="1"/>
  <c r="O89" i="100" s="1"/>
  <c r="N89" i="100" a="1"/>
  <c r="N89" i="100" s="1"/>
  <c r="M89" i="100" a="1"/>
  <c r="M89" i="100" s="1"/>
  <c r="L89" i="100" a="1"/>
  <c r="L89" i="100" s="1"/>
  <c r="K89" i="100" a="1"/>
  <c r="K89" i="100" s="1"/>
  <c r="J89" i="100" a="1"/>
  <c r="J89" i="100" s="1"/>
  <c r="I89" i="100" a="1"/>
  <c r="I89" i="100" s="1"/>
  <c r="H89" i="100" a="1"/>
  <c r="H89" i="100" s="1"/>
  <c r="G89" i="100" a="1"/>
  <c r="G89" i="100" s="1"/>
  <c r="F89" i="100" a="1"/>
  <c r="F89" i="100" s="1"/>
  <c r="E89" i="100" a="1"/>
  <c r="E89" i="100" s="1"/>
  <c r="D89" i="100" a="1"/>
  <c r="D89" i="100" s="1"/>
  <c r="T88" i="100" a="1"/>
  <c r="T88" i="100" s="1"/>
  <c r="S88" i="100" a="1"/>
  <c r="S88" i="100" s="1"/>
  <c r="R88" i="100" a="1"/>
  <c r="R88" i="100" s="1"/>
  <c r="Q88" i="100" a="1"/>
  <c r="Q88" i="100" s="1"/>
  <c r="P88" i="100" a="1"/>
  <c r="P88" i="100" s="1"/>
  <c r="O88" i="100" a="1"/>
  <c r="O88" i="100" s="1"/>
  <c r="N88" i="100" a="1"/>
  <c r="N88" i="100" s="1"/>
  <c r="M88" i="100" a="1"/>
  <c r="M88" i="100" s="1"/>
  <c r="L88" i="100" a="1"/>
  <c r="L88" i="100" s="1"/>
  <c r="K88" i="100" a="1"/>
  <c r="K88" i="100" s="1"/>
  <c r="J88" i="100" a="1"/>
  <c r="J88" i="100" s="1"/>
  <c r="I88" i="100" a="1"/>
  <c r="I88" i="100" s="1"/>
  <c r="H88" i="100" a="1"/>
  <c r="H88" i="100" s="1"/>
  <c r="G88" i="100" a="1"/>
  <c r="G88" i="100" s="1"/>
  <c r="F88" i="100" a="1"/>
  <c r="F88" i="100" s="1"/>
  <c r="E88" i="100" a="1"/>
  <c r="E88" i="100" s="1"/>
  <c r="D88" i="100" a="1"/>
  <c r="D88" i="100" s="1"/>
  <c r="T87" i="100"/>
  <c r="S87" i="100" a="1"/>
  <c r="S87" i="100" s="1"/>
  <c r="R87" i="100" a="1"/>
  <c r="R87" i="100" s="1"/>
  <c r="Q87" i="100" a="1"/>
  <c r="Q87" i="100" s="1"/>
  <c r="P87" i="100" a="1"/>
  <c r="P87" i="100" s="1"/>
  <c r="O87" i="100" a="1"/>
  <c r="O87" i="100" s="1"/>
  <c r="N87" i="100" a="1"/>
  <c r="N87" i="100" s="1"/>
  <c r="M87" i="100" a="1"/>
  <c r="M87" i="100" s="1"/>
  <c r="L87" i="100" a="1"/>
  <c r="L87" i="100" s="1"/>
  <c r="K87" i="100" a="1"/>
  <c r="K87" i="100" s="1"/>
  <c r="J87" i="100" a="1"/>
  <c r="J87" i="100" s="1"/>
  <c r="I87" i="100" a="1"/>
  <c r="I87" i="100" s="1"/>
  <c r="H87" i="100" a="1"/>
  <c r="H87" i="100" s="1"/>
  <c r="G87" i="100" a="1"/>
  <c r="G87" i="100" s="1"/>
  <c r="F87" i="100" a="1"/>
  <c r="F87" i="100" s="1"/>
  <c r="E87" i="100" a="1"/>
  <c r="E87" i="100" s="1"/>
  <c r="D87" i="100" a="1"/>
  <c r="D87" i="100" s="1"/>
  <c r="T85" i="100" a="1"/>
  <c r="T85" i="100" s="1"/>
  <c r="S85" i="100" a="1"/>
  <c r="S85" i="100" s="1"/>
  <c r="R85" i="100" a="1"/>
  <c r="R85" i="100" s="1"/>
  <c r="Q85" i="100" a="1"/>
  <c r="Q85" i="100" s="1"/>
  <c r="P85" i="100" a="1"/>
  <c r="P85" i="100" s="1"/>
  <c r="O85" i="100" a="1"/>
  <c r="O85" i="100" s="1"/>
  <c r="N85" i="100" a="1"/>
  <c r="N85" i="100" s="1"/>
  <c r="M85" i="100" a="1"/>
  <c r="M85" i="100" s="1"/>
  <c r="L85" i="100" a="1"/>
  <c r="L85" i="100" s="1"/>
  <c r="K85" i="100" a="1"/>
  <c r="K85" i="100" s="1"/>
  <c r="J85" i="100" a="1"/>
  <c r="J85" i="100" s="1"/>
  <c r="I85" i="100" a="1"/>
  <c r="I85" i="100" s="1"/>
  <c r="H85" i="100" a="1"/>
  <c r="H85" i="100" s="1"/>
  <c r="G85" i="100" a="1"/>
  <c r="G85" i="100" s="1"/>
  <c r="F85" i="100" a="1"/>
  <c r="F85" i="100" s="1"/>
  <c r="E85" i="100" a="1"/>
  <c r="E85" i="100" s="1"/>
  <c r="D85" i="100" a="1"/>
  <c r="D85" i="100" s="1"/>
  <c r="T84" i="100" a="1"/>
  <c r="T84" i="100" s="1"/>
  <c r="S84" i="100" a="1"/>
  <c r="S84" i="100" s="1"/>
  <c r="R84" i="100" a="1"/>
  <c r="R84" i="100" s="1"/>
  <c r="Q84" i="100" a="1"/>
  <c r="Q84" i="100" s="1"/>
  <c r="P84" i="100" a="1"/>
  <c r="P84" i="100" s="1"/>
  <c r="O84" i="100" a="1"/>
  <c r="O84" i="100" s="1"/>
  <c r="N84" i="100" a="1"/>
  <c r="N84" i="100" s="1"/>
  <c r="M84" i="100" a="1"/>
  <c r="M84" i="100" s="1"/>
  <c r="L84" i="100" a="1"/>
  <c r="L84" i="100" s="1"/>
  <c r="K84" i="100" a="1"/>
  <c r="K84" i="100" s="1"/>
  <c r="J84" i="100" a="1"/>
  <c r="J84" i="100" s="1"/>
  <c r="I84" i="100" a="1"/>
  <c r="I84" i="100" s="1"/>
  <c r="H84" i="100" a="1"/>
  <c r="H84" i="100" s="1"/>
  <c r="G84" i="100" a="1"/>
  <c r="G84" i="100" s="1"/>
  <c r="F84" i="100" a="1"/>
  <c r="F84" i="100" s="1"/>
  <c r="E84" i="100" a="1"/>
  <c r="E84" i="100" s="1"/>
  <c r="D84" i="100" a="1"/>
  <c r="D84" i="100" s="1"/>
  <c r="T83" i="100" a="1"/>
  <c r="T83" i="100" s="1"/>
  <c r="S83" i="100" a="1"/>
  <c r="S83" i="100" s="1"/>
  <c r="R83" i="100" a="1"/>
  <c r="R83" i="100" s="1"/>
  <c r="Q83" i="100" a="1"/>
  <c r="Q83" i="100" s="1"/>
  <c r="P83" i="100" a="1"/>
  <c r="P83" i="100" s="1"/>
  <c r="O83" i="100" a="1"/>
  <c r="O83" i="100" s="1"/>
  <c r="N83" i="100" a="1"/>
  <c r="N83" i="100" s="1"/>
  <c r="M83" i="100" a="1"/>
  <c r="M83" i="100" s="1"/>
  <c r="L83" i="100" a="1"/>
  <c r="L83" i="100" s="1"/>
  <c r="K83" i="100" a="1"/>
  <c r="K83" i="100" s="1"/>
  <c r="J83" i="100" a="1"/>
  <c r="J83" i="100" s="1"/>
  <c r="I83" i="100" a="1"/>
  <c r="I83" i="100" s="1"/>
  <c r="H83" i="100" a="1"/>
  <c r="H83" i="100" s="1"/>
  <c r="G83" i="100" a="1"/>
  <c r="G83" i="100" s="1"/>
  <c r="F83" i="100" a="1"/>
  <c r="F83" i="100" s="1"/>
  <c r="E83" i="100" a="1"/>
  <c r="E83" i="100" s="1"/>
  <c r="D83" i="100" a="1"/>
  <c r="D83" i="100" s="1"/>
  <c r="T82" i="100"/>
  <c r="S82" i="100" a="1"/>
  <c r="S82" i="100" s="1"/>
  <c r="R82" i="100" a="1"/>
  <c r="R82" i="100" s="1"/>
  <c r="Q82" i="100" a="1"/>
  <c r="Q82" i="100" s="1"/>
  <c r="P82" i="100" a="1"/>
  <c r="P82" i="100" s="1"/>
  <c r="O82" i="100" a="1"/>
  <c r="O82" i="100" s="1"/>
  <c r="N82" i="100" a="1"/>
  <c r="N82" i="100" s="1"/>
  <c r="M82" i="100" a="1"/>
  <c r="M82" i="100" s="1"/>
  <c r="L82" i="100" a="1"/>
  <c r="L82" i="100" s="1"/>
  <c r="K82" i="100" a="1"/>
  <c r="K82" i="100" s="1"/>
  <c r="J82" i="100" a="1"/>
  <c r="J82" i="100" s="1"/>
  <c r="I82" i="100" a="1"/>
  <c r="I82" i="100" s="1"/>
  <c r="H82" i="100" a="1"/>
  <c r="H82" i="100" s="1"/>
  <c r="G82" i="100" a="1"/>
  <c r="G82" i="100" s="1"/>
  <c r="F82" i="100" a="1"/>
  <c r="F82" i="100" s="1"/>
  <c r="E82" i="100" a="1"/>
  <c r="E82" i="100" s="1"/>
  <c r="D82" i="100" a="1"/>
  <c r="D82" i="100" s="1"/>
  <c r="T80" i="100" a="1"/>
  <c r="T80" i="100" s="1"/>
  <c r="S80" i="100" a="1"/>
  <c r="S80" i="100" s="1"/>
  <c r="R80" i="100" a="1"/>
  <c r="R80" i="100" s="1"/>
  <c r="Q80" i="100" a="1"/>
  <c r="Q80" i="100" s="1"/>
  <c r="P80" i="100" a="1"/>
  <c r="P80" i="100" s="1"/>
  <c r="O80" i="100" a="1"/>
  <c r="O80" i="100" s="1"/>
  <c r="N80" i="100" a="1"/>
  <c r="N80" i="100" s="1"/>
  <c r="M80" i="100" a="1"/>
  <c r="M80" i="100" s="1"/>
  <c r="L80" i="100" a="1"/>
  <c r="L80" i="100" s="1"/>
  <c r="K80" i="100" a="1"/>
  <c r="K80" i="100" s="1"/>
  <c r="J80" i="100" a="1"/>
  <c r="J80" i="100" s="1"/>
  <c r="I80" i="100" a="1"/>
  <c r="I80" i="100" s="1"/>
  <c r="H80" i="100" a="1"/>
  <c r="H80" i="100" s="1"/>
  <c r="G80" i="100" a="1"/>
  <c r="G80" i="100" s="1"/>
  <c r="F80" i="100" a="1"/>
  <c r="F80" i="100" s="1"/>
  <c r="E80" i="100" a="1"/>
  <c r="E80" i="100" s="1"/>
  <c r="T79" i="100" a="1"/>
  <c r="T79" i="100" s="1"/>
  <c r="S79" i="100" a="1"/>
  <c r="S79" i="100" s="1"/>
  <c r="R79" i="100" a="1"/>
  <c r="R79" i="100" s="1"/>
  <c r="Q79" i="100" a="1"/>
  <c r="Q79" i="100" s="1"/>
  <c r="P79" i="100" a="1"/>
  <c r="P79" i="100" s="1"/>
  <c r="O79" i="100" a="1"/>
  <c r="O79" i="100" s="1"/>
  <c r="N79" i="100" a="1"/>
  <c r="N79" i="100" s="1"/>
  <c r="M79" i="100" a="1"/>
  <c r="M79" i="100" s="1"/>
  <c r="L79" i="100" a="1"/>
  <c r="L79" i="100" s="1"/>
  <c r="K79" i="100" a="1"/>
  <c r="K79" i="100" s="1"/>
  <c r="J79" i="100" a="1"/>
  <c r="J79" i="100" s="1"/>
  <c r="I79" i="100" a="1"/>
  <c r="I79" i="100" s="1"/>
  <c r="H79" i="100" a="1"/>
  <c r="H79" i="100" s="1"/>
  <c r="G79" i="100" a="1"/>
  <c r="G79" i="100" s="1"/>
  <c r="F79" i="100" a="1"/>
  <c r="F79" i="100" s="1"/>
  <c r="E79" i="100" a="1"/>
  <c r="E79" i="100" s="1"/>
  <c r="D79" i="100" a="1"/>
  <c r="D79" i="100" s="1"/>
  <c r="T78" i="100" a="1"/>
  <c r="T78" i="100" s="1"/>
  <c r="S78" i="100" a="1"/>
  <c r="S78" i="100" s="1"/>
  <c r="R78" i="100" a="1"/>
  <c r="R78" i="100" s="1"/>
  <c r="Q78" i="100" a="1"/>
  <c r="Q78" i="100" s="1"/>
  <c r="P78" i="100" a="1"/>
  <c r="P78" i="100" s="1"/>
  <c r="O78" i="100" a="1"/>
  <c r="O78" i="100" s="1"/>
  <c r="N78" i="100" a="1"/>
  <c r="N78" i="100" s="1"/>
  <c r="M78" i="100" a="1"/>
  <c r="M78" i="100" s="1"/>
  <c r="L78" i="100" a="1"/>
  <c r="L78" i="100" s="1"/>
  <c r="K78" i="100" a="1"/>
  <c r="K78" i="100" s="1"/>
  <c r="J78" i="100" a="1"/>
  <c r="J78" i="100" s="1"/>
  <c r="I78" i="100" a="1"/>
  <c r="I78" i="100" s="1"/>
  <c r="H78" i="100" a="1"/>
  <c r="H78" i="100" s="1"/>
  <c r="G78" i="100" a="1"/>
  <c r="G78" i="100" s="1"/>
  <c r="F78" i="100" a="1"/>
  <c r="F78" i="100" s="1"/>
  <c r="E78" i="100" a="1"/>
  <c r="E78" i="100" s="1"/>
  <c r="D78" i="100" a="1"/>
  <c r="D78" i="100" s="1"/>
  <c r="T77" i="100"/>
  <c r="S77" i="100" a="1"/>
  <c r="S77" i="100" s="1"/>
  <c r="R77" i="100" a="1"/>
  <c r="R77" i="100" s="1"/>
  <c r="Q77" i="100" a="1"/>
  <c r="Q77" i="100" s="1"/>
  <c r="P77" i="100" a="1"/>
  <c r="P77" i="100" s="1"/>
  <c r="O77" i="100" a="1"/>
  <c r="O77" i="100" s="1"/>
  <c r="N77" i="100" a="1"/>
  <c r="N77" i="100" s="1"/>
  <c r="M77" i="100" a="1"/>
  <c r="M77" i="100" s="1"/>
  <c r="L77" i="100" a="1"/>
  <c r="L77" i="100" s="1"/>
  <c r="K77" i="100" a="1"/>
  <c r="K77" i="100" s="1"/>
  <c r="J77" i="100" a="1"/>
  <c r="J77" i="100" s="1"/>
  <c r="I77" i="100" a="1"/>
  <c r="I77" i="100" s="1"/>
  <c r="H77" i="100" a="1"/>
  <c r="H77" i="100" s="1"/>
  <c r="G77" i="100" a="1"/>
  <c r="G77" i="100" s="1"/>
  <c r="F77" i="100" a="1"/>
  <c r="F77" i="100" s="1"/>
  <c r="E77" i="100" a="1"/>
  <c r="E77" i="100" s="1"/>
  <c r="D77" i="100" a="1"/>
  <c r="D77" i="100" s="1"/>
  <c r="T72" i="100"/>
  <c r="S72" i="100"/>
  <c r="R72" i="100"/>
  <c r="Q72" i="100"/>
  <c r="P72" i="100"/>
  <c r="O72" i="100"/>
  <c r="N72" i="100"/>
  <c r="M72" i="100"/>
  <c r="L72" i="100"/>
  <c r="K72" i="100"/>
  <c r="J72" i="100"/>
  <c r="I72" i="100"/>
  <c r="H72" i="100"/>
  <c r="G72" i="100"/>
  <c r="F72" i="100"/>
  <c r="E72" i="100"/>
  <c r="D72" i="100"/>
  <c r="T70" i="100"/>
  <c r="S70" i="100"/>
  <c r="R70" i="100"/>
  <c r="Q70" i="100"/>
  <c r="P70" i="100"/>
  <c r="O70" i="100"/>
  <c r="N70" i="100"/>
  <c r="M70" i="100"/>
  <c r="L70" i="100"/>
  <c r="K70" i="100"/>
  <c r="J70" i="100"/>
  <c r="I70" i="100"/>
  <c r="H70" i="100"/>
  <c r="G70" i="100"/>
  <c r="F70" i="100"/>
  <c r="E70" i="100"/>
  <c r="D70" i="100"/>
  <c r="T69" i="100"/>
  <c r="S69" i="100"/>
  <c r="R69" i="100"/>
  <c r="Q69" i="100"/>
  <c r="P69" i="100"/>
  <c r="O69" i="100"/>
  <c r="N69" i="100"/>
  <c r="M69" i="100"/>
  <c r="L69" i="100"/>
  <c r="K69" i="100"/>
  <c r="J69" i="100"/>
  <c r="I69" i="100"/>
  <c r="H69" i="100"/>
  <c r="G69" i="100"/>
  <c r="F69" i="100"/>
  <c r="E69" i="100"/>
  <c r="D69" i="100"/>
  <c r="T68" i="100"/>
  <c r="S68" i="100"/>
  <c r="R68" i="100"/>
  <c r="Q68" i="100"/>
  <c r="P68" i="100"/>
  <c r="O68" i="100"/>
  <c r="N68" i="100"/>
  <c r="M68" i="100"/>
  <c r="L68" i="100"/>
  <c r="K68" i="100"/>
  <c r="J68" i="100"/>
  <c r="I68" i="100"/>
  <c r="H68" i="100"/>
  <c r="G68" i="100"/>
  <c r="F68" i="100"/>
  <c r="E68" i="100"/>
  <c r="D68" i="100"/>
  <c r="T67" i="100"/>
  <c r="S67" i="100"/>
  <c r="R67" i="100"/>
  <c r="Q67" i="100"/>
  <c r="P67" i="100"/>
  <c r="O67" i="100"/>
  <c r="N67" i="100"/>
  <c r="M67" i="100"/>
  <c r="L67" i="100"/>
  <c r="K67" i="100"/>
  <c r="J67" i="100"/>
  <c r="I67" i="100"/>
  <c r="H67" i="100"/>
  <c r="G67" i="100"/>
  <c r="F67" i="100"/>
  <c r="E67" i="100"/>
  <c r="D67" i="100"/>
  <c r="T65" i="100"/>
  <c r="S65" i="100"/>
  <c r="R65" i="100"/>
  <c r="Q65" i="100"/>
  <c r="P65" i="100"/>
  <c r="O65" i="100"/>
  <c r="N65" i="100"/>
  <c r="M65" i="100"/>
  <c r="L65" i="100"/>
  <c r="K65" i="100"/>
  <c r="J65" i="100"/>
  <c r="I65" i="100"/>
  <c r="H65" i="100"/>
  <c r="G65" i="100"/>
  <c r="F65" i="100"/>
  <c r="E65" i="100"/>
  <c r="D65" i="100"/>
  <c r="T64" i="100"/>
  <c r="S64" i="100"/>
  <c r="R64" i="100"/>
  <c r="Q64" i="100"/>
  <c r="P64" i="100"/>
  <c r="O64" i="100"/>
  <c r="N64" i="100"/>
  <c r="M64" i="100"/>
  <c r="L64" i="100"/>
  <c r="K64" i="100"/>
  <c r="J64" i="100"/>
  <c r="I64" i="100"/>
  <c r="H64" i="100"/>
  <c r="G64" i="100"/>
  <c r="F64" i="100"/>
  <c r="E64" i="100"/>
  <c r="D64" i="100"/>
  <c r="T63" i="100"/>
  <c r="S63" i="100"/>
  <c r="R63" i="100"/>
  <c r="Q63" i="100"/>
  <c r="P63" i="100"/>
  <c r="O63" i="100"/>
  <c r="N63" i="100"/>
  <c r="M63" i="100"/>
  <c r="L63" i="100"/>
  <c r="K63" i="100"/>
  <c r="J63" i="100"/>
  <c r="I63" i="100"/>
  <c r="H63" i="100"/>
  <c r="G63" i="100"/>
  <c r="F63" i="100"/>
  <c r="E63" i="100"/>
  <c r="D63" i="100"/>
  <c r="T62" i="100"/>
  <c r="S62" i="100"/>
  <c r="R62" i="100"/>
  <c r="Q62" i="100"/>
  <c r="P62" i="100"/>
  <c r="O62" i="100"/>
  <c r="N62" i="100"/>
  <c r="M62" i="100"/>
  <c r="L62" i="100"/>
  <c r="K62" i="100"/>
  <c r="J62" i="100"/>
  <c r="I62" i="100"/>
  <c r="H62" i="100"/>
  <c r="G62" i="100"/>
  <c r="F62" i="100"/>
  <c r="E62" i="100"/>
  <c r="D62" i="100"/>
  <c r="T60" i="100"/>
  <c r="S60" i="100"/>
  <c r="R60" i="100"/>
  <c r="Q60" i="100"/>
  <c r="P60" i="100"/>
  <c r="O60" i="100"/>
  <c r="N60" i="100"/>
  <c r="M60" i="100"/>
  <c r="L60" i="100"/>
  <c r="K60" i="100"/>
  <c r="J60" i="100"/>
  <c r="I60" i="100"/>
  <c r="H60" i="100"/>
  <c r="G60" i="100"/>
  <c r="F60" i="100"/>
  <c r="E60" i="100"/>
  <c r="D60" i="100"/>
  <c r="T59" i="100"/>
  <c r="S59" i="100"/>
  <c r="R59" i="100"/>
  <c r="Q59" i="100"/>
  <c r="P59" i="100"/>
  <c r="O59" i="100"/>
  <c r="N59" i="100"/>
  <c r="M59" i="100"/>
  <c r="L59" i="100"/>
  <c r="K59" i="100"/>
  <c r="J59" i="100"/>
  <c r="I59" i="100"/>
  <c r="H59" i="100"/>
  <c r="G59" i="100"/>
  <c r="F59" i="100"/>
  <c r="E59" i="100"/>
  <c r="D59" i="100"/>
  <c r="T58" i="100"/>
  <c r="S58" i="100"/>
  <c r="R58" i="100"/>
  <c r="Q58" i="100"/>
  <c r="P58" i="100"/>
  <c r="O58" i="100"/>
  <c r="N58" i="100"/>
  <c r="M58" i="100"/>
  <c r="L58" i="100"/>
  <c r="K58" i="100"/>
  <c r="J58" i="100"/>
  <c r="I58" i="100"/>
  <c r="H58" i="100"/>
  <c r="G58" i="100"/>
  <c r="F58" i="100"/>
  <c r="E58" i="100"/>
  <c r="D58" i="100"/>
  <c r="T57" i="100"/>
  <c r="S57" i="100"/>
  <c r="R57" i="100"/>
  <c r="Q57" i="100"/>
  <c r="P57" i="100"/>
  <c r="O57" i="100"/>
  <c r="N57" i="100"/>
  <c r="M57" i="100"/>
  <c r="L57" i="100"/>
  <c r="K57" i="100"/>
  <c r="J57" i="100"/>
  <c r="I57" i="100"/>
  <c r="H57" i="100"/>
  <c r="G57" i="100"/>
  <c r="F57" i="100"/>
  <c r="E57" i="100"/>
  <c r="D57" i="100"/>
  <c r="T55" i="100"/>
  <c r="S55" i="100"/>
  <c r="R55" i="100"/>
  <c r="Q55" i="100"/>
  <c r="P55" i="100"/>
  <c r="O55" i="100"/>
  <c r="N55" i="100"/>
  <c r="M55" i="100"/>
  <c r="L55" i="100"/>
  <c r="K55" i="100"/>
  <c r="J55" i="100"/>
  <c r="I55" i="100"/>
  <c r="H55" i="100"/>
  <c r="G55" i="100"/>
  <c r="F55" i="100"/>
  <c r="E55" i="100"/>
  <c r="D55" i="100"/>
  <c r="T54" i="100"/>
  <c r="S54" i="100"/>
  <c r="R54" i="100"/>
  <c r="Q54" i="100"/>
  <c r="P54" i="100"/>
  <c r="O54" i="100"/>
  <c r="N54" i="100"/>
  <c r="M54" i="100"/>
  <c r="L54" i="100"/>
  <c r="K54" i="100"/>
  <c r="J54" i="100"/>
  <c r="I54" i="100"/>
  <c r="H54" i="100"/>
  <c r="G54" i="100"/>
  <c r="F54" i="100"/>
  <c r="E54" i="100"/>
  <c r="D54" i="100"/>
  <c r="T53" i="100"/>
  <c r="S53" i="100"/>
  <c r="R53" i="100"/>
  <c r="Q53" i="100"/>
  <c r="P53" i="100"/>
  <c r="O53" i="100"/>
  <c r="N53" i="100"/>
  <c r="M53" i="100"/>
  <c r="L53" i="100"/>
  <c r="K53" i="100"/>
  <c r="J53" i="100"/>
  <c r="I53" i="100"/>
  <c r="H53" i="100"/>
  <c r="G53" i="100"/>
  <c r="F53" i="100"/>
  <c r="E53" i="100"/>
  <c r="D53" i="100"/>
  <c r="T52" i="100"/>
  <c r="S52" i="100"/>
  <c r="R52" i="100"/>
  <c r="Q52" i="100"/>
  <c r="P52" i="100"/>
  <c r="O52" i="100"/>
  <c r="N52" i="100"/>
  <c r="M52" i="100"/>
  <c r="L52" i="100"/>
  <c r="K52" i="100"/>
  <c r="J52" i="100"/>
  <c r="I52" i="100"/>
  <c r="H52" i="100"/>
  <c r="G52" i="100"/>
  <c r="F52" i="100"/>
  <c r="E52" i="100"/>
  <c r="D52" i="100"/>
  <c r="T50" i="100"/>
  <c r="S50" i="100"/>
  <c r="R50" i="100"/>
  <c r="Q50" i="100"/>
  <c r="P50" i="100"/>
  <c r="O50" i="100"/>
  <c r="N50" i="100"/>
  <c r="M50" i="100"/>
  <c r="L50" i="100"/>
  <c r="K50" i="100"/>
  <c r="J50" i="100"/>
  <c r="I50" i="100"/>
  <c r="H50" i="100"/>
  <c r="G50" i="100"/>
  <c r="F50" i="100"/>
  <c r="E50" i="100"/>
  <c r="D50" i="100"/>
  <c r="T49" i="100"/>
  <c r="S49" i="100"/>
  <c r="R49" i="100"/>
  <c r="Q49" i="100"/>
  <c r="P49" i="100"/>
  <c r="O49" i="100"/>
  <c r="N49" i="100"/>
  <c r="M49" i="100"/>
  <c r="L49" i="100"/>
  <c r="K49" i="100"/>
  <c r="J49" i="100"/>
  <c r="I49" i="100"/>
  <c r="H49" i="100"/>
  <c r="G49" i="100"/>
  <c r="F49" i="100"/>
  <c r="E49" i="100"/>
  <c r="D49" i="100"/>
  <c r="T48" i="100"/>
  <c r="S48" i="100"/>
  <c r="R48" i="100"/>
  <c r="Q48" i="100"/>
  <c r="P48" i="100"/>
  <c r="O48" i="100"/>
  <c r="N48" i="100"/>
  <c r="M48" i="100"/>
  <c r="L48" i="100"/>
  <c r="K48" i="100"/>
  <c r="J48" i="100"/>
  <c r="I48" i="100"/>
  <c r="H48" i="100"/>
  <c r="G48" i="100"/>
  <c r="F48" i="100"/>
  <c r="E48" i="100"/>
  <c r="D48" i="100"/>
  <c r="T47" i="100"/>
  <c r="S47" i="100"/>
  <c r="R47" i="100"/>
  <c r="Q47" i="100"/>
  <c r="P47" i="100"/>
  <c r="O47" i="100"/>
  <c r="N47" i="100"/>
  <c r="M47" i="100"/>
  <c r="L47" i="100"/>
  <c r="K47" i="100"/>
  <c r="J47" i="100"/>
  <c r="I47" i="100"/>
  <c r="H47" i="100"/>
  <c r="G47" i="100"/>
  <c r="F47" i="100"/>
  <c r="E47" i="100"/>
  <c r="D47" i="100"/>
  <c r="T45" i="100"/>
  <c r="S45" i="100"/>
  <c r="R45" i="100"/>
  <c r="Q45" i="100"/>
  <c r="P45" i="100"/>
  <c r="O45" i="100"/>
  <c r="N45" i="100"/>
  <c r="M45" i="100"/>
  <c r="L45" i="100"/>
  <c r="K45" i="100"/>
  <c r="J45" i="100"/>
  <c r="I45" i="100"/>
  <c r="H45" i="100"/>
  <c r="G45" i="100"/>
  <c r="F45" i="100"/>
  <c r="E45" i="100"/>
  <c r="D45" i="100"/>
  <c r="T44" i="100"/>
  <c r="S44" i="100"/>
  <c r="R44" i="100"/>
  <c r="Q44" i="100"/>
  <c r="P44" i="100"/>
  <c r="O44" i="100"/>
  <c r="N44" i="100"/>
  <c r="M44" i="100"/>
  <c r="L44" i="100"/>
  <c r="K44" i="100"/>
  <c r="J44" i="100"/>
  <c r="I44" i="100"/>
  <c r="H44" i="100"/>
  <c r="G44" i="100"/>
  <c r="F44" i="100"/>
  <c r="E44" i="100"/>
  <c r="D44" i="100"/>
  <c r="T43" i="100"/>
  <c r="S43" i="100"/>
  <c r="R43" i="100"/>
  <c r="Q43" i="100"/>
  <c r="P43" i="100"/>
  <c r="O43" i="100"/>
  <c r="N43" i="100"/>
  <c r="M43" i="100"/>
  <c r="L43" i="100"/>
  <c r="K43" i="100"/>
  <c r="J43" i="100"/>
  <c r="I43" i="100"/>
  <c r="H43" i="100"/>
  <c r="G43" i="100"/>
  <c r="F43" i="100"/>
  <c r="E43" i="100"/>
  <c r="D43" i="100"/>
  <c r="T42" i="100"/>
  <c r="S42" i="100"/>
  <c r="R42" i="100"/>
  <c r="Q42" i="100"/>
  <c r="P42" i="100"/>
  <c r="O42" i="100"/>
  <c r="N42" i="100"/>
  <c r="M42" i="100"/>
  <c r="L42" i="100"/>
  <c r="K42" i="100"/>
  <c r="J42" i="100"/>
  <c r="I42" i="100"/>
  <c r="H42" i="100"/>
  <c r="G42" i="100"/>
  <c r="F42" i="100"/>
  <c r="E42" i="100"/>
  <c r="D42" i="100"/>
  <c r="T40" i="100"/>
  <c r="S40" i="100"/>
  <c r="R40" i="100"/>
  <c r="Q40" i="100"/>
  <c r="P40" i="100"/>
  <c r="O40" i="100"/>
  <c r="N40" i="100"/>
  <c r="M40" i="100"/>
  <c r="L40" i="100"/>
  <c r="K40" i="100"/>
  <c r="J40" i="100"/>
  <c r="I40" i="100"/>
  <c r="H40" i="100"/>
  <c r="G40" i="100"/>
  <c r="F40" i="100"/>
  <c r="E40" i="100"/>
  <c r="D40" i="100"/>
  <c r="T39" i="100"/>
  <c r="S39" i="100"/>
  <c r="R39" i="100"/>
  <c r="Q39" i="100"/>
  <c r="P39" i="100"/>
  <c r="O39" i="100"/>
  <c r="N39" i="100"/>
  <c r="M39" i="100"/>
  <c r="L39" i="100"/>
  <c r="K39" i="100"/>
  <c r="J39" i="100"/>
  <c r="I39" i="100"/>
  <c r="H39" i="100"/>
  <c r="G39" i="100"/>
  <c r="F39" i="100"/>
  <c r="E39" i="100"/>
  <c r="D39" i="100"/>
  <c r="T38" i="100"/>
  <c r="S38" i="100"/>
  <c r="R38" i="100"/>
  <c r="Q38" i="100"/>
  <c r="P38" i="100"/>
  <c r="O38" i="100"/>
  <c r="N38" i="100"/>
  <c r="M38" i="100"/>
  <c r="L38" i="100"/>
  <c r="K38" i="100"/>
  <c r="J38" i="100"/>
  <c r="I38" i="100"/>
  <c r="H38" i="100"/>
  <c r="G38" i="100"/>
  <c r="F38" i="100"/>
  <c r="E38" i="100"/>
  <c r="D38" i="100"/>
  <c r="T37" i="100"/>
  <c r="S37" i="100"/>
  <c r="R37" i="100"/>
  <c r="Q37" i="100"/>
  <c r="P37" i="100"/>
  <c r="O37" i="100"/>
  <c r="N37" i="100"/>
  <c r="M37" i="100"/>
  <c r="L37" i="100"/>
  <c r="K37" i="100"/>
  <c r="J37" i="100"/>
  <c r="I37" i="100"/>
  <c r="H37" i="100"/>
  <c r="G37" i="100"/>
  <c r="F37" i="100"/>
  <c r="E37" i="100"/>
  <c r="D37" i="100"/>
  <c r="T35" i="100"/>
  <c r="S35" i="100"/>
  <c r="R35" i="100"/>
  <c r="Q35" i="100"/>
  <c r="P35" i="100"/>
  <c r="O35" i="100"/>
  <c r="N35" i="100"/>
  <c r="M35" i="100"/>
  <c r="L35" i="100"/>
  <c r="K35" i="100"/>
  <c r="J35" i="100"/>
  <c r="I35" i="100"/>
  <c r="H35" i="100"/>
  <c r="G35" i="100"/>
  <c r="F35" i="100"/>
  <c r="E35" i="100"/>
  <c r="D35" i="100"/>
  <c r="T34" i="100"/>
  <c r="S34" i="100"/>
  <c r="R34" i="100"/>
  <c r="Q34" i="100"/>
  <c r="P34" i="100"/>
  <c r="O34" i="100"/>
  <c r="N34" i="100"/>
  <c r="M34" i="100"/>
  <c r="L34" i="100"/>
  <c r="K34" i="100"/>
  <c r="J34" i="100"/>
  <c r="I34" i="100"/>
  <c r="H34" i="100"/>
  <c r="G34" i="100"/>
  <c r="F34" i="100"/>
  <c r="E34" i="100"/>
  <c r="D34" i="100"/>
  <c r="T33" i="100"/>
  <c r="S33" i="100"/>
  <c r="R33" i="100"/>
  <c r="Q33" i="100"/>
  <c r="P33" i="100"/>
  <c r="O33" i="100"/>
  <c r="N33" i="100"/>
  <c r="M33" i="100"/>
  <c r="L33" i="100"/>
  <c r="K33" i="100"/>
  <c r="J33" i="100"/>
  <c r="I33" i="100"/>
  <c r="H33" i="100"/>
  <c r="G33" i="100"/>
  <c r="F33" i="100"/>
  <c r="E33" i="100"/>
  <c r="D33" i="100"/>
  <c r="T32" i="100"/>
  <c r="S32" i="100"/>
  <c r="R32" i="100"/>
  <c r="Q32" i="100"/>
  <c r="P32" i="100"/>
  <c r="O32" i="100"/>
  <c r="N32" i="100"/>
  <c r="M32" i="100"/>
  <c r="L32" i="100"/>
  <c r="K32" i="100"/>
  <c r="J32" i="100"/>
  <c r="I32" i="100"/>
  <c r="H32" i="100"/>
  <c r="G32" i="100"/>
  <c r="F32" i="100"/>
  <c r="E32" i="100"/>
  <c r="D32" i="100"/>
  <c r="T30" i="100"/>
  <c r="S30" i="100"/>
  <c r="R30" i="100"/>
  <c r="Q30" i="100"/>
  <c r="P30" i="100"/>
  <c r="O30" i="100"/>
  <c r="N30" i="100"/>
  <c r="M30" i="100"/>
  <c r="L30" i="100"/>
  <c r="K30" i="100"/>
  <c r="J30" i="100"/>
  <c r="I30" i="100"/>
  <c r="H30" i="100"/>
  <c r="G30" i="100"/>
  <c r="F30" i="100"/>
  <c r="E30" i="100"/>
  <c r="D30" i="100"/>
  <c r="T29" i="100"/>
  <c r="S29" i="100"/>
  <c r="R29" i="100"/>
  <c r="Q29" i="100"/>
  <c r="P29" i="100"/>
  <c r="O29" i="100"/>
  <c r="N29" i="100"/>
  <c r="M29" i="100"/>
  <c r="L29" i="100"/>
  <c r="K29" i="100"/>
  <c r="J29" i="100"/>
  <c r="I29" i="100"/>
  <c r="H29" i="100"/>
  <c r="G29" i="100"/>
  <c r="F29" i="100"/>
  <c r="E29" i="100"/>
  <c r="D29" i="100"/>
  <c r="T28" i="100"/>
  <c r="S28" i="100"/>
  <c r="R28" i="100"/>
  <c r="Q28" i="100"/>
  <c r="P28" i="100"/>
  <c r="O28" i="100"/>
  <c r="N28" i="100"/>
  <c r="M28" i="100"/>
  <c r="L28" i="100"/>
  <c r="K28" i="100"/>
  <c r="J28" i="100"/>
  <c r="I28" i="100"/>
  <c r="H28" i="100"/>
  <c r="G28" i="100"/>
  <c r="F28" i="100"/>
  <c r="E28" i="100"/>
  <c r="D28" i="100"/>
  <c r="T27" i="100"/>
  <c r="S27" i="100"/>
  <c r="R27" i="100"/>
  <c r="Q27" i="100"/>
  <c r="P27" i="100"/>
  <c r="O27" i="100"/>
  <c r="N27" i="100"/>
  <c r="M27" i="100"/>
  <c r="L27" i="100"/>
  <c r="K27" i="100"/>
  <c r="J27" i="100"/>
  <c r="I27" i="100"/>
  <c r="H27" i="100"/>
  <c r="G27" i="100"/>
  <c r="F27" i="100"/>
  <c r="E27" i="100"/>
  <c r="D27" i="100"/>
  <c r="T25" i="100"/>
  <c r="S25" i="100"/>
  <c r="R25" i="100"/>
  <c r="Q25" i="100"/>
  <c r="P25" i="100"/>
  <c r="O25" i="100"/>
  <c r="N25" i="100"/>
  <c r="M25" i="100"/>
  <c r="L25" i="100"/>
  <c r="K25" i="100"/>
  <c r="J25" i="100"/>
  <c r="I25" i="100"/>
  <c r="H25" i="100"/>
  <c r="G25" i="100"/>
  <c r="F25" i="100"/>
  <c r="E25" i="100"/>
  <c r="D25" i="100"/>
  <c r="T24" i="100"/>
  <c r="S24" i="100"/>
  <c r="R24" i="100"/>
  <c r="Q24" i="100"/>
  <c r="P24" i="100"/>
  <c r="O24" i="100"/>
  <c r="N24" i="100"/>
  <c r="M24" i="100"/>
  <c r="L24" i="100"/>
  <c r="K24" i="100"/>
  <c r="J24" i="100"/>
  <c r="I24" i="100"/>
  <c r="H24" i="100"/>
  <c r="G24" i="100"/>
  <c r="F24" i="100"/>
  <c r="E24" i="100"/>
  <c r="D24" i="100"/>
  <c r="T23" i="100"/>
  <c r="S23" i="100"/>
  <c r="R23" i="100"/>
  <c r="Q23" i="100"/>
  <c r="P23" i="100"/>
  <c r="O23" i="100"/>
  <c r="N23" i="100"/>
  <c r="M23" i="100"/>
  <c r="L23" i="100"/>
  <c r="K23" i="100"/>
  <c r="J23" i="100"/>
  <c r="I23" i="100"/>
  <c r="H23" i="100"/>
  <c r="G23" i="100"/>
  <c r="F23" i="100"/>
  <c r="E23" i="100"/>
  <c r="D23" i="100"/>
  <c r="T22" i="100"/>
  <c r="S22" i="100"/>
  <c r="R22" i="100"/>
  <c r="Q22" i="100"/>
  <c r="P22" i="100"/>
  <c r="O22" i="100"/>
  <c r="N22" i="100"/>
  <c r="M22" i="100"/>
  <c r="L22" i="100"/>
  <c r="K22" i="100"/>
  <c r="J22" i="100"/>
  <c r="I22" i="100"/>
  <c r="H22" i="100"/>
  <c r="G22" i="100"/>
  <c r="F22" i="100"/>
  <c r="E22" i="100"/>
  <c r="D22" i="100"/>
  <c r="T20" i="100"/>
  <c r="S20" i="100"/>
  <c r="R20" i="100"/>
  <c r="Q20" i="100"/>
  <c r="P20" i="100"/>
  <c r="O20" i="100"/>
  <c r="N20" i="100"/>
  <c r="M20" i="100"/>
  <c r="L20" i="100"/>
  <c r="K20" i="100"/>
  <c r="J20" i="100"/>
  <c r="I20" i="100"/>
  <c r="H20" i="100"/>
  <c r="G20" i="100"/>
  <c r="F20" i="100"/>
  <c r="E20" i="100"/>
  <c r="D20" i="100"/>
  <c r="T19" i="100"/>
  <c r="S19" i="100"/>
  <c r="R19" i="100"/>
  <c r="Q19" i="100"/>
  <c r="P19" i="100"/>
  <c r="O19" i="100"/>
  <c r="N19" i="100"/>
  <c r="M19" i="100"/>
  <c r="L19" i="100"/>
  <c r="K19" i="100"/>
  <c r="J19" i="100"/>
  <c r="I19" i="100"/>
  <c r="H19" i="100"/>
  <c r="G19" i="100"/>
  <c r="F19" i="100"/>
  <c r="E19" i="100"/>
  <c r="D19" i="100"/>
  <c r="T18" i="100"/>
  <c r="S18" i="100"/>
  <c r="R18" i="100"/>
  <c r="Q18" i="100"/>
  <c r="P18" i="100"/>
  <c r="O18" i="100"/>
  <c r="N18" i="100"/>
  <c r="M18" i="100"/>
  <c r="L18" i="100"/>
  <c r="K18" i="100"/>
  <c r="J18" i="100"/>
  <c r="I18" i="100"/>
  <c r="H18" i="100"/>
  <c r="G18" i="100"/>
  <c r="F18" i="100"/>
  <c r="E18" i="100"/>
  <c r="D18" i="100"/>
  <c r="T17" i="100"/>
  <c r="S17" i="100"/>
  <c r="R17" i="100"/>
  <c r="Q17" i="100"/>
  <c r="P17" i="100"/>
  <c r="O17" i="100"/>
  <c r="N17" i="100"/>
  <c r="M17" i="100"/>
  <c r="L17" i="100"/>
  <c r="K17" i="100"/>
  <c r="J17" i="100"/>
  <c r="I17" i="100"/>
  <c r="H17" i="100"/>
  <c r="G17" i="100"/>
  <c r="F17" i="100"/>
  <c r="E17" i="100"/>
  <c r="D17" i="100"/>
  <c r="T15" i="100"/>
  <c r="S15" i="100"/>
  <c r="R15" i="100"/>
  <c r="Q15" i="100"/>
  <c r="P15" i="100"/>
  <c r="O15" i="100"/>
  <c r="N15" i="100"/>
  <c r="M15" i="100"/>
  <c r="L15" i="100"/>
  <c r="K15" i="100"/>
  <c r="J15" i="100"/>
  <c r="I15" i="100"/>
  <c r="H15" i="100"/>
  <c r="G15" i="100"/>
  <c r="E15" i="100"/>
  <c r="D15" i="100"/>
  <c r="T14" i="100"/>
  <c r="S14" i="100"/>
  <c r="R14" i="100"/>
  <c r="Q14" i="100"/>
  <c r="P14" i="100"/>
  <c r="O14" i="100"/>
  <c r="N14" i="100"/>
  <c r="M14" i="100"/>
  <c r="L14" i="100"/>
  <c r="K14" i="100"/>
  <c r="J14" i="100"/>
  <c r="I14" i="100"/>
  <c r="H14" i="100"/>
  <c r="G14" i="100"/>
  <c r="F14" i="100"/>
  <c r="E14" i="100"/>
  <c r="D14" i="100"/>
  <c r="T13" i="100"/>
  <c r="S13" i="100"/>
  <c r="R13" i="100"/>
  <c r="Q13" i="100"/>
  <c r="P13" i="100"/>
  <c r="O13" i="100"/>
  <c r="N13" i="100"/>
  <c r="M13" i="100"/>
  <c r="L13" i="100"/>
  <c r="K13" i="100"/>
  <c r="J13" i="100"/>
  <c r="I13" i="100"/>
  <c r="H13" i="100"/>
  <c r="G13" i="100"/>
  <c r="E13" i="100"/>
  <c r="D13" i="100"/>
  <c r="T12" i="100"/>
  <c r="S12" i="100"/>
  <c r="R12" i="100"/>
  <c r="Q12" i="100"/>
  <c r="P12" i="100"/>
  <c r="O12" i="100"/>
  <c r="N12" i="100"/>
  <c r="M12" i="100"/>
  <c r="L12" i="100"/>
  <c r="K12" i="100"/>
  <c r="J12" i="100"/>
  <c r="I12" i="100"/>
  <c r="H12" i="100"/>
  <c r="G12" i="100"/>
  <c r="F12" i="100"/>
  <c r="E12" i="100"/>
  <c r="D12" i="100"/>
  <c r="T10" i="100"/>
  <c r="S10" i="100"/>
  <c r="R10" i="100"/>
  <c r="Q10" i="100"/>
  <c r="P10" i="100"/>
  <c r="O10" i="100"/>
  <c r="N10" i="100"/>
  <c r="M10" i="100"/>
  <c r="L10" i="100"/>
  <c r="K10" i="100"/>
  <c r="J10" i="100"/>
  <c r="I10" i="100"/>
  <c r="H10" i="100"/>
  <c r="G10" i="100"/>
  <c r="F10" i="100"/>
  <c r="E10" i="100"/>
  <c r="D10" i="100"/>
  <c r="T9" i="100"/>
  <c r="S9" i="100"/>
  <c r="R9" i="100"/>
  <c r="Q9" i="100"/>
  <c r="P9" i="100"/>
  <c r="O9" i="100"/>
  <c r="N9" i="100"/>
  <c r="M9" i="100"/>
  <c r="L9" i="100"/>
  <c r="K9" i="100"/>
  <c r="J9" i="100"/>
  <c r="I9" i="100"/>
  <c r="H9" i="100"/>
  <c r="G9" i="100"/>
  <c r="F9" i="100"/>
  <c r="E9" i="100"/>
  <c r="D9" i="100"/>
  <c r="T8" i="100"/>
  <c r="S8" i="100"/>
  <c r="R8" i="100"/>
  <c r="Q8" i="100"/>
  <c r="P8" i="100"/>
  <c r="O8" i="100"/>
  <c r="N8" i="100"/>
  <c r="M8" i="100"/>
  <c r="L8" i="100"/>
  <c r="K8" i="100"/>
  <c r="J8" i="100"/>
  <c r="I8" i="100"/>
  <c r="H8" i="100"/>
  <c r="G8" i="100"/>
  <c r="F8" i="100"/>
  <c r="E8" i="100"/>
  <c r="D8" i="100"/>
  <c r="T7" i="100"/>
  <c r="S7" i="100"/>
  <c r="R7" i="100"/>
  <c r="Q7" i="100"/>
  <c r="P7" i="100"/>
  <c r="O7" i="100"/>
  <c r="N7" i="100"/>
  <c r="M7" i="100"/>
  <c r="L7" i="100"/>
  <c r="K7" i="100"/>
  <c r="J7" i="100"/>
  <c r="I7" i="100"/>
  <c r="H7" i="100"/>
  <c r="G7" i="100"/>
  <c r="F7" i="100"/>
  <c r="E7" i="100"/>
  <c r="D7" i="100"/>
  <c r="G37" i="114"/>
  <c r="G34" i="114"/>
  <c r="D34" i="114"/>
  <c r="C34" i="114"/>
  <c r="G33" i="114"/>
  <c r="J29" i="114"/>
  <c r="I29" i="114"/>
  <c r="G29" i="114"/>
  <c r="F29" i="114"/>
  <c r="D29" i="114"/>
  <c r="C29" i="114"/>
  <c r="J28" i="114"/>
  <c r="I28" i="114"/>
  <c r="G28" i="114"/>
  <c r="F28" i="114"/>
  <c r="D28" i="114"/>
  <c r="C28" i="114"/>
  <c r="B28" i="114"/>
  <c r="H22" i="114"/>
  <c r="F22" i="114"/>
  <c r="D22" i="114"/>
  <c r="C22" i="114"/>
  <c r="H21" i="114"/>
  <c r="F21" i="114"/>
  <c r="D21" i="114"/>
  <c r="C21" i="114"/>
  <c r="B21" i="114"/>
  <c r="L16" i="114"/>
  <c r="K16" i="114"/>
  <c r="I16" i="114"/>
  <c r="G16" i="114"/>
  <c r="F16" i="114"/>
  <c r="D16" i="114"/>
  <c r="C16" i="114"/>
  <c r="L15" i="114"/>
  <c r="K15" i="114"/>
  <c r="I15" i="114"/>
  <c r="G15" i="114"/>
  <c r="F15" i="114"/>
  <c r="D15" i="114"/>
  <c r="C15" i="114"/>
  <c r="B15" i="114"/>
  <c r="L11" i="114"/>
  <c r="K11" i="114"/>
  <c r="I11" i="114"/>
  <c r="H11" i="114"/>
  <c r="F11" i="114"/>
  <c r="E11" i="114"/>
  <c r="D11" i="114"/>
  <c r="C11" i="114"/>
  <c r="L10" i="114"/>
  <c r="K10" i="114"/>
  <c r="K12" i="114" s="1"/>
  <c r="I10" i="114"/>
  <c r="I12" i="114" s="1"/>
  <c r="H10" i="114"/>
  <c r="H12" i="114" s="1"/>
  <c r="F10" i="114"/>
  <c r="E10" i="114"/>
  <c r="E12" i="114" s="1"/>
  <c r="D10" i="114"/>
  <c r="D12" i="114" s="1"/>
  <c r="C10" i="114"/>
  <c r="C12" i="114" s="1"/>
  <c r="B10" i="114"/>
  <c r="U123" i="98"/>
  <c r="B123" i="98"/>
  <c r="U116" i="98"/>
  <c r="B116" i="98"/>
  <c r="U109" i="98"/>
  <c r="B109" i="98"/>
  <c r="Q128" i="98" s="1"/>
  <c r="U102" i="98"/>
  <c r="B102" i="98"/>
  <c r="Q121" i="98" s="1"/>
  <c r="B94" i="98"/>
  <c r="B87" i="98"/>
  <c r="S91" i="98" s="1"/>
  <c r="D41" i="98"/>
  <c r="D40" i="98"/>
  <c r="D39" i="98"/>
  <c r="D38" i="98"/>
  <c r="G37" i="98"/>
  <c r="D37" i="98"/>
  <c r="G34" i="98"/>
  <c r="D34" i="98"/>
  <c r="C34" i="98"/>
  <c r="G33" i="98"/>
  <c r="J29" i="98"/>
  <c r="I29" i="98"/>
  <c r="G29" i="98"/>
  <c r="F29" i="98"/>
  <c r="D29" i="98"/>
  <c r="C29" i="98"/>
  <c r="J28" i="98"/>
  <c r="I28" i="98"/>
  <c r="G28" i="98"/>
  <c r="F28" i="98"/>
  <c r="D28" i="98"/>
  <c r="C28" i="98"/>
  <c r="B28" i="98"/>
  <c r="H22" i="98"/>
  <c r="F22" i="98"/>
  <c r="D22" i="98"/>
  <c r="C22" i="98"/>
  <c r="F21" i="98"/>
  <c r="D21" i="98"/>
  <c r="C21" i="98"/>
  <c r="B21" i="98"/>
  <c r="L16" i="98"/>
  <c r="K16" i="98"/>
  <c r="I16" i="98"/>
  <c r="G16" i="98"/>
  <c r="F16" i="98"/>
  <c r="D16" i="98"/>
  <c r="C16" i="98"/>
  <c r="L15" i="98"/>
  <c r="K15" i="98"/>
  <c r="I15" i="98"/>
  <c r="G15" i="98"/>
  <c r="F15" i="98"/>
  <c r="D15" i="98"/>
  <c r="C15" i="98"/>
  <c r="L11" i="98"/>
  <c r="K11" i="98"/>
  <c r="I11" i="98"/>
  <c r="H11" i="98"/>
  <c r="F11" i="98"/>
  <c r="E11" i="98"/>
  <c r="D11" i="98"/>
  <c r="C11" i="98"/>
  <c r="L10" i="98"/>
  <c r="L12" i="98" s="1"/>
  <c r="K10" i="98"/>
  <c r="K12" i="98" s="1"/>
  <c r="I10" i="98"/>
  <c r="I12" i="98" s="1"/>
  <c r="H10" i="98"/>
  <c r="H12" i="98" s="1"/>
  <c r="F10" i="98"/>
  <c r="F12" i="98" s="1"/>
  <c r="E10" i="98"/>
  <c r="E12" i="98" s="1"/>
  <c r="D10" i="98"/>
  <c r="C10" i="98"/>
  <c r="C12" i="98" s="1"/>
  <c r="S74" i="117"/>
  <c r="R74" i="117"/>
  <c r="Q74" i="117"/>
  <c r="P74" i="117"/>
  <c r="O74" i="117"/>
  <c r="N74" i="117"/>
  <c r="M74" i="117"/>
  <c r="L74" i="117"/>
  <c r="K74" i="117"/>
  <c r="J74" i="117"/>
  <c r="I74" i="117"/>
  <c r="H74" i="117"/>
  <c r="G74" i="117"/>
  <c r="F74" i="117"/>
  <c r="E74" i="117"/>
  <c r="D74" i="117"/>
  <c r="C74" i="117"/>
  <c r="S73" i="117"/>
  <c r="R73" i="117"/>
  <c r="Q73" i="117"/>
  <c r="P73" i="117"/>
  <c r="O73" i="117"/>
  <c r="N73" i="117"/>
  <c r="M73" i="117"/>
  <c r="L73" i="117"/>
  <c r="K73" i="117"/>
  <c r="J73" i="117"/>
  <c r="I73" i="117"/>
  <c r="H73" i="117"/>
  <c r="G73" i="117"/>
  <c r="F73" i="117"/>
  <c r="E73" i="117"/>
  <c r="D73" i="117"/>
  <c r="C73" i="117"/>
  <c r="S72" i="117"/>
  <c r="R72" i="117"/>
  <c r="Q72" i="117"/>
  <c r="P72" i="117"/>
  <c r="O72" i="117"/>
  <c r="N72" i="117"/>
  <c r="M72" i="117"/>
  <c r="L72" i="117"/>
  <c r="K72" i="117"/>
  <c r="J72" i="117"/>
  <c r="I72" i="117"/>
  <c r="H72" i="117"/>
  <c r="G72" i="117"/>
  <c r="F72" i="117"/>
  <c r="E72" i="117"/>
  <c r="D72" i="117"/>
  <c r="C72" i="117"/>
  <c r="S71" i="117"/>
  <c r="R71" i="117"/>
  <c r="Q71" i="117"/>
  <c r="P71" i="117"/>
  <c r="O71" i="117"/>
  <c r="N71" i="117"/>
  <c r="M71" i="117"/>
  <c r="L71" i="117"/>
  <c r="K71" i="117"/>
  <c r="J71" i="117"/>
  <c r="I71" i="117"/>
  <c r="H71" i="117"/>
  <c r="G71" i="117"/>
  <c r="F71" i="117"/>
  <c r="E71" i="117"/>
  <c r="D71" i="117"/>
  <c r="C71" i="117"/>
  <c r="B69" i="117"/>
  <c r="S66" i="117"/>
  <c r="R66" i="117"/>
  <c r="Q66" i="117"/>
  <c r="P66" i="117"/>
  <c r="O66" i="117"/>
  <c r="N66" i="117"/>
  <c r="M66" i="117"/>
  <c r="L66" i="117"/>
  <c r="K66" i="117"/>
  <c r="J66" i="117"/>
  <c r="I66" i="117"/>
  <c r="H66" i="117"/>
  <c r="G66" i="117"/>
  <c r="F66" i="117"/>
  <c r="E66" i="117"/>
  <c r="D66" i="117"/>
  <c r="C66" i="117"/>
  <c r="S65" i="117"/>
  <c r="R65" i="117"/>
  <c r="Q65" i="117"/>
  <c r="P65" i="117"/>
  <c r="O65" i="117"/>
  <c r="N65" i="117"/>
  <c r="M65" i="117"/>
  <c r="L65" i="117"/>
  <c r="K65" i="117"/>
  <c r="J65" i="117"/>
  <c r="I65" i="117"/>
  <c r="H65" i="117"/>
  <c r="G65" i="117"/>
  <c r="F65" i="117"/>
  <c r="E65" i="117"/>
  <c r="D65" i="117"/>
  <c r="C65" i="117"/>
  <c r="S64" i="117"/>
  <c r="R64" i="117"/>
  <c r="Q64" i="117"/>
  <c r="P64" i="117"/>
  <c r="O64" i="117"/>
  <c r="N64" i="117"/>
  <c r="M64" i="117"/>
  <c r="L64" i="117"/>
  <c r="K64" i="117"/>
  <c r="J64" i="117"/>
  <c r="I64" i="117"/>
  <c r="H64" i="117"/>
  <c r="G64" i="117"/>
  <c r="F64" i="117"/>
  <c r="E64" i="117"/>
  <c r="D64" i="117"/>
  <c r="C64" i="117"/>
  <c r="S63" i="117"/>
  <c r="R63" i="117"/>
  <c r="Q63" i="117"/>
  <c r="P63" i="117"/>
  <c r="O63" i="117"/>
  <c r="N63" i="117"/>
  <c r="M63" i="117"/>
  <c r="L63" i="117"/>
  <c r="K63" i="117"/>
  <c r="J63" i="117"/>
  <c r="I63" i="117"/>
  <c r="H63" i="117"/>
  <c r="G63" i="117"/>
  <c r="F63" i="117"/>
  <c r="E63" i="117"/>
  <c r="D63" i="117"/>
  <c r="C63" i="117"/>
  <c r="B61" i="117"/>
  <c r="S58" i="117"/>
  <c r="R58" i="117"/>
  <c r="Q58" i="117"/>
  <c r="P58" i="117"/>
  <c r="O58" i="117"/>
  <c r="N58" i="117"/>
  <c r="M58" i="117"/>
  <c r="L58" i="117"/>
  <c r="K58" i="117"/>
  <c r="J58" i="117"/>
  <c r="I58" i="117"/>
  <c r="H58" i="117"/>
  <c r="G58" i="117"/>
  <c r="F58" i="117"/>
  <c r="E58" i="117"/>
  <c r="D58" i="117"/>
  <c r="C58" i="117"/>
  <c r="S57" i="117"/>
  <c r="R57" i="117"/>
  <c r="Q57" i="117"/>
  <c r="P57" i="117"/>
  <c r="O57" i="117"/>
  <c r="N57" i="117"/>
  <c r="M57" i="117"/>
  <c r="L57" i="117"/>
  <c r="K57" i="117"/>
  <c r="J57" i="117"/>
  <c r="I57" i="117"/>
  <c r="H57" i="117"/>
  <c r="G57" i="117"/>
  <c r="F57" i="117"/>
  <c r="E57" i="117"/>
  <c r="D57" i="117"/>
  <c r="C57" i="117"/>
  <c r="S56" i="117"/>
  <c r="R56" i="117"/>
  <c r="Q56" i="117"/>
  <c r="P56" i="117"/>
  <c r="O56" i="117"/>
  <c r="N56" i="117"/>
  <c r="M56" i="117"/>
  <c r="L56" i="117"/>
  <c r="K56" i="117"/>
  <c r="J56" i="117"/>
  <c r="I56" i="117"/>
  <c r="H56" i="117"/>
  <c r="G56" i="117"/>
  <c r="F56" i="117"/>
  <c r="E56" i="117"/>
  <c r="D56" i="117"/>
  <c r="C56" i="117"/>
  <c r="S55" i="117"/>
  <c r="R55" i="117"/>
  <c r="Q55" i="117"/>
  <c r="P55" i="117"/>
  <c r="O55" i="117"/>
  <c r="N55" i="117"/>
  <c r="M55" i="117"/>
  <c r="L55" i="117"/>
  <c r="K55" i="117"/>
  <c r="J55" i="117"/>
  <c r="I55" i="117"/>
  <c r="H55" i="117"/>
  <c r="G55" i="117"/>
  <c r="F55" i="117"/>
  <c r="E55" i="117"/>
  <c r="D55" i="117"/>
  <c r="C55" i="117"/>
  <c r="B53" i="117"/>
  <c r="S50" i="117"/>
  <c r="R50" i="117"/>
  <c r="Q50" i="117"/>
  <c r="P50" i="117"/>
  <c r="O50" i="117"/>
  <c r="N50" i="117"/>
  <c r="M50" i="117"/>
  <c r="L50" i="117"/>
  <c r="K50" i="117"/>
  <c r="J50" i="117"/>
  <c r="I50" i="117"/>
  <c r="H50" i="117"/>
  <c r="G50" i="117"/>
  <c r="F50" i="117"/>
  <c r="E50" i="117"/>
  <c r="D50" i="117"/>
  <c r="C50" i="117"/>
  <c r="S49" i="117"/>
  <c r="R49" i="117"/>
  <c r="Q49" i="117"/>
  <c r="P49" i="117"/>
  <c r="O49" i="117"/>
  <c r="N49" i="117"/>
  <c r="M49" i="117"/>
  <c r="L49" i="117"/>
  <c r="K49" i="117"/>
  <c r="J49" i="117"/>
  <c r="I49" i="117"/>
  <c r="H49" i="117"/>
  <c r="G49" i="117"/>
  <c r="F49" i="117"/>
  <c r="E49" i="117"/>
  <c r="D49" i="117"/>
  <c r="C49" i="117"/>
  <c r="S48" i="117"/>
  <c r="R48" i="117"/>
  <c r="Q48" i="117"/>
  <c r="P48" i="117"/>
  <c r="O48" i="117"/>
  <c r="N48" i="117"/>
  <c r="M48" i="117"/>
  <c r="L48" i="117"/>
  <c r="K48" i="117"/>
  <c r="J48" i="117"/>
  <c r="I48" i="117"/>
  <c r="H48" i="117"/>
  <c r="G48" i="117"/>
  <c r="F48" i="117"/>
  <c r="E48" i="117"/>
  <c r="D48" i="117"/>
  <c r="C48" i="117"/>
  <c r="S47" i="117"/>
  <c r="R47" i="117"/>
  <c r="Q47" i="117"/>
  <c r="P47" i="117"/>
  <c r="O47" i="117"/>
  <c r="N47" i="117"/>
  <c r="M47" i="117"/>
  <c r="L47" i="117"/>
  <c r="K47" i="117"/>
  <c r="J47" i="117"/>
  <c r="I47" i="117"/>
  <c r="H47" i="117"/>
  <c r="G47" i="117"/>
  <c r="F47" i="117"/>
  <c r="E47" i="117"/>
  <c r="D47" i="117"/>
  <c r="C47" i="117"/>
  <c r="B45" i="117"/>
  <c r="S42" i="117"/>
  <c r="R42" i="117"/>
  <c r="Q42" i="117"/>
  <c r="P42" i="117"/>
  <c r="O42" i="117"/>
  <c r="N42" i="117"/>
  <c r="M42" i="117"/>
  <c r="L42" i="117"/>
  <c r="K42" i="117"/>
  <c r="J42" i="117"/>
  <c r="I42" i="117"/>
  <c r="H42" i="117"/>
  <c r="G42" i="117"/>
  <c r="F42" i="117"/>
  <c r="E42" i="117"/>
  <c r="D42" i="117"/>
  <c r="C42" i="117"/>
  <c r="S41" i="117"/>
  <c r="R41" i="117"/>
  <c r="Q41" i="117"/>
  <c r="P41" i="117"/>
  <c r="O41" i="117"/>
  <c r="N41" i="117"/>
  <c r="M41" i="117"/>
  <c r="L41" i="117"/>
  <c r="K41" i="117"/>
  <c r="J41" i="117"/>
  <c r="I41" i="117"/>
  <c r="H41" i="117"/>
  <c r="G41" i="117"/>
  <c r="F41" i="117"/>
  <c r="E41" i="117"/>
  <c r="D41" i="117"/>
  <c r="C41" i="117"/>
  <c r="S40" i="117"/>
  <c r="R40" i="117"/>
  <c r="Q40" i="117"/>
  <c r="P40" i="117"/>
  <c r="O40" i="117"/>
  <c r="N40" i="117"/>
  <c r="M40" i="117"/>
  <c r="L40" i="117"/>
  <c r="K40" i="117"/>
  <c r="J40" i="117"/>
  <c r="I40" i="117"/>
  <c r="H40" i="117"/>
  <c r="G40" i="117"/>
  <c r="F40" i="117"/>
  <c r="E40" i="117"/>
  <c r="D40" i="117"/>
  <c r="C40" i="117"/>
  <c r="S39" i="117"/>
  <c r="R39" i="117"/>
  <c r="Q39" i="117"/>
  <c r="P39" i="117"/>
  <c r="O39" i="117"/>
  <c r="N39" i="117"/>
  <c r="M39" i="117"/>
  <c r="L39" i="117"/>
  <c r="K39" i="117"/>
  <c r="J39" i="117"/>
  <c r="I39" i="117"/>
  <c r="H39" i="117"/>
  <c r="G39" i="117"/>
  <c r="F39" i="117"/>
  <c r="E39" i="117"/>
  <c r="D39" i="117"/>
  <c r="C39" i="117"/>
  <c r="B37" i="117"/>
  <c r="F31" i="117"/>
  <c r="E31" i="117"/>
  <c r="D31" i="117"/>
  <c r="C31" i="117"/>
  <c r="F30" i="117"/>
  <c r="E30" i="117"/>
  <c r="D30" i="117"/>
  <c r="C30" i="117"/>
  <c r="B30" i="117"/>
  <c r="F25" i="117"/>
  <c r="E25" i="117"/>
  <c r="D25" i="117"/>
  <c r="C25" i="117"/>
  <c r="F24" i="117"/>
  <c r="E24" i="117"/>
  <c r="D24" i="117"/>
  <c r="C24" i="117"/>
  <c r="B24" i="117"/>
  <c r="F19" i="117"/>
  <c r="E19" i="117"/>
  <c r="D19" i="117"/>
  <c r="C19" i="117"/>
  <c r="F18" i="117"/>
  <c r="E18" i="117"/>
  <c r="D18" i="117"/>
  <c r="C18" i="117"/>
  <c r="B18" i="117"/>
  <c r="L12" i="117"/>
  <c r="K12" i="117"/>
  <c r="J12" i="117"/>
  <c r="I12" i="117"/>
  <c r="F12" i="117"/>
  <c r="E12" i="117"/>
  <c r="D12" i="117"/>
  <c r="C12" i="117"/>
  <c r="L11" i="117"/>
  <c r="K11" i="117"/>
  <c r="J11" i="117"/>
  <c r="I11" i="117"/>
  <c r="H11" i="117"/>
  <c r="F11" i="117"/>
  <c r="E11" i="117"/>
  <c r="D11" i="117"/>
  <c r="C11" i="117"/>
  <c r="B11" i="117"/>
  <c r="S72" i="115"/>
  <c r="R72" i="115"/>
  <c r="Q72" i="115"/>
  <c r="P72" i="115"/>
  <c r="O72" i="115"/>
  <c r="N72" i="115"/>
  <c r="M72" i="115"/>
  <c r="L72" i="115"/>
  <c r="K72" i="115"/>
  <c r="J72" i="115"/>
  <c r="I72" i="115"/>
  <c r="H72" i="115"/>
  <c r="G72" i="115"/>
  <c r="F72" i="115"/>
  <c r="E72" i="115"/>
  <c r="D72" i="115"/>
  <c r="C72" i="115"/>
  <c r="S71" i="115"/>
  <c r="R71" i="115"/>
  <c r="Q71" i="115"/>
  <c r="P71" i="115"/>
  <c r="O71" i="115"/>
  <c r="N71" i="115"/>
  <c r="M71" i="115"/>
  <c r="L71" i="115"/>
  <c r="K71" i="115"/>
  <c r="J71" i="115"/>
  <c r="I71" i="115"/>
  <c r="H71" i="115"/>
  <c r="G71" i="115"/>
  <c r="F71" i="115"/>
  <c r="E71" i="115"/>
  <c r="D71" i="115"/>
  <c r="C71" i="115"/>
  <c r="S70" i="115"/>
  <c r="R70" i="115"/>
  <c r="Q70" i="115"/>
  <c r="P70" i="115"/>
  <c r="O70" i="115"/>
  <c r="N70" i="115"/>
  <c r="M70" i="115"/>
  <c r="L70" i="115"/>
  <c r="K70" i="115"/>
  <c r="J70" i="115"/>
  <c r="I70" i="115"/>
  <c r="H70" i="115"/>
  <c r="G70" i="115"/>
  <c r="F70" i="115"/>
  <c r="E70" i="115"/>
  <c r="D70" i="115"/>
  <c r="C70" i="115"/>
  <c r="S69" i="115"/>
  <c r="R69" i="115"/>
  <c r="Q69" i="115"/>
  <c r="P69" i="115"/>
  <c r="O69" i="115"/>
  <c r="N69" i="115"/>
  <c r="M69" i="115"/>
  <c r="L69" i="115"/>
  <c r="K69" i="115"/>
  <c r="J69" i="115"/>
  <c r="I69" i="115"/>
  <c r="H69" i="115"/>
  <c r="G69" i="115"/>
  <c r="F69" i="115"/>
  <c r="E69" i="115"/>
  <c r="D69" i="115"/>
  <c r="C69" i="115"/>
  <c r="B67" i="115"/>
  <c r="S63" i="115"/>
  <c r="R63" i="115"/>
  <c r="Q63" i="115"/>
  <c r="P63" i="115"/>
  <c r="O63" i="115"/>
  <c r="N63" i="115"/>
  <c r="M63" i="115"/>
  <c r="L63" i="115"/>
  <c r="K63" i="115"/>
  <c r="J63" i="115"/>
  <c r="I63" i="115"/>
  <c r="H63" i="115"/>
  <c r="G63" i="115"/>
  <c r="F63" i="115"/>
  <c r="E63" i="115"/>
  <c r="D63" i="115"/>
  <c r="C63" i="115"/>
  <c r="S62" i="115"/>
  <c r="R62" i="115"/>
  <c r="Q62" i="115"/>
  <c r="P62" i="115"/>
  <c r="O62" i="115"/>
  <c r="N62" i="115"/>
  <c r="M62" i="115"/>
  <c r="L62" i="115"/>
  <c r="K62" i="115"/>
  <c r="J62" i="115"/>
  <c r="I62" i="115"/>
  <c r="H62" i="115"/>
  <c r="G62" i="115"/>
  <c r="F62" i="115"/>
  <c r="E62" i="115"/>
  <c r="D62" i="115"/>
  <c r="C62" i="115"/>
  <c r="S61" i="115"/>
  <c r="R61" i="115"/>
  <c r="Q61" i="115"/>
  <c r="P61" i="115"/>
  <c r="O61" i="115"/>
  <c r="N61" i="115"/>
  <c r="M61" i="115"/>
  <c r="L61" i="115"/>
  <c r="K61" i="115"/>
  <c r="J61" i="115"/>
  <c r="I61" i="115"/>
  <c r="H61" i="115"/>
  <c r="G61" i="115"/>
  <c r="F61" i="115"/>
  <c r="E61" i="115"/>
  <c r="D61" i="115"/>
  <c r="C61" i="115"/>
  <c r="S60" i="115"/>
  <c r="R60" i="115"/>
  <c r="Q60" i="115"/>
  <c r="P60" i="115"/>
  <c r="O60" i="115"/>
  <c r="N60" i="115"/>
  <c r="M60" i="115"/>
  <c r="L60" i="115"/>
  <c r="K60" i="115"/>
  <c r="J60" i="115"/>
  <c r="I60" i="115"/>
  <c r="H60" i="115"/>
  <c r="G60" i="115"/>
  <c r="F60" i="115"/>
  <c r="E60" i="115"/>
  <c r="D60" i="115"/>
  <c r="C60" i="115"/>
  <c r="B58" i="115"/>
  <c r="S55" i="115"/>
  <c r="R55" i="115"/>
  <c r="Q55" i="115"/>
  <c r="P55" i="115"/>
  <c r="O55" i="115"/>
  <c r="N55" i="115"/>
  <c r="M55" i="115"/>
  <c r="L55" i="115"/>
  <c r="K55" i="115"/>
  <c r="J55" i="115"/>
  <c r="I55" i="115"/>
  <c r="H55" i="115"/>
  <c r="G55" i="115"/>
  <c r="F55" i="115"/>
  <c r="E55" i="115"/>
  <c r="D55" i="115"/>
  <c r="C55" i="115"/>
  <c r="S54" i="115"/>
  <c r="R54" i="115"/>
  <c r="Q54" i="115"/>
  <c r="P54" i="115"/>
  <c r="O54" i="115"/>
  <c r="N54" i="115"/>
  <c r="M54" i="115"/>
  <c r="L54" i="115"/>
  <c r="K54" i="115"/>
  <c r="J54" i="115"/>
  <c r="I54" i="115"/>
  <c r="H54" i="115"/>
  <c r="G54" i="115"/>
  <c r="F54" i="115"/>
  <c r="E54" i="115"/>
  <c r="D54" i="115"/>
  <c r="C54" i="115"/>
  <c r="S53" i="115"/>
  <c r="R53" i="115"/>
  <c r="Q53" i="115"/>
  <c r="P53" i="115"/>
  <c r="O53" i="115"/>
  <c r="N53" i="115"/>
  <c r="M53" i="115"/>
  <c r="L53" i="115"/>
  <c r="K53" i="115"/>
  <c r="J53" i="115"/>
  <c r="I53" i="115"/>
  <c r="H53" i="115"/>
  <c r="G53" i="115"/>
  <c r="F53" i="115"/>
  <c r="E53" i="115"/>
  <c r="D53" i="115"/>
  <c r="C53" i="115"/>
  <c r="S52" i="115"/>
  <c r="R52" i="115"/>
  <c r="Q52" i="115"/>
  <c r="P52" i="115"/>
  <c r="O52" i="115"/>
  <c r="N52" i="115"/>
  <c r="M52" i="115"/>
  <c r="L52" i="115"/>
  <c r="K52" i="115"/>
  <c r="J52" i="115"/>
  <c r="I52" i="115"/>
  <c r="H52" i="115"/>
  <c r="G52" i="115"/>
  <c r="F52" i="115"/>
  <c r="E52" i="115"/>
  <c r="D52" i="115"/>
  <c r="C52" i="115"/>
  <c r="B50" i="115"/>
  <c r="B42" i="115"/>
  <c r="S39" i="115"/>
  <c r="R39" i="115"/>
  <c r="Q39" i="115"/>
  <c r="P39" i="115"/>
  <c r="O39" i="115"/>
  <c r="N39" i="115"/>
  <c r="M39" i="115"/>
  <c r="L39" i="115"/>
  <c r="K39" i="115"/>
  <c r="J39" i="115"/>
  <c r="I39" i="115"/>
  <c r="H39" i="115"/>
  <c r="G39" i="115"/>
  <c r="F39" i="115"/>
  <c r="E39" i="115"/>
  <c r="D39" i="115"/>
  <c r="C39" i="115"/>
  <c r="S38" i="115"/>
  <c r="R38" i="115"/>
  <c r="Q38" i="115"/>
  <c r="P38" i="115"/>
  <c r="O38" i="115"/>
  <c r="N38" i="115"/>
  <c r="M38" i="115"/>
  <c r="L38" i="115"/>
  <c r="K38" i="115"/>
  <c r="J38" i="115"/>
  <c r="I38" i="115"/>
  <c r="H38" i="115"/>
  <c r="G38" i="115"/>
  <c r="F38" i="115"/>
  <c r="E38" i="115"/>
  <c r="D38" i="115"/>
  <c r="C38" i="115"/>
  <c r="S37" i="115"/>
  <c r="R37" i="115"/>
  <c r="Q37" i="115"/>
  <c r="P37" i="115"/>
  <c r="O37" i="115"/>
  <c r="N37" i="115"/>
  <c r="M37" i="115"/>
  <c r="L37" i="115"/>
  <c r="K37" i="115"/>
  <c r="J37" i="115"/>
  <c r="I37" i="115"/>
  <c r="H37" i="115"/>
  <c r="G37" i="115"/>
  <c r="F37" i="115"/>
  <c r="E37" i="115"/>
  <c r="D37" i="115"/>
  <c r="C37" i="115"/>
  <c r="S36" i="115"/>
  <c r="R36" i="115"/>
  <c r="Q36" i="115"/>
  <c r="P36" i="115"/>
  <c r="O36" i="115"/>
  <c r="N36" i="115"/>
  <c r="M36" i="115"/>
  <c r="L36" i="115"/>
  <c r="K36" i="115"/>
  <c r="J36" i="115"/>
  <c r="I36" i="115"/>
  <c r="H36" i="115"/>
  <c r="G36" i="115"/>
  <c r="F36" i="115"/>
  <c r="E36" i="115"/>
  <c r="D36" i="115"/>
  <c r="C36" i="115"/>
  <c r="B34" i="115"/>
  <c r="F29" i="115"/>
  <c r="E29" i="115"/>
  <c r="D29" i="115"/>
  <c r="C29" i="115"/>
  <c r="F28" i="115"/>
  <c r="E28" i="115"/>
  <c r="D28" i="115"/>
  <c r="C28" i="115"/>
  <c r="B28" i="115"/>
  <c r="F23" i="115"/>
  <c r="E23" i="115"/>
  <c r="D23" i="115"/>
  <c r="C23" i="115"/>
  <c r="F22" i="115"/>
  <c r="E22" i="115"/>
  <c r="D22" i="115"/>
  <c r="C22" i="115"/>
  <c r="B22" i="115"/>
  <c r="F18" i="115"/>
  <c r="E18" i="115"/>
  <c r="D18" i="115"/>
  <c r="C18" i="115"/>
  <c r="B16" i="115"/>
  <c r="L10" i="115"/>
  <c r="K10" i="115"/>
  <c r="J10" i="115"/>
  <c r="I10" i="115"/>
  <c r="F10" i="115"/>
  <c r="E10" i="115"/>
  <c r="D10" i="115"/>
  <c r="C10" i="115"/>
  <c r="L9" i="115"/>
  <c r="K9" i="115"/>
  <c r="J9" i="115"/>
  <c r="I9" i="115"/>
  <c r="H9" i="115"/>
  <c r="F9" i="115"/>
  <c r="E9" i="115"/>
  <c r="D9" i="115"/>
  <c r="C9" i="115"/>
  <c r="B9" i="115"/>
  <c r="U120" i="101"/>
  <c r="B120" i="101"/>
  <c r="U113" i="101"/>
  <c r="B113" i="101"/>
  <c r="U106" i="101"/>
  <c r="B106" i="101"/>
  <c r="O124" i="101" s="1"/>
  <c r="U99" i="101"/>
  <c r="B99" i="101"/>
  <c r="O125" i="101" s="1"/>
  <c r="B93" i="101"/>
  <c r="B86" i="101"/>
  <c r="Q90" i="101" s="1"/>
  <c r="G35" i="101"/>
  <c r="G34" i="101"/>
  <c r="G33" i="101"/>
  <c r="J29" i="101"/>
  <c r="I29" i="101"/>
  <c r="G29" i="101"/>
  <c r="F29" i="101"/>
  <c r="D29" i="101"/>
  <c r="C29" i="101"/>
  <c r="B28" i="101"/>
  <c r="J28" i="101" s="1"/>
  <c r="H22" i="101"/>
  <c r="F22" i="101"/>
  <c r="D22" i="101"/>
  <c r="C22" i="101"/>
  <c r="C21" i="101"/>
  <c r="B21" i="101"/>
  <c r="F21" i="101" s="1"/>
  <c r="L16" i="101"/>
  <c r="K16" i="101"/>
  <c r="I16" i="101"/>
  <c r="G16" i="101"/>
  <c r="F16" i="101"/>
  <c r="D16" i="101"/>
  <c r="C16" i="101"/>
  <c r="L15" i="101"/>
  <c r="K15" i="101"/>
  <c r="I15" i="101"/>
  <c r="G15" i="101"/>
  <c r="F15" i="101"/>
  <c r="D15" i="101"/>
  <c r="C15" i="101"/>
  <c r="B15" i="101"/>
  <c r="L10" i="101"/>
  <c r="K10" i="101"/>
  <c r="I10" i="101"/>
  <c r="H10" i="101"/>
  <c r="F10" i="101"/>
  <c r="E10" i="101"/>
  <c r="D10" i="101"/>
  <c r="C10" i="101"/>
  <c r="L9" i="101"/>
  <c r="L11" i="101" s="1"/>
  <c r="K9" i="101"/>
  <c r="I9" i="101"/>
  <c r="H9" i="101"/>
  <c r="H11" i="101" s="1"/>
  <c r="F9" i="101"/>
  <c r="F11" i="101" s="1"/>
  <c r="E9" i="101"/>
  <c r="D9" i="101"/>
  <c r="D11" i="101" s="1"/>
  <c r="C9" i="101"/>
  <c r="B9" i="101"/>
  <c r="D46" i="106"/>
  <c r="E46" i="106" s="1"/>
  <c r="D29" i="106"/>
  <c r="E29" i="106" s="1"/>
  <c r="D28" i="106"/>
  <c r="E28" i="106" s="1"/>
  <c r="D27" i="106"/>
  <c r="E27" i="106" s="1"/>
  <c r="D26" i="106"/>
  <c r="E26" i="106" s="1"/>
  <c r="D25" i="106"/>
  <c r="E25" i="106" s="1"/>
  <c r="D24" i="106"/>
  <c r="E24" i="106" s="1"/>
  <c r="D23" i="106"/>
  <c r="E23" i="106" s="1"/>
  <c r="D20" i="106"/>
  <c r="E20" i="106" s="1"/>
  <c r="D22" i="106"/>
  <c r="E22" i="106" s="1"/>
  <c r="D19" i="106"/>
  <c r="E19" i="106" s="1"/>
  <c r="D21" i="106"/>
  <c r="E21" i="106" s="1"/>
  <c r="D18" i="106"/>
  <c r="E18" i="106" s="1"/>
  <c r="D17" i="106"/>
  <c r="E17" i="106" s="1"/>
  <c r="D16" i="106"/>
  <c r="E16" i="106" s="1"/>
  <c r="D15" i="106"/>
  <c r="E15" i="106" s="1"/>
  <c r="D14" i="106"/>
  <c r="E14" i="106" s="1"/>
  <c r="D12" i="106"/>
  <c r="E12" i="106" s="1"/>
  <c r="D11" i="106"/>
  <c r="E11" i="106" s="1"/>
  <c r="D10" i="106"/>
  <c r="E10" i="106" s="1"/>
  <c r="D9" i="106"/>
  <c r="E9" i="106" s="1"/>
  <c r="D7" i="106"/>
  <c r="E7" i="106" s="1"/>
  <c r="D8" i="106"/>
  <c r="E8" i="106" s="1"/>
  <c r="D6" i="106"/>
  <c r="E6" i="106" s="1"/>
  <c r="U153" i="79"/>
  <c r="T153" i="79"/>
  <c r="R153" i="79"/>
  <c r="Q153" i="79"/>
  <c r="U152" i="79"/>
  <c r="T152" i="79"/>
  <c r="R152" i="79"/>
  <c r="Q152" i="79"/>
  <c r="U151" i="79"/>
  <c r="T151" i="79"/>
  <c r="R151" i="79"/>
  <c r="Q151" i="79"/>
  <c r="U150" i="79"/>
  <c r="T150" i="79"/>
  <c r="R150" i="79"/>
  <c r="Q150" i="79"/>
  <c r="U149" i="79"/>
  <c r="T149" i="79"/>
  <c r="R149" i="79"/>
  <c r="Q149" i="79"/>
  <c r="U148" i="79"/>
  <c r="T148" i="79"/>
  <c r="R148" i="79"/>
  <c r="Q148" i="79"/>
  <c r="U147" i="79"/>
  <c r="T147" i="79"/>
  <c r="R147" i="79"/>
  <c r="Q147" i="79"/>
  <c r="U146" i="79"/>
  <c r="T146" i="79"/>
  <c r="R146" i="79"/>
  <c r="Q146" i="79"/>
  <c r="U145" i="79"/>
  <c r="T145" i="79"/>
  <c r="R145" i="79"/>
  <c r="Q145" i="79"/>
  <c r="U144" i="79"/>
  <c r="T144" i="79"/>
  <c r="R144" i="79"/>
  <c r="Q144" i="79"/>
  <c r="U143" i="79"/>
  <c r="T143" i="79"/>
  <c r="R143" i="79"/>
  <c r="Q143" i="79"/>
  <c r="U142" i="79"/>
  <c r="T142" i="79"/>
  <c r="R142" i="79"/>
  <c r="Q142" i="79"/>
  <c r="U141" i="79"/>
  <c r="T141" i="79"/>
  <c r="R141" i="79"/>
  <c r="Q141" i="79"/>
  <c r="U140" i="79"/>
  <c r="T140" i="79"/>
  <c r="R140" i="79"/>
  <c r="Q140" i="79"/>
  <c r="U139" i="79"/>
  <c r="T139" i="79"/>
  <c r="R139" i="79"/>
  <c r="Q139" i="79"/>
  <c r="U138" i="79"/>
  <c r="T138" i="79"/>
  <c r="R138" i="79"/>
  <c r="Q138" i="79"/>
  <c r="U137" i="79"/>
  <c r="T137" i="79"/>
  <c r="R137" i="79"/>
  <c r="Q137" i="79"/>
  <c r="U136" i="79"/>
  <c r="T136" i="79"/>
  <c r="R136" i="79"/>
  <c r="Q136" i="79"/>
  <c r="U135" i="79"/>
  <c r="T135" i="79"/>
  <c r="R135" i="79"/>
  <c r="Q135" i="79"/>
  <c r="U134" i="79"/>
  <c r="T134" i="79"/>
  <c r="R134" i="79"/>
  <c r="Q134" i="79"/>
  <c r="U133" i="79"/>
  <c r="T133" i="79"/>
  <c r="R133" i="79"/>
  <c r="Q133" i="79"/>
  <c r="U132" i="79"/>
  <c r="T132" i="79"/>
  <c r="R132" i="79"/>
  <c r="Q132" i="79"/>
  <c r="U131" i="79"/>
  <c r="T131" i="79"/>
  <c r="R131" i="79"/>
  <c r="Q131" i="79"/>
  <c r="U130" i="79"/>
  <c r="T130" i="79"/>
  <c r="R130" i="79"/>
  <c r="Q130" i="79"/>
  <c r="U129" i="79"/>
  <c r="T129" i="79"/>
  <c r="R129" i="79"/>
  <c r="Q129" i="79"/>
  <c r="U128" i="79"/>
  <c r="T128" i="79"/>
  <c r="R128" i="79"/>
  <c r="Q128" i="79"/>
  <c r="U127" i="79"/>
  <c r="T127" i="79"/>
  <c r="R127" i="79"/>
  <c r="Q127" i="79"/>
  <c r="U126" i="79"/>
  <c r="T126" i="79"/>
  <c r="R126" i="79"/>
  <c r="Q126" i="79"/>
  <c r="U125" i="79"/>
  <c r="T125" i="79"/>
  <c r="R125" i="79"/>
  <c r="Q125" i="79"/>
  <c r="U124" i="79"/>
  <c r="T124" i="79"/>
  <c r="R124" i="79"/>
  <c r="Q124" i="79"/>
  <c r="U123" i="79"/>
  <c r="T123" i="79"/>
  <c r="R123" i="79"/>
  <c r="Q123" i="79"/>
  <c r="U122" i="79"/>
  <c r="T122" i="79"/>
  <c r="R122" i="79"/>
  <c r="Q122" i="79"/>
  <c r="U121" i="79"/>
  <c r="T121" i="79"/>
  <c r="R121" i="79"/>
  <c r="Q121" i="79"/>
  <c r="U120" i="79"/>
  <c r="T120" i="79"/>
  <c r="R120" i="79"/>
  <c r="Q120" i="79"/>
  <c r="U119" i="79"/>
  <c r="T119" i="79"/>
  <c r="R119" i="79"/>
  <c r="Q119" i="79"/>
  <c r="U118" i="79"/>
  <c r="T118" i="79"/>
  <c r="R118" i="79"/>
  <c r="Q118" i="79"/>
  <c r="U117" i="79"/>
  <c r="T117" i="79"/>
  <c r="R117" i="79"/>
  <c r="Q117" i="79"/>
  <c r="U116" i="79"/>
  <c r="T116" i="79"/>
  <c r="R116" i="79"/>
  <c r="Q116" i="79"/>
  <c r="U115" i="79"/>
  <c r="T115" i="79"/>
  <c r="R115" i="79"/>
  <c r="Q115" i="79"/>
  <c r="U114" i="79"/>
  <c r="T114" i="79"/>
  <c r="R114" i="79"/>
  <c r="Q114" i="79"/>
  <c r="U113" i="79"/>
  <c r="T113" i="79"/>
  <c r="R113" i="79"/>
  <c r="Q113" i="79"/>
  <c r="U112" i="79"/>
  <c r="T112" i="79"/>
  <c r="R112" i="79"/>
  <c r="Q112" i="79"/>
  <c r="U111" i="79"/>
  <c r="T111" i="79"/>
  <c r="R111" i="79"/>
  <c r="Q111" i="79"/>
  <c r="U110" i="79"/>
  <c r="T110" i="79"/>
  <c r="R110" i="79"/>
  <c r="Q110" i="79"/>
  <c r="U109" i="79"/>
  <c r="T109" i="79"/>
  <c r="R109" i="79"/>
  <c r="Q109" i="79"/>
  <c r="U108" i="79"/>
  <c r="T108" i="79"/>
  <c r="R108" i="79"/>
  <c r="Q108" i="79"/>
  <c r="U107" i="79"/>
  <c r="T107" i="79"/>
  <c r="R107" i="79"/>
  <c r="Q107" i="79"/>
  <c r="U106" i="79"/>
  <c r="T106" i="79"/>
  <c r="R106" i="79"/>
  <c r="Q106" i="79"/>
  <c r="U105" i="79"/>
  <c r="T105" i="79"/>
  <c r="R105" i="79"/>
  <c r="Q105" i="79"/>
  <c r="U104" i="79"/>
  <c r="T104" i="79"/>
  <c r="R104" i="79"/>
  <c r="Q104" i="79"/>
  <c r="U103" i="79"/>
  <c r="T103" i="79"/>
  <c r="R103" i="79"/>
  <c r="Q103" i="79"/>
  <c r="U102" i="79"/>
  <c r="T102" i="79"/>
  <c r="R102" i="79"/>
  <c r="Q102" i="79"/>
  <c r="U101" i="79"/>
  <c r="T101" i="79"/>
  <c r="R101" i="79"/>
  <c r="Q101" i="79"/>
  <c r="U100" i="79"/>
  <c r="T100" i="79"/>
  <c r="R100" i="79"/>
  <c r="Q100" i="79"/>
  <c r="U99" i="79"/>
  <c r="T99" i="79"/>
  <c r="R99" i="79"/>
  <c r="Q99" i="79"/>
  <c r="U98" i="79"/>
  <c r="T98" i="79"/>
  <c r="R98" i="79"/>
  <c r="Q98" i="79"/>
  <c r="U97" i="79"/>
  <c r="T97" i="79"/>
  <c r="R97" i="79"/>
  <c r="Q97" i="79"/>
  <c r="U96" i="79"/>
  <c r="T96" i="79"/>
  <c r="R96" i="79"/>
  <c r="Q96" i="79"/>
  <c r="U95" i="79"/>
  <c r="T95" i="79"/>
  <c r="R95" i="79"/>
  <c r="Q95" i="79"/>
  <c r="U94" i="79"/>
  <c r="T94" i="79"/>
  <c r="R94" i="79"/>
  <c r="Q94" i="79"/>
  <c r="U93" i="79"/>
  <c r="T93" i="79"/>
  <c r="R93" i="79"/>
  <c r="Q93" i="79"/>
  <c r="U92" i="79"/>
  <c r="T92" i="79"/>
  <c r="R92" i="79"/>
  <c r="Q92" i="79"/>
  <c r="U91" i="79"/>
  <c r="T91" i="79"/>
  <c r="R91" i="79"/>
  <c r="Q91" i="79"/>
  <c r="U90" i="79"/>
  <c r="T90" i="79"/>
  <c r="R90" i="79"/>
  <c r="Q90" i="79"/>
  <c r="U89" i="79"/>
  <c r="T89" i="79"/>
  <c r="R89" i="79"/>
  <c r="Q89" i="79"/>
  <c r="U88" i="79"/>
  <c r="T88" i="79"/>
  <c r="R88" i="79"/>
  <c r="Q88" i="79"/>
  <c r="U87" i="79"/>
  <c r="T87" i="79"/>
  <c r="R87" i="79"/>
  <c r="Q87" i="79"/>
  <c r="U86" i="79"/>
  <c r="T86" i="79"/>
  <c r="R86" i="79"/>
  <c r="Q86" i="79"/>
  <c r="U85" i="79"/>
  <c r="T85" i="79"/>
  <c r="R85" i="79"/>
  <c r="Q85" i="79"/>
  <c r="U84" i="79"/>
  <c r="T84" i="79"/>
  <c r="R84" i="79"/>
  <c r="Q84" i="79"/>
  <c r="U83" i="79"/>
  <c r="T83" i="79"/>
  <c r="R83" i="79"/>
  <c r="Q83" i="79"/>
  <c r="U82" i="79"/>
  <c r="T82" i="79"/>
  <c r="R82" i="79"/>
  <c r="Q82" i="79"/>
  <c r="U81" i="79"/>
  <c r="T81" i="79"/>
  <c r="R81" i="79"/>
  <c r="Q81" i="79"/>
  <c r="U80" i="79"/>
  <c r="T80" i="79"/>
  <c r="R80" i="79"/>
  <c r="Q80" i="79"/>
  <c r="U79" i="79"/>
  <c r="T79" i="79"/>
  <c r="R79" i="79"/>
  <c r="Q79" i="79"/>
  <c r="U78" i="79"/>
  <c r="T78" i="79"/>
  <c r="R78" i="79"/>
  <c r="Q78" i="79"/>
  <c r="U77" i="79"/>
  <c r="T77" i="79"/>
  <c r="R77" i="79"/>
  <c r="Q77" i="79"/>
  <c r="U76" i="79"/>
  <c r="T76" i="79"/>
  <c r="R76" i="79"/>
  <c r="Q76" i="79"/>
  <c r="U75" i="79"/>
  <c r="T75" i="79"/>
  <c r="R75" i="79"/>
  <c r="Q75" i="79"/>
  <c r="U74" i="79"/>
  <c r="T74" i="79"/>
  <c r="R74" i="79"/>
  <c r="Q74" i="79"/>
  <c r="U73" i="79"/>
  <c r="T73" i="79"/>
  <c r="R73" i="79"/>
  <c r="Q73" i="79"/>
  <c r="U72" i="79"/>
  <c r="T72" i="79"/>
  <c r="R72" i="79"/>
  <c r="Q72" i="79"/>
  <c r="U71" i="79"/>
  <c r="T71" i="79"/>
  <c r="R71" i="79"/>
  <c r="Q71" i="79"/>
  <c r="U70" i="79"/>
  <c r="T70" i="79"/>
  <c r="R70" i="79"/>
  <c r="Q70" i="79"/>
  <c r="U69" i="79"/>
  <c r="T69" i="79"/>
  <c r="R69" i="79"/>
  <c r="Q69" i="79"/>
  <c r="U68" i="79"/>
  <c r="T68" i="79"/>
  <c r="R68" i="79"/>
  <c r="Q68" i="79"/>
  <c r="U67" i="79"/>
  <c r="T67" i="79"/>
  <c r="R67" i="79"/>
  <c r="Q67" i="79"/>
  <c r="U66" i="79"/>
  <c r="T66" i="79"/>
  <c r="R66" i="79"/>
  <c r="Q66" i="79"/>
  <c r="U65" i="79"/>
  <c r="T65" i="79"/>
  <c r="R65" i="79"/>
  <c r="Q65" i="79"/>
  <c r="U64" i="79"/>
  <c r="T64" i="79"/>
  <c r="R64" i="79"/>
  <c r="Q64" i="79"/>
  <c r="U63" i="79"/>
  <c r="T63" i="79"/>
  <c r="R63" i="79"/>
  <c r="Q63" i="79"/>
  <c r="U62" i="79"/>
  <c r="T62" i="79"/>
  <c r="R62" i="79"/>
  <c r="Q62" i="79"/>
  <c r="U61" i="79"/>
  <c r="T61" i="79"/>
  <c r="R61" i="79"/>
  <c r="Q61" i="79"/>
  <c r="U60" i="79"/>
  <c r="T60" i="79"/>
  <c r="R60" i="79"/>
  <c r="Q60" i="79"/>
  <c r="U59" i="79"/>
  <c r="T59" i="79"/>
  <c r="R59" i="79"/>
  <c r="Q59" i="79"/>
  <c r="U58" i="79"/>
  <c r="T58" i="79"/>
  <c r="R58" i="79"/>
  <c r="Q58" i="79"/>
  <c r="U57" i="79"/>
  <c r="T57" i="79"/>
  <c r="R57" i="79"/>
  <c r="Q57" i="79"/>
  <c r="U56" i="79"/>
  <c r="T56" i="79"/>
  <c r="R56" i="79"/>
  <c r="Q56" i="79"/>
  <c r="U55" i="79"/>
  <c r="T55" i="79"/>
  <c r="R55" i="79"/>
  <c r="Q55" i="79"/>
  <c r="U54" i="79"/>
  <c r="T54" i="79"/>
  <c r="R54" i="79"/>
  <c r="Q54" i="79"/>
  <c r="U53" i="79"/>
  <c r="T53" i="79"/>
  <c r="R53" i="79"/>
  <c r="Q53" i="79"/>
  <c r="U52" i="79"/>
  <c r="T52" i="79"/>
  <c r="R52" i="79"/>
  <c r="Q52" i="79"/>
  <c r="U51" i="79"/>
  <c r="T51" i="79"/>
  <c r="R51" i="79"/>
  <c r="Q51" i="79"/>
  <c r="U50" i="79"/>
  <c r="T50" i="79"/>
  <c r="R50" i="79"/>
  <c r="Q50" i="79"/>
  <c r="U49" i="79"/>
  <c r="T49" i="79"/>
  <c r="R49" i="79"/>
  <c r="Q49" i="79"/>
  <c r="U48" i="79"/>
  <c r="T48" i="79"/>
  <c r="R48" i="79"/>
  <c r="Q48" i="79"/>
  <c r="U47" i="79"/>
  <c r="T47" i="79"/>
  <c r="R47" i="79"/>
  <c r="Q47" i="79"/>
  <c r="U46" i="79"/>
  <c r="T46" i="79"/>
  <c r="R46" i="79"/>
  <c r="Q46" i="79"/>
  <c r="U45" i="79"/>
  <c r="T45" i="79"/>
  <c r="R45" i="79"/>
  <c r="Q45" i="79"/>
  <c r="U44" i="79"/>
  <c r="T44" i="79"/>
  <c r="R44" i="79"/>
  <c r="Q44" i="79"/>
  <c r="U43" i="79"/>
  <c r="T43" i="79"/>
  <c r="R43" i="79"/>
  <c r="Q43" i="79"/>
  <c r="U42" i="79"/>
  <c r="T42" i="79"/>
  <c r="R42" i="79"/>
  <c r="Q42" i="79"/>
  <c r="U41" i="79"/>
  <c r="T41" i="79"/>
  <c r="R41" i="79"/>
  <c r="Q41" i="79"/>
  <c r="U40" i="79"/>
  <c r="T40" i="79"/>
  <c r="R40" i="79"/>
  <c r="Q40" i="79"/>
  <c r="U39" i="79"/>
  <c r="T39" i="79"/>
  <c r="R39" i="79"/>
  <c r="Q39" i="79"/>
  <c r="U38" i="79"/>
  <c r="T38" i="79"/>
  <c r="R38" i="79"/>
  <c r="Q38" i="79"/>
  <c r="U37" i="79"/>
  <c r="T37" i="79"/>
  <c r="R37" i="79"/>
  <c r="Q37" i="79"/>
  <c r="U36" i="79"/>
  <c r="T36" i="79"/>
  <c r="R36" i="79"/>
  <c r="Q36" i="79"/>
  <c r="U35" i="79"/>
  <c r="T35" i="79"/>
  <c r="R35" i="79"/>
  <c r="Q35" i="79"/>
  <c r="U34" i="79"/>
  <c r="T34" i="79"/>
  <c r="R34" i="79"/>
  <c r="Q34" i="79"/>
  <c r="U33" i="79"/>
  <c r="T33" i="79"/>
  <c r="R33" i="79"/>
  <c r="Q33" i="79"/>
  <c r="U32" i="79"/>
  <c r="T32" i="79"/>
  <c r="R32" i="79"/>
  <c r="Q32" i="79"/>
  <c r="U31" i="79"/>
  <c r="T31" i="79"/>
  <c r="R31" i="79"/>
  <c r="Q31" i="79"/>
  <c r="U30" i="79"/>
  <c r="T30" i="79"/>
  <c r="R30" i="79"/>
  <c r="Q30" i="79"/>
  <c r="U29" i="79"/>
  <c r="T29" i="79"/>
  <c r="R29" i="79"/>
  <c r="Q29" i="79"/>
  <c r="U28" i="79"/>
  <c r="T28" i="79"/>
  <c r="R28" i="79"/>
  <c r="Q28" i="79"/>
  <c r="U27" i="79"/>
  <c r="T27" i="79"/>
  <c r="R27" i="79"/>
  <c r="Q27" i="79"/>
  <c r="U26" i="79"/>
  <c r="T26" i="79"/>
  <c r="R26" i="79"/>
  <c r="Q26" i="79"/>
  <c r="U25" i="79"/>
  <c r="T25" i="79"/>
  <c r="R25" i="79"/>
  <c r="Q25" i="79"/>
  <c r="U24" i="79"/>
  <c r="T24" i="79"/>
  <c r="R24" i="79"/>
  <c r="Q24" i="79"/>
  <c r="U23" i="79"/>
  <c r="T23" i="79"/>
  <c r="R23" i="79"/>
  <c r="Q23" i="79"/>
  <c r="U22" i="79"/>
  <c r="T22" i="79"/>
  <c r="R22" i="79"/>
  <c r="Q22" i="79"/>
  <c r="U21" i="79"/>
  <c r="T21" i="79"/>
  <c r="R21" i="79"/>
  <c r="Q21" i="79"/>
  <c r="U20" i="79"/>
  <c r="T20" i="79"/>
  <c r="R20" i="79"/>
  <c r="Q20" i="79"/>
  <c r="U19" i="79"/>
  <c r="T19" i="79"/>
  <c r="R19" i="79"/>
  <c r="Q19" i="79"/>
  <c r="U18" i="79"/>
  <c r="T18" i="79"/>
  <c r="R18" i="79"/>
  <c r="Q18" i="79"/>
  <c r="U17" i="79"/>
  <c r="T17" i="79"/>
  <c r="R17" i="79"/>
  <c r="Q17" i="79"/>
  <c r="U16" i="79"/>
  <c r="T16" i="79"/>
  <c r="R16" i="79"/>
  <c r="Q16" i="79"/>
  <c r="U15" i="79"/>
  <c r="T15" i="79"/>
  <c r="R15" i="79"/>
  <c r="Q15" i="79"/>
  <c r="U14" i="79"/>
  <c r="T14" i="79"/>
  <c r="R14" i="79"/>
  <c r="Q14" i="79"/>
  <c r="U13" i="79"/>
  <c r="T13" i="79"/>
  <c r="R13" i="79"/>
  <c r="Q13" i="79"/>
  <c r="U12" i="79"/>
  <c r="T12" i="79"/>
  <c r="R12" i="79"/>
  <c r="Q12" i="79"/>
  <c r="U11" i="79"/>
  <c r="T11" i="79"/>
  <c r="R11" i="79"/>
  <c r="Q11" i="79"/>
  <c r="U10" i="79"/>
  <c r="T10" i="79"/>
  <c r="R10" i="79"/>
  <c r="Q10" i="79"/>
  <c r="U9" i="79"/>
  <c r="T9" i="79"/>
  <c r="R9" i="79"/>
  <c r="Q9" i="79"/>
  <c r="U8" i="79"/>
  <c r="T8" i="79"/>
  <c r="R8" i="79"/>
  <c r="Q8" i="79"/>
  <c r="U7" i="79"/>
  <c r="T7" i="79"/>
  <c r="R7" i="79"/>
  <c r="Q7" i="79"/>
  <c r="U6" i="79"/>
  <c r="T6" i="79"/>
  <c r="R6" i="79"/>
  <c r="Q6" i="79"/>
  <c r="U5" i="79"/>
  <c r="T5" i="79"/>
  <c r="R5" i="79"/>
  <c r="Q5" i="79"/>
  <c r="U4" i="79"/>
  <c r="T4" i="79"/>
  <c r="R4" i="79"/>
  <c r="Q4" i="79"/>
  <c r="U3" i="79"/>
  <c r="T3" i="79"/>
  <c r="R3" i="79"/>
  <c r="Q3" i="79"/>
  <c r="U2" i="79"/>
  <c r="T2" i="79"/>
  <c r="R2" i="79"/>
  <c r="Q2" i="79"/>
  <c r="Z200" i="100" l="1"/>
  <c r="Z205" i="100"/>
  <c r="AF208" i="100"/>
  <c r="AN208" i="100"/>
  <c r="H21" i="101"/>
  <c r="AF148" i="100"/>
  <c r="AN148" i="100"/>
  <c r="AE149" i="100"/>
  <c r="AM149" i="100"/>
  <c r="AD150" i="100"/>
  <c r="AL150" i="100"/>
  <c r="AB153" i="100"/>
  <c r="AJ153" i="100"/>
  <c r="AA154" i="100"/>
  <c r="AI154" i="100"/>
  <c r="Z155" i="100"/>
  <c r="AH155" i="100"/>
  <c r="AF158" i="100"/>
  <c r="AN158" i="100"/>
  <c r="AE159" i="100"/>
  <c r="AM159" i="100"/>
  <c r="AD160" i="100"/>
  <c r="AL160" i="100"/>
  <c r="AB163" i="100"/>
  <c r="AJ163" i="100"/>
  <c r="AA164" i="100"/>
  <c r="AI164" i="100"/>
  <c r="Z165" i="100"/>
  <c r="AH165" i="100"/>
  <c r="AF168" i="100"/>
  <c r="AN168" i="100"/>
  <c r="AE169" i="100"/>
  <c r="AM169" i="100"/>
  <c r="AD170" i="100"/>
  <c r="AL170" i="100"/>
  <c r="AB173" i="100"/>
  <c r="AJ173" i="100"/>
  <c r="AA174" i="100"/>
  <c r="AI174" i="100"/>
  <c r="Z175" i="100"/>
  <c r="AH175" i="100"/>
  <c r="AF178" i="100"/>
  <c r="AN178" i="100"/>
  <c r="AE179" i="100"/>
  <c r="AM179" i="100"/>
  <c r="AD180" i="100"/>
  <c r="AL180" i="100"/>
  <c r="AB183" i="100"/>
  <c r="AJ183" i="100"/>
  <c r="AA184" i="100"/>
  <c r="AI184" i="100"/>
  <c r="Z185" i="100"/>
  <c r="AH185" i="100"/>
  <c r="AF188" i="100"/>
  <c r="AN188" i="100"/>
  <c r="AE189" i="100"/>
  <c r="AM189" i="100"/>
  <c r="AD190" i="100"/>
  <c r="AL190" i="100"/>
  <c r="AB193" i="100"/>
  <c r="AJ193" i="100"/>
  <c r="AA194" i="100"/>
  <c r="AI194" i="100"/>
  <c r="Z195" i="100"/>
  <c r="AH195" i="100"/>
  <c r="AE209" i="100"/>
  <c r="AM209" i="100"/>
  <c r="AD210" i="100"/>
  <c r="AL210" i="100"/>
  <c r="Z148" i="100"/>
  <c r="AH148" i="100"/>
  <c r="AD153" i="100"/>
  <c r="AL153" i="100"/>
  <c r="Z158" i="100"/>
  <c r="AH158" i="100"/>
  <c r="AD163" i="100"/>
  <c r="AL163" i="100"/>
  <c r="Z168" i="100"/>
  <c r="AH168" i="100"/>
  <c r="AD173" i="100"/>
  <c r="AL173" i="100"/>
  <c r="Z178" i="100"/>
  <c r="AH178" i="100"/>
  <c r="AD183" i="100"/>
  <c r="AL183" i="100"/>
  <c r="Z188" i="100"/>
  <c r="AH188" i="100"/>
  <c r="AD193" i="100"/>
  <c r="AL193" i="100"/>
  <c r="Z208" i="100"/>
  <c r="AH208" i="100"/>
  <c r="AC150" i="100"/>
  <c r="AK150" i="100"/>
  <c r="Y155" i="100"/>
  <c r="AG155" i="100"/>
  <c r="AO155" i="100"/>
  <c r="AC160" i="100"/>
  <c r="AK160" i="100"/>
  <c r="Y165" i="100"/>
  <c r="AG165" i="100"/>
  <c r="AO165" i="100"/>
  <c r="AC170" i="100"/>
  <c r="AK170" i="100"/>
  <c r="Y175" i="100"/>
  <c r="AG175" i="100"/>
  <c r="AO175" i="100"/>
  <c r="AC180" i="100"/>
  <c r="AK180" i="100"/>
  <c r="Y185" i="100"/>
  <c r="AG185" i="100"/>
  <c r="AO185" i="100"/>
  <c r="AC190" i="100"/>
  <c r="AK190" i="100"/>
  <c r="Y195" i="100"/>
  <c r="AG195" i="100"/>
  <c r="AO195" i="100"/>
  <c r="AC210" i="100"/>
  <c r="AK210" i="100"/>
  <c r="Y147" i="100"/>
  <c r="Y151" i="100"/>
  <c r="AG147" i="100"/>
  <c r="AG151" i="100"/>
  <c r="AO147" i="100"/>
  <c r="AO151" i="100"/>
  <c r="AC152" i="100"/>
  <c r="AC156" i="100"/>
  <c r="AK152" i="100"/>
  <c r="AK156" i="100"/>
  <c r="Y157" i="100"/>
  <c r="Y161" i="100"/>
  <c r="AG157" i="100"/>
  <c r="AG161" i="100"/>
  <c r="AO157" i="100"/>
  <c r="AO161" i="100"/>
  <c r="AC162" i="100"/>
  <c r="AC166" i="100"/>
  <c r="AK162" i="100"/>
  <c r="AK166" i="100"/>
  <c r="Y167" i="100"/>
  <c r="Y171" i="100"/>
  <c r="AG167" i="100"/>
  <c r="AG171" i="100"/>
  <c r="AO167" i="100"/>
  <c r="AO171" i="100"/>
  <c r="AC172" i="100"/>
  <c r="AC176" i="100"/>
  <c r="AK172" i="100"/>
  <c r="AK176" i="100"/>
  <c r="Y177" i="100"/>
  <c r="Y181" i="100"/>
  <c r="AG177" i="100"/>
  <c r="AG181" i="100"/>
  <c r="AO177" i="100"/>
  <c r="AO181" i="100"/>
  <c r="AC182" i="100"/>
  <c r="AC186" i="100"/>
  <c r="AK182" i="100"/>
  <c r="AK186" i="100"/>
  <c r="Z147" i="100"/>
  <c r="Z151" i="100"/>
  <c r="AH147" i="100"/>
  <c r="AH151" i="100"/>
  <c r="Y148" i="100"/>
  <c r="AA147" i="100"/>
  <c r="AA151" i="100"/>
  <c r="AI147" i="100"/>
  <c r="AI151" i="100"/>
  <c r="Y149" i="100"/>
  <c r="AG149" i="100"/>
  <c r="AO149" i="100"/>
  <c r="AF150" i="100"/>
  <c r="AN150" i="100"/>
  <c r="AE152" i="100"/>
  <c r="AE156" i="100"/>
  <c r="AM152" i="100"/>
  <c r="AM156" i="100"/>
  <c r="AC154" i="100"/>
  <c r="AK154" i="100"/>
  <c r="AB155" i="100"/>
  <c r="AJ155" i="100"/>
  <c r="AA157" i="100"/>
  <c r="AA161" i="100"/>
  <c r="AI157" i="100"/>
  <c r="AI161" i="100"/>
  <c r="Y159" i="100"/>
  <c r="AG159" i="100"/>
  <c r="AO159" i="100"/>
  <c r="AF160" i="100"/>
  <c r="AN160" i="100"/>
  <c r="AE162" i="100"/>
  <c r="AE166" i="100"/>
  <c r="AM162" i="100"/>
  <c r="AM166" i="100"/>
  <c r="AB147" i="100"/>
  <c r="AB151" i="100"/>
  <c r="AJ147" i="100"/>
  <c r="AJ151" i="100"/>
  <c r="AA148" i="100"/>
  <c r="AC147" i="100"/>
  <c r="AC151" i="100"/>
  <c r="AK147" i="100"/>
  <c r="AK151" i="100"/>
  <c r="AB148" i="100"/>
  <c r="AJ148" i="100"/>
  <c r="AA149" i="100"/>
  <c r="AI149" i="100"/>
  <c r="Z150" i="100"/>
  <c r="AH150" i="100"/>
  <c r="Y152" i="100"/>
  <c r="Y156" i="100"/>
  <c r="AG152" i="100"/>
  <c r="AG156" i="100"/>
  <c r="AO152" i="100"/>
  <c r="AO156" i="100"/>
  <c r="AF153" i="100"/>
  <c r="AD147" i="100"/>
  <c r="AD151" i="100"/>
  <c r="AL147" i="100"/>
  <c r="AL151" i="100"/>
  <c r="AC148" i="100"/>
  <c r="AK148" i="100"/>
  <c r="AB149" i="100"/>
  <c r="AJ149" i="100"/>
  <c r="AA150" i="100"/>
  <c r="AI150" i="100"/>
  <c r="Z152" i="100"/>
  <c r="Z156" i="100"/>
  <c r="AH152" i="100"/>
  <c r="AH156" i="100"/>
  <c r="Y153" i="100"/>
  <c r="AG153" i="100"/>
  <c r="AO153" i="100"/>
  <c r="AF154" i="100"/>
  <c r="AE147" i="100"/>
  <c r="AE151" i="100"/>
  <c r="AM147" i="100"/>
  <c r="AM151" i="100"/>
  <c r="AD148" i="100"/>
  <c r="AL148" i="100"/>
  <c r="AC149" i="100"/>
  <c r="AK149" i="100"/>
  <c r="AA152" i="100"/>
  <c r="AA156" i="100"/>
  <c r="AI152" i="100"/>
  <c r="AI156" i="100"/>
  <c r="Z153" i="100"/>
  <c r="AH153" i="100"/>
  <c r="Y154" i="100"/>
  <c r="AG154" i="100"/>
  <c r="AO154" i="100"/>
  <c r="AE157" i="100"/>
  <c r="AE161" i="100"/>
  <c r="AM157" i="100"/>
  <c r="AM161" i="100"/>
  <c r="AD158" i="100"/>
  <c r="AL158" i="100"/>
  <c r="AC159" i="100"/>
  <c r="AK159" i="100"/>
  <c r="AA162" i="100"/>
  <c r="AA166" i="100"/>
  <c r="AF147" i="100"/>
  <c r="AF151" i="100"/>
  <c r="AN147" i="100"/>
  <c r="AN151" i="100"/>
  <c r="AE148" i="100"/>
  <c r="AM148" i="100"/>
  <c r="AD149" i="100"/>
  <c r="AL149" i="100"/>
  <c r="AB152" i="100"/>
  <c r="AB156" i="100"/>
  <c r="AJ152" i="100"/>
  <c r="AJ156" i="100"/>
  <c r="AA153" i="100"/>
  <c r="AI153" i="100"/>
  <c r="Z154" i="100"/>
  <c r="AH154" i="100"/>
  <c r="AF157" i="100"/>
  <c r="AF161" i="100"/>
  <c r="AN157" i="100"/>
  <c r="AN161" i="100"/>
  <c r="AE158" i="100"/>
  <c r="AM158" i="100"/>
  <c r="AD159" i="100"/>
  <c r="AL159" i="100"/>
  <c r="AB162" i="100"/>
  <c r="AB166" i="100"/>
  <c r="AJ162" i="100"/>
  <c r="AJ166" i="100"/>
  <c r="AA163" i="100"/>
  <c r="AI163" i="100"/>
  <c r="Z164" i="100"/>
  <c r="AH164" i="100"/>
  <c r="AF167" i="100"/>
  <c r="AF171" i="100"/>
  <c r="AN167" i="100"/>
  <c r="AN171" i="100"/>
  <c r="AE168" i="100"/>
  <c r="AM168" i="100"/>
  <c r="AD169" i="100"/>
  <c r="AL169" i="100"/>
  <c r="AB172" i="100"/>
  <c r="AB176" i="100"/>
  <c r="AJ172" i="100"/>
  <c r="AJ176" i="100"/>
  <c r="AA173" i="100"/>
  <c r="AI173" i="100"/>
  <c r="Z174" i="100"/>
  <c r="AH174" i="100"/>
  <c r="Y187" i="100"/>
  <c r="Y191" i="100"/>
  <c r="AG187" i="100"/>
  <c r="AG191" i="100"/>
  <c r="AO187" i="100"/>
  <c r="AO191" i="100"/>
  <c r="AC192" i="100"/>
  <c r="AC196" i="100"/>
  <c r="AK192" i="100"/>
  <c r="AK196" i="100"/>
  <c r="Y197" i="100"/>
  <c r="Y201" i="100"/>
  <c r="N199" i="100"/>
  <c r="AO197" i="100"/>
  <c r="AO201" i="100"/>
  <c r="Y202" i="100"/>
  <c r="Y206" i="100"/>
  <c r="AO202" i="100"/>
  <c r="AO206" i="100"/>
  <c r="Y207" i="100"/>
  <c r="Y211" i="100"/>
  <c r="AG207" i="100"/>
  <c r="AG211" i="100"/>
  <c r="AO207" i="100"/>
  <c r="AO211" i="100"/>
  <c r="AG148" i="100"/>
  <c r="AO148" i="100"/>
  <c r="AF149" i="100"/>
  <c r="AN149" i="100"/>
  <c r="AE150" i="100"/>
  <c r="AM150" i="100"/>
  <c r="AD152" i="100"/>
  <c r="AD156" i="100"/>
  <c r="AL152" i="100"/>
  <c r="AL156" i="100"/>
  <c r="AC153" i="100"/>
  <c r="AK153" i="100"/>
  <c r="AB154" i="100"/>
  <c r="AJ154" i="100"/>
  <c r="AA155" i="100"/>
  <c r="AI155" i="100"/>
  <c r="Z157" i="100"/>
  <c r="Z161" i="100"/>
  <c r="AH157" i="100"/>
  <c r="AH161" i="100"/>
  <c r="Y158" i="100"/>
  <c r="AG158" i="100"/>
  <c r="AO158" i="100"/>
  <c r="AF159" i="100"/>
  <c r="AN159" i="100"/>
  <c r="AE160" i="100"/>
  <c r="AM160" i="100"/>
  <c r="AD162" i="100"/>
  <c r="AD166" i="100"/>
  <c r="AL162" i="100"/>
  <c r="AL166" i="100"/>
  <c r="AC163" i="100"/>
  <c r="AK163" i="100"/>
  <c r="AB164" i="100"/>
  <c r="AJ164" i="100"/>
  <c r="AA165" i="100"/>
  <c r="AI165" i="100"/>
  <c r="Z167" i="100"/>
  <c r="Z171" i="100"/>
  <c r="AH167" i="100"/>
  <c r="AH171" i="100"/>
  <c r="Y168" i="100"/>
  <c r="AG168" i="100"/>
  <c r="AO168" i="100"/>
  <c r="AF169" i="100"/>
  <c r="AN169" i="100"/>
  <c r="AE170" i="100"/>
  <c r="AM170" i="100"/>
  <c r="AD172" i="100"/>
  <c r="AD176" i="100"/>
  <c r="AL172" i="100"/>
  <c r="AL176" i="100"/>
  <c r="AC173" i="100"/>
  <c r="AK173" i="100"/>
  <c r="AB174" i="100"/>
  <c r="AJ174" i="100"/>
  <c r="AA175" i="100"/>
  <c r="AI175" i="100"/>
  <c r="Z177" i="100"/>
  <c r="Z181" i="100"/>
  <c r="AH177" i="100"/>
  <c r="AH181" i="100"/>
  <c r="Y178" i="100"/>
  <c r="AG178" i="100"/>
  <c r="AO178" i="100"/>
  <c r="AF179" i="100"/>
  <c r="AN179" i="100"/>
  <c r="AE180" i="100"/>
  <c r="AM180" i="100"/>
  <c r="AD182" i="100"/>
  <c r="AD186" i="100"/>
  <c r="AL182" i="100"/>
  <c r="AL186" i="100"/>
  <c r="AC183" i="100"/>
  <c r="AK183" i="100"/>
  <c r="AB184" i="100"/>
  <c r="AJ184" i="100"/>
  <c r="AA185" i="100"/>
  <c r="AI185" i="100"/>
  <c r="Z187" i="100"/>
  <c r="Z191" i="100"/>
  <c r="AH187" i="100"/>
  <c r="AH191" i="100"/>
  <c r="Y188" i="100"/>
  <c r="AG188" i="100"/>
  <c r="AO188" i="100"/>
  <c r="AF189" i="100"/>
  <c r="AN189" i="100"/>
  <c r="AE190" i="100"/>
  <c r="AM190" i="100"/>
  <c r="AD192" i="100"/>
  <c r="AD196" i="100"/>
  <c r="AL192" i="100"/>
  <c r="AL196" i="100"/>
  <c r="AC193" i="100"/>
  <c r="AK193" i="100"/>
  <c r="AB194" i="100"/>
  <c r="AJ194" i="100"/>
  <c r="AA195" i="100"/>
  <c r="AI195" i="100"/>
  <c r="G199" i="100"/>
  <c r="Z197" i="100"/>
  <c r="Z201" i="100"/>
  <c r="O198" i="100"/>
  <c r="Y198" i="100"/>
  <c r="Z202" i="100"/>
  <c r="Z206" i="100"/>
  <c r="O204" i="100"/>
  <c r="Y203" i="100"/>
  <c r="Z207" i="100"/>
  <c r="Z211" i="100"/>
  <c r="AH207" i="100"/>
  <c r="AH211" i="100"/>
  <c r="Y208" i="100"/>
  <c r="AG208" i="100"/>
  <c r="AO208" i="100"/>
  <c r="AF209" i="100"/>
  <c r="AN209" i="100"/>
  <c r="AE210" i="100"/>
  <c r="AM210" i="100"/>
  <c r="AC164" i="100"/>
  <c r="AK164" i="100"/>
  <c r="AB165" i="100"/>
  <c r="AJ165" i="100"/>
  <c r="AA167" i="100"/>
  <c r="AA171" i="100"/>
  <c r="AI167" i="100"/>
  <c r="AI171" i="100"/>
  <c r="Y169" i="100"/>
  <c r="AG169" i="100"/>
  <c r="AO169" i="100"/>
  <c r="AF170" i="100"/>
  <c r="AN170" i="100"/>
  <c r="AE172" i="100"/>
  <c r="AE176" i="100"/>
  <c r="AM172" i="100"/>
  <c r="AM176" i="100"/>
  <c r="AC174" i="100"/>
  <c r="AK174" i="100"/>
  <c r="AB175" i="100"/>
  <c r="AJ175" i="100"/>
  <c r="AA177" i="100"/>
  <c r="AA181" i="100"/>
  <c r="AI177" i="100"/>
  <c r="AI181" i="100"/>
  <c r="Y179" i="100"/>
  <c r="AG179" i="100"/>
  <c r="AO179" i="100"/>
  <c r="AF180" i="100"/>
  <c r="AN180" i="100"/>
  <c r="AE182" i="100"/>
  <c r="AE186" i="100"/>
  <c r="AM182" i="100"/>
  <c r="AM186" i="100"/>
  <c r="AC184" i="100"/>
  <c r="AK184" i="100"/>
  <c r="AB185" i="100"/>
  <c r="AJ185" i="100"/>
  <c r="AA187" i="100"/>
  <c r="AA191" i="100"/>
  <c r="AI187" i="100"/>
  <c r="AI191" i="100"/>
  <c r="Y189" i="100"/>
  <c r="AG189" i="100"/>
  <c r="AO189" i="100"/>
  <c r="AF190" i="100"/>
  <c r="AN190" i="100"/>
  <c r="AE192" i="100"/>
  <c r="AE196" i="100"/>
  <c r="AM192" i="100"/>
  <c r="AM196" i="100"/>
  <c r="AC194" i="100"/>
  <c r="AK194" i="100"/>
  <c r="AB195" i="100"/>
  <c r="AJ195" i="100"/>
  <c r="P199" i="100"/>
  <c r="Z198" i="100"/>
  <c r="H204" i="100"/>
  <c r="Z203" i="100"/>
  <c r="AA207" i="100"/>
  <c r="AA211" i="100"/>
  <c r="AI207" i="100"/>
  <c r="AI211" i="100"/>
  <c r="Y209" i="100"/>
  <c r="AG209" i="100"/>
  <c r="AO209" i="100"/>
  <c r="AF210" i="100"/>
  <c r="AN210" i="100"/>
  <c r="AI148" i="100"/>
  <c r="Z149" i="100"/>
  <c r="AH149" i="100"/>
  <c r="Y150" i="100"/>
  <c r="AG150" i="100"/>
  <c r="AO150" i="100"/>
  <c r="AF152" i="100"/>
  <c r="AF156" i="100"/>
  <c r="AN152" i="100"/>
  <c r="AN156" i="100"/>
  <c r="AE153" i="100"/>
  <c r="AM153" i="100"/>
  <c r="AD154" i="100"/>
  <c r="AL154" i="100"/>
  <c r="AC155" i="100"/>
  <c r="AK155" i="100"/>
  <c r="AB157" i="100"/>
  <c r="AB161" i="100"/>
  <c r="AJ157" i="100"/>
  <c r="AJ161" i="100"/>
  <c r="AA158" i="100"/>
  <c r="AI158" i="100"/>
  <c r="Z159" i="100"/>
  <c r="AH159" i="100"/>
  <c r="Y160" i="100"/>
  <c r="AG160" i="100"/>
  <c r="AO160" i="100"/>
  <c r="AF162" i="100"/>
  <c r="AF166" i="100"/>
  <c r="AN162" i="100"/>
  <c r="AN166" i="100"/>
  <c r="AE163" i="100"/>
  <c r="AM163" i="100"/>
  <c r="AD164" i="100"/>
  <c r="AL164" i="100"/>
  <c r="AC165" i="100"/>
  <c r="AK165" i="100"/>
  <c r="AB167" i="100"/>
  <c r="AB171" i="100"/>
  <c r="AJ167" i="100"/>
  <c r="AJ171" i="100"/>
  <c r="AA168" i="100"/>
  <c r="AI168" i="100"/>
  <c r="Z169" i="100"/>
  <c r="AH169" i="100"/>
  <c r="Y170" i="100"/>
  <c r="AG170" i="100"/>
  <c r="AO170" i="100"/>
  <c r="AF172" i="100"/>
  <c r="AF176" i="100"/>
  <c r="AN172" i="100"/>
  <c r="AN176" i="100"/>
  <c r="AE173" i="100"/>
  <c r="AM173" i="100"/>
  <c r="AD174" i="100"/>
  <c r="AL174" i="100"/>
  <c r="AC175" i="100"/>
  <c r="AK175" i="100"/>
  <c r="AB177" i="100"/>
  <c r="AB181" i="100"/>
  <c r="AJ177" i="100"/>
  <c r="AJ181" i="100"/>
  <c r="AA178" i="100"/>
  <c r="AI178" i="100"/>
  <c r="Z179" i="100"/>
  <c r="AH179" i="100"/>
  <c r="Y180" i="100"/>
  <c r="AG180" i="100"/>
  <c r="AO180" i="100"/>
  <c r="AF182" i="100"/>
  <c r="AF186" i="100"/>
  <c r="AN182" i="100"/>
  <c r="AN186" i="100"/>
  <c r="AE183" i="100"/>
  <c r="AM183" i="100"/>
  <c r="AD184" i="100"/>
  <c r="AL184" i="100"/>
  <c r="AC185" i="100"/>
  <c r="AK185" i="100"/>
  <c r="AB187" i="100"/>
  <c r="AB191" i="100"/>
  <c r="AJ187" i="100"/>
  <c r="AJ191" i="100"/>
  <c r="AA188" i="100"/>
  <c r="AI188" i="100"/>
  <c r="Z189" i="100"/>
  <c r="AH189" i="100"/>
  <c r="Y190" i="100"/>
  <c r="AG190" i="100"/>
  <c r="AO190" i="100"/>
  <c r="AF192" i="100"/>
  <c r="AF196" i="100"/>
  <c r="AN192" i="100"/>
  <c r="AN196" i="100"/>
  <c r="AE193" i="100"/>
  <c r="AM193" i="100"/>
  <c r="AD194" i="100"/>
  <c r="AL194" i="100"/>
  <c r="AC195" i="100"/>
  <c r="AK195" i="100"/>
  <c r="I198" i="100"/>
  <c r="Q198" i="100"/>
  <c r="AO198" i="100"/>
  <c r="I203" i="100"/>
  <c r="Q203" i="100"/>
  <c r="AO203" i="100"/>
  <c r="AB207" i="100"/>
  <c r="AB211" i="100"/>
  <c r="AJ207" i="100"/>
  <c r="AJ211" i="100"/>
  <c r="AA208" i="100"/>
  <c r="AI208" i="100"/>
  <c r="Z209" i="100"/>
  <c r="AH209" i="100"/>
  <c r="Y210" i="100"/>
  <c r="AG210" i="100"/>
  <c r="AO210" i="100"/>
  <c r="AN153" i="100"/>
  <c r="AE154" i="100"/>
  <c r="AM154" i="100"/>
  <c r="AD155" i="100"/>
  <c r="AL155" i="100"/>
  <c r="AC157" i="100"/>
  <c r="AC161" i="100"/>
  <c r="AK157" i="100"/>
  <c r="AK161" i="100"/>
  <c r="AB158" i="100"/>
  <c r="AJ158" i="100"/>
  <c r="AA159" i="100"/>
  <c r="AI159" i="100"/>
  <c r="Z160" i="100"/>
  <c r="AH160" i="100"/>
  <c r="Y162" i="100"/>
  <c r="Y166" i="100"/>
  <c r="AG162" i="100"/>
  <c r="AG166" i="100"/>
  <c r="AO162" i="100"/>
  <c r="AO166" i="100"/>
  <c r="AF163" i="100"/>
  <c r="AN163" i="100"/>
  <c r="AE164" i="100"/>
  <c r="AM164" i="100"/>
  <c r="AD165" i="100"/>
  <c r="AL165" i="100"/>
  <c r="AC167" i="100"/>
  <c r="AC171" i="100"/>
  <c r="AK167" i="100"/>
  <c r="AK171" i="100"/>
  <c r="AB168" i="100"/>
  <c r="AJ168" i="100"/>
  <c r="AA169" i="100"/>
  <c r="AI169" i="100"/>
  <c r="Z170" i="100"/>
  <c r="AH170" i="100"/>
  <c r="Y172" i="100"/>
  <c r="Y176" i="100"/>
  <c r="AG172" i="100"/>
  <c r="AG176" i="100"/>
  <c r="AO172" i="100"/>
  <c r="AO176" i="100"/>
  <c r="AF173" i="100"/>
  <c r="AN173" i="100"/>
  <c r="AE174" i="100"/>
  <c r="AM174" i="100"/>
  <c r="AD175" i="100"/>
  <c r="AL175" i="100"/>
  <c r="AC177" i="100"/>
  <c r="AC181" i="100"/>
  <c r="AK177" i="100"/>
  <c r="AK181" i="100"/>
  <c r="AB178" i="100"/>
  <c r="AJ178" i="100"/>
  <c r="AA179" i="100"/>
  <c r="AI179" i="100"/>
  <c r="Z180" i="100"/>
  <c r="AH180" i="100"/>
  <c r="Y182" i="100"/>
  <c r="Y186" i="100"/>
  <c r="AG182" i="100"/>
  <c r="AG186" i="100"/>
  <c r="AO182" i="100"/>
  <c r="AO186" i="100"/>
  <c r="AF183" i="100"/>
  <c r="AN183" i="100"/>
  <c r="AE184" i="100"/>
  <c r="AM184" i="100"/>
  <c r="AD185" i="100"/>
  <c r="AL185" i="100"/>
  <c r="AC187" i="100"/>
  <c r="AC191" i="100"/>
  <c r="AK187" i="100"/>
  <c r="AK191" i="100"/>
  <c r="AB188" i="100"/>
  <c r="AJ188" i="100"/>
  <c r="AA189" i="100"/>
  <c r="AI189" i="100"/>
  <c r="Z190" i="100"/>
  <c r="AH190" i="100"/>
  <c r="Y192" i="100"/>
  <c r="Y196" i="100"/>
  <c r="AG192" i="100"/>
  <c r="AG196" i="100"/>
  <c r="AO192" i="100"/>
  <c r="AO196" i="100"/>
  <c r="AF193" i="100"/>
  <c r="AN193" i="100"/>
  <c r="AE194" i="100"/>
  <c r="AM194" i="100"/>
  <c r="AD195" i="100"/>
  <c r="AL195" i="100"/>
  <c r="J199" i="100"/>
  <c r="R198" i="100"/>
  <c r="Y199" i="100"/>
  <c r="J203" i="100"/>
  <c r="Y204" i="100"/>
  <c r="AC207" i="100"/>
  <c r="AC211" i="100"/>
  <c r="AK207" i="100"/>
  <c r="AK211" i="100"/>
  <c r="AB208" i="100"/>
  <c r="AJ208" i="100"/>
  <c r="AA209" i="100"/>
  <c r="AI209" i="100"/>
  <c r="Z210" i="100"/>
  <c r="AH210" i="100"/>
  <c r="AN154" i="100"/>
  <c r="AE155" i="100"/>
  <c r="AM155" i="100"/>
  <c r="AD157" i="100"/>
  <c r="AD161" i="100"/>
  <c r="AL157" i="100"/>
  <c r="AL161" i="100"/>
  <c r="AC158" i="100"/>
  <c r="AK158" i="100"/>
  <c r="AB159" i="100"/>
  <c r="AJ159" i="100"/>
  <c r="AA160" i="100"/>
  <c r="AI160" i="100"/>
  <c r="Z162" i="100"/>
  <c r="Z166" i="100"/>
  <c r="AH162" i="100"/>
  <c r="AH166" i="100"/>
  <c r="Y163" i="100"/>
  <c r="AG163" i="100"/>
  <c r="AO163" i="100"/>
  <c r="AF164" i="100"/>
  <c r="AN164" i="100"/>
  <c r="AE165" i="100"/>
  <c r="AM165" i="100"/>
  <c r="AD167" i="100"/>
  <c r="AD171" i="100"/>
  <c r="AL167" i="100"/>
  <c r="AL171" i="100"/>
  <c r="AC168" i="100"/>
  <c r="AK168" i="100"/>
  <c r="AB169" i="100"/>
  <c r="AJ169" i="100"/>
  <c r="AA170" i="100"/>
  <c r="AI170" i="100"/>
  <c r="Z172" i="100"/>
  <c r="Z176" i="100"/>
  <c r="AH172" i="100"/>
  <c r="AH176" i="100"/>
  <c r="Y173" i="100"/>
  <c r="AG173" i="100"/>
  <c r="AO173" i="100"/>
  <c r="AF174" i="100"/>
  <c r="AN174" i="100"/>
  <c r="AE175" i="100"/>
  <c r="AM175" i="100"/>
  <c r="AD177" i="100"/>
  <c r="AD181" i="100"/>
  <c r="AL177" i="100"/>
  <c r="AL181" i="100"/>
  <c r="AC178" i="100"/>
  <c r="AK178" i="100"/>
  <c r="AB179" i="100"/>
  <c r="AJ179" i="100"/>
  <c r="AA180" i="100"/>
  <c r="AI180" i="100"/>
  <c r="Z182" i="100"/>
  <c r="Z186" i="100"/>
  <c r="AH182" i="100"/>
  <c r="AH186" i="100"/>
  <c r="Y183" i="100"/>
  <c r="AG183" i="100"/>
  <c r="AO183" i="100"/>
  <c r="AF184" i="100"/>
  <c r="AN184" i="100"/>
  <c r="AE185" i="100"/>
  <c r="AM185" i="100"/>
  <c r="AD187" i="100"/>
  <c r="AD191" i="100"/>
  <c r="AL187" i="100"/>
  <c r="AL191" i="100"/>
  <c r="AC188" i="100"/>
  <c r="AK188" i="100"/>
  <c r="AB189" i="100"/>
  <c r="AJ189" i="100"/>
  <c r="AA190" i="100"/>
  <c r="AI190" i="100"/>
  <c r="Z192" i="100"/>
  <c r="Z196" i="100"/>
  <c r="AH192" i="100"/>
  <c r="AH196" i="100"/>
  <c r="Y193" i="100"/>
  <c r="AG193" i="100"/>
  <c r="AO193" i="100"/>
  <c r="AF194" i="100"/>
  <c r="AN194" i="100"/>
  <c r="AE195" i="100"/>
  <c r="AM195" i="100"/>
  <c r="Z199" i="100"/>
  <c r="K203" i="100"/>
  <c r="S204" i="100"/>
  <c r="Z204" i="100"/>
  <c r="AD207" i="100"/>
  <c r="AD211" i="100"/>
  <c r="AL207" i="100"/>
  <c r="AL211" i="100"/>
  <c r="AC208" i="100"/>
  <c r="AK208" i="100"/>
  <c r="AB209" i="100"/>
  <c r="AJ209" i="100"/>
  <c r="AA210" i="100"/>
  <c r="AI210" i="100"/>
  <c r="AI162" i="100"/>
  <c r="AI166" i="100"/>
  <c r="Z163" i="100"/>
  <c r="AH163" i="100"/>
  <c r="Y164" i="100"/>
  <c r="AG164" i="100"/>
  <c r="AO164" i="100"/>
  <c r="AE167" i="100"/>
  <c r="AE171" i="100"/>
  <c r="AM167" i="100"/>
  <c r="AM171" i="100"/>
  <c r="AD168" i="100"/>
  <c r="AL168" i="100"/>
  <c r="AC169" i="100"/>
  <c r="AK169" i="100"/>
  <c r="AA172" i="100"/>
  <c r="AA176" i="100"/>
  <c r="AI172" i="100"/>
  <c r="AI176" i="100"/>
  <c r="Z173" i="100"/>
  <c r="AH173" i="100"/>
  <c r="Y174" i="100"/>
  <c r="AG174" i="100"/>
  <c r="AO174" i="100"/>
  <c r="AE177" i="100"/>
  <c r="AE181" i="100"/>
  <c r="AM177" i="100"/>
  <c r="AM181" i="100"/>
  <c r="AD178" i="100"/>
  <c r="AL178" i="100"/>
  <c r="AC179" i="100"/>
  <c r="AK179" i="100"/>
  <c r="AA182" i="100"/>
  <c r="AA186" i="100"/>
  <c r="AI182" i="100"/>
  <c r="AI186" i="100"/>
  <c r="Z183" i="100"/>
  <c r="AH183" i="100"/>
  <c r="Y184" i="100"/>
  <c r="AG184" i="100"/>
  <c r="AO184" i="100"/>
  <c r="AE187" i="100"/>
  <c r="AE191" i="100"/>
  <c r="AM187" i="100"/>
  <c r="AM191" i="100"/>
  <c r="AD188" i="100"/>
  <c r="AL188" i="100"/>
  <c r="AC189" i="100"/>
  <c r="AK189" i="100"/>
  <c r="AA192" i="100"/>
  <c r="AA196" i="100"/>
  <c r="AI192" i="100"/>
  <c r="AI196" i="100"/>
  <c r="Z193" i="100"/>
  <c r="AH193" i="100"/>
  <c r="Y194" i="100"/>
  <c r="AG194" i="100"/>
  <c r="AO194" i="100"/>
  <c r="L199" i="100"/>
  <c r="AO199" i="100"/>
  <c r="L204" i="100"/>
  <c r="AO204" i="100"/>
  <c r="AE207" i="100"/>
  <c r="AE211" i="100"/>
  <c r="AM207" i="100"/>
  <c r="AM211" i="100"/>
  <c r="AD208" i="100"/>
  <c r="AL208" i="100"/>
  <c r="AC209" i="100"/>
  <c r="AK209" i="100"/>
  <c r="AF177" i="100"/>
  <c r="AF181" i="100"/>
  <c r="AN177" i="100"/>
  <c r="AN181" i="100"/>
  <c r="AE178" i="100"/>
  <c r="AM178" i="100"/>
  <c r="AD179" i="100"/>
  <c r="AL179" i="100"/>
  <c r="AB182" i="100"/>
  <c r="AB186" i="100"/>
  <c r="AJ182" i="100"/>
  <c r="AJ186" i="100"/>
  <c r="AA183" i="100"/>
  <c r="AI183" i="100"/>
  <c r="Z184" i="100"/>
  <c r="AH184" i="100"/>
  <c r="AF187" i="100"/>
  <c r="AF191" i="100"/>
  <c r="AN187" i="100"/>
  <c r="AN191" i="100"/>
  <c r="AE188" i="100"/>
  <c r="AM188" i="100"/>
  <c r="AD189" i="100"/>
  <c r="AL189" i="100"/>
  <c r="AB192" i="100"/>
  <c r="AB196" i="100"/>
  <c r="AJ192" i="100"/>
  <c r="AJ196" i="100"/>
  <c r="AA193" i="100"/>
  <c r="AI193" i="100"/>
  <c r="Z194" i="100"/>
  <c r="AH194" i="100"/>
  <c r="M198" i="100"/>
  <c r="Y200" i="100"/>
  <c r="AO200" i="100"/>
  <c r="M203" i="100"/>
  <c r="Y205" i="100"/>
  <c r="AO205" i="100"/>
  <c r="AF207" i="100"/>
  <c r="AF211" i="100"/>
  <c r="AN207" i="100"/>
  <c r="AN211" i="100"/>
  <c r="AE208" i="100"/>
  <c r="AM208" i="100"/>
  <c r="AD209" i="100"/>
  <c r="AL209" i="100"/>
  <c r="AE131" i="100"/>
  <c r="AM131" i="100"/>
  <c r="AE78" i="100"/>
  <c r="AM78" i="100"/>
  <c r="AD79" i="100"/>
  <c r="AL79" i="100"/>
  <c r="AB83" i="100"/>
  <c r="AJ83" i="100"/>
  <c r="AA84" i="100"/>
  <c r="AI84" i="100"/>
  <c r="Z85" i="100"/>
  <c r="AH85" i="100"/>
  <c r="AF88" i="100"/>
  <c r="AN88" i="100"/>
  <c r="AE89" i="100"/>
  <c r="AM89" i="100"/>
  <c r="AD90" i="100"/>
  <c r="AL90" i="100"/>
  <c r="AB93" i="100"/>
  <c r="AJ93" i="100"/>
  <c r="AA94" i="100"/>
  <c r="AI94" i="100"/>
  <c r="Z95" i="100"/>
  <c r="AH95" i="100"/>
  <c r="AF98" i="100"/>
  <c r="AN98" i="100"/>
  <c r="AE99" i="100"/>
  <c r="AM99" i="100"/>
  <c r="AD100" i="100"/>
  <c r="AL100" i="100"/>
  <c r="AB103" i="100"/>
  <c r="AJ103" i="100"/>
  <c r="AA104" i="100"/>
  <c r="AI104" i="100"/>
  <c r="Z105" i="100"/>
  <c r="AH105" i="100"/>
  <c r="AG109" i="100"/>
  <c r="Y110" i="100"/>
  <c r="AH110" i="100"/>
  <c r="AG113" i="100"/>
  <c r="AO113" i="100"/>
  <c r="AF114" i="100"/>
  <c r="AN114" i="100"/>
  <c r="AE115" i="100"/>
  <c r="AM115" i="100"/>
  <c r="AC118" i="100"/>
  <c r="AK118" i="100"/>
  <c r="AB119" i="100"/>
  <c r="AJ119" i="100"/>
  <c r="AA120" i="100"/>
  <c r="AI120" i="100"/>
  <c r="Y123" i="100"/>
  <c r="AG123" i="100"/>
  <c r="AO123" i="100"/>
  <c r="AF124" i="100"/>
  <c r="AN124" i="100"/>
  <c r="AE125" i="100"/>
  <c r="AM125" i="100"/>
  <c r="Y133" i="100"/>
  <c r="AG133" i="100"/>
  <c r="AO133" i="100"/>
  <c r="AF134" i="100"/>
  <c r="AN134" i="100"/>
  <c r="AE135" i="100"/>
  <c r="AM135" i="100"/>
  <c r="AC138" i="100"/>
  <c r="AK138" i="100"/>
  <c r="AB139" i="100"/>
  <c r="AJ139" i="100"/>
  <c r="AA140" i="100"/>
  <c r="AI140" i="100"/>
  <c r="AA123" i="100"/>
  <c r="AI123" i="100"/>
  <c r="AA133" i="100"/>
  <c r="AI133" i="100"/>
  <c r="AE138" i="100"/>
  <c r="AM138" i="100"/>
  <c r="Z78" i="100"/>
  <c r="AH78" i="100"/>
  <c r="Y79" i="100"/>
  <c r="AG79" i="100"/>
  <c r="AO79" i="100"/>
  <c r="AE83" i="100"/>
  <c r="AM83" i="100"/>
  <c r="AD84" i="100"/>
  <c r="AL84" i="100"/>
  <c r="AA88" i="100"/>
  <c r="AI88" i="100"/>
  <c r="Z89" i="100"/>
  <c r="AH89" i="100"/>
  <c r="AE93" i="100"/>
  <c r="AM93" i="100"/>
  <c r="AD94" i="100"/>
  <c r="AL94" i="100"/>
  <c r="AA98" i="100"/>
  <c r="AI98" i="100"/>
  <c r="Z99" i="100"/>
  <c r="AH99" i="100"/>
  <c r="AE103" i="100"/>
  <c r="AM103" i="100"/>
  <c r="AD104" i="100"/>
  <c r="AL104" i="100"/>
  <c r="AJ109" i="100"/>
  <c r="AB110" i="100"/>
  <c r="AK110" i="100"/>
  <c r="AB113" i="100"/>
  <c r="AJ113" i="100"/>
  <c r="AA114" i="100"/>
  <c r="AI114" i="100"/>
  <c r="AF118" i="100"/>
  <c r="AN118" i="100"/>
  <c r="AE119" i="100"/>
  <c r="AM119" i="100"/>
  <c r="AB123" i="100"/>
  <c r="AD131" i="100"/>
  <c r="AL131" i="100"/>
  <c r="AC79" i="100"/>
  <c r="AK79" i="100"/>
  <c r="Y85" i="100"/>
  <c r="AG85" i="100"/>
  <c r="AO85" i="100"/>
  <c r="AK90" i="100"/>
  <c r="AC100" i="100"/>
  <c r="AK100" i="100"/>
  <c r="AG105" i="100"/>
  <c r="AO105" i="100"/>
  <c r="Z140" i="100"/>
  <c r="AH140" i="100"/>
  <c r="AN77" i="100"/>
  <c r="AN81" i="100"/>
  <c r="AD80" i="100"/>
  <c r="AL80" i="100"/>
  <c r="AC82" i="100"/>
  <c r="AC86" i="100"/>
  <c r="AK82" i="100"/>
  <c r="AK86" i="100"/>
  <c r="Y87" i="100"/>
  <c r="Y91" i="100"/>
  <c r="AG87" i="100"/>
  <c r="AG91" i="100"/>
  <c r="AO87" i="100"/>
  <c r="AO91" i="100"/>
  <c r="AC92" i="100"/>
  <c r="AC96" i="100"/>
  <c r="AK92" i="100"/>
  <c r="AK96" i="100"/>
  <c r="Y97" i="100"/>
  <c r="Y101" i="100"/>
  <c r="AG97" i="100"/>
  <c r="AG101" i="100"/>
  <c r="AO97" i="100"/>
  <c r="AO101" i="100"/>
  <c r="AC102" i="100"/>
  <c r="AC106" i="100"/>
  <c r="AK102" i="100"/>
  <c r="AK106" i="100"/>
  <c r="AO107" i="100"/>
  <c r="AO108" i="100"/>
  <c r="AO111" i="100"/>
  <c r="AO109" i="100"/>
  <c r="AF108" i="100"/>
  <c r="AF107" i="100"/>
  <c r="AF111" i="100"/>
  <c r="AN108" i="100"/>
  <c r="AN111" i="100"/>
  <c r="AN107" i="100"/>
  <c r="Z112" i="100"/>
  <c r="Z116" i="100"/>
  <c r="AH112" i="100"/>
  <c r="AH116" i="100"/>
  <c r="AF77" i="100"/>
  <c r="AF81" i="100"/>
  <c r="AF131" i="100"/>
  <c r="AN131" i="100"/>
  <c r="Y77" i="100"/>
  <c r="Y80" i="100"/>
  <c r="Y81" i="100"/>
  <c r="AG77" i="100"/>
  <c r="AG81" i="100"/>
  <c r="AO77" i="100"/>
  <c r="AO81" i="100"/>
  <c r="AF78" i="100"/>
  <c r="AN78" i="100"/>
  <c r="AE79" i="100"/>
  <c r="AM79" i="100"/>
  <c r="AE80" i="100"/>
  <c r="AM80" i="100"/>
  <c r="AD82" i="100"/>
  <c r="AD86" i="100"/>
  <c r="AL82" i="100"/>
  <c r="AL86" i="100"/>
  <c r="AC83" i="100"/>
  <c r="AK83" i="100"/>
  <c r="AB84" i="100"/>
  <c r="AO131" i="100"/>
  <c r="Z77" i="100"/>
  <c r="Z81" i="100"/>
  <c r="AH77" i="100"/>
  <c r="AH81" i="100"/>
  <c r="Y78" i="100"/>
  <c r="AG78" i="100"/>
  <c r="AO78" i="100"/>
  <c r="AF79" i="100"/>
  <c r="AN79" i="100"/>
  <c r="AF80" i="100"/>
  <c r="AN80" i="100"/>
  <c r="AE82" i="100"/>
  <c r="AE86" i="100"/>
  <c r="AM82" i="100"/>
  <c r="AM86" i="100"/>
  <c r="AD83" i="100"/>
  <c r="AL83" i="100"/>
  <c r="AC84" i="100"/>
  <c r="AK84" i="100"/>
  <c r="AB85" i="100"/>
  <c r="AJ85" i="100"/>
  <c r="AA87" i="100"/>
  <c r="AA91" i="100"/>
  <c r="AI87" i="100"/>
  <c r="AI91" i="100"/>
  <c r="Z88" i="100"/>
  <c r="AH88" i="100"/>
  <c r="Y131" i="100"/>
  <c r="AA77" i="100"/>
  <c r="AA81" i="100"/>
  <c r="AI77" i="100"/>
  <c r="AI81" i="100"/>
  <c r="AG80" i="100"/>
  <c r="AO80" i="100"/>
  <c r="AF82" i="100"/>
  <c r="AF86" i="100"/>
  <c r="AN82" i="100"/>
  <c r="AN86" i="100"/>
  <c r="AC85" i="100"/>
  <c r="AK85" i="100"/>
  <c r="AB87" i="100"/>
  <c r="AB91" i="100"/>
  <c r="AJ87" i="100"/>
  <c r="AJ91" i="100"/>
  <c r="Y90" i="100"/>
  <c r="AG90" i="100"/>
  <c r="AO90" i="100"/>
  <c r="AF92" i="100"/>
  <c r="AF96" i="100"/>
  <c r="AN92" i="100"/>
  <c r="AN96" i="100"/>
  <c r="AC95" i="100"/>
  <c r="AK95" i="100"/>
  <c r="AB97" i="100"/>
  <c r="AB101" i="100"/>
  <c r="AG131" i="100"/>
  <c r="AH131" i="100"/>
  <c r="Z131" i="100"/>
  <c r="AI131" i="100"/>
  <c r="AB77" i="100"/>
  <c r="AB81" i="100"/>
  <c r="AJ77" i="100"/>
  <c r="AJ81" i="100"/>
  <c r="AA78" i="100"/>
  <c r="AI78" i="100"/>
  <c r="Z79" i="100"/>
  <c r="AH79" i="100"/>
  <c r="Z80" i="100"/>
  <c r="AH80" i="100"/>
  <c r="Y82" i="100"/>
  <c r="Y86" i="100"/>
  <c r="AG82" i="100"/>
  <c r="AG86" i="100"/>
  <c r="AB131" i="100"/>
  <c r="AJ131" i="100"/>
  <c r="AA131" i="100"/>
  <c r="AC77" i="100"/>
  <c r="AC81" i="100"/>
  <c r="AK77" i="100"/>
  <c r="AK81" i="100"/>
  <c r="AB78" i="100"/>
  <c r="AJ78" i="100"/>
  <c r="AA79" i="100"/>
  <c r="AI79" i="100"/>
  <c r="AA80" i="100"/>
  <c r="AI80" i="100"/>
  <c r="Z82" i="100"/>
  <c r="Z86" i="100"/>
  <c r="AH82" i="100"/>
  <c r="AH86" i="100"/>
  <c r="Y83" i="100"/>
  <c r="AC131" i="100"/>
  <c r="AK131" i="100"/>
  <c r="AD77" i="100"/>
  <c r="AD81" i="100"/>
  <c r="AL77" i="100"/>
  <c r="AL81" i="100"/>
  <c r="AC78" i="100"/>
  <c r="AK78" i="100"/>
  <c r="AB79" i="100"/>
  <c r="AJ79" i="100"/>
  <c r="AB80" i="100"/>
  <c r="AJ80" i="100"/>
  <c r="AA82" i="100"/>
  <c r="AA86" i="100"/>
  <c r="AI82" i="100"/>
  <c r="AI86" i="100"/>
  <c r="AE77" i="100"/>
  <c r="AE81" i="100"/>
  <c r="AM77" i="100"/>
  <c r="AM81" i="100"/>
  <c r="AD78" i="100"/>
  <c r="AL78" i="100"/>
  <c r="AC80" i="100"/>
  <c r="AK80" i="100"/>
  <c r="AB82" i="100"/>
  <c r="AB86" i="100"/>
  <c r="AJ82" i="100"/>
  <c r="AJ86" i="100"/>
  <c r="AA83" i="100"/>
  <c r="AI83" i="100"/>
  <c r="Z84" i="100"/>
  <c r="AH84" i="100"/>
  <c r="Y113" i="100"/>
  <c r="Y116" i="100"/>
  <c r="Y112" i="100"/>
  <c r="AD117" i="100"/>
  <c r="AD121" i="100"/>
  <c r="AL117" i="100"/>
  <c r="AL121" i="100"/>
  <c r="Z122" i="100"/>
  <c r="Z126" i="100"/>
  <c r="AH122" i="100"/>
  <c r="AH126" i="100"/>
  <c r="AD127" i="100"/>
  <c r="AL127" i="100"/>
  <c r="AC128" i="100"/>
  <c r="AK128" i="100"/>
  <c r="AB129" i="100"/>
  <c r="AJ129" i="100"/>
  <c r="AA130" i="100"/>
  <c r="AI130" i="100"/>
  <c r="Z132" i="100"/>
  <c r="Z136" i="100"/>
  <c r="AH132" i="100"/>
  <c r="AH136" i="100"/>
  <c r="AD137" i="100"/>
  <c r="AD141" i="100"/>
  <c r="AL137" i="100"/>
  <c r="AL141" i="100"/>
  <c r="AJ84" i="100"/>
  <c r="AA85" i="100"/>
  <c r="AI85" i="100"/>
  <c r="Z87" i="100"/>
  <c r="Z91" i="100"/>
  <c r="AH87" i="100"/>
  <c r="AH91" i="100"/>
  <c r="Y88" i="100"/>
  <c r="AG88" i="100"/>
  <c r="AO88" i="100"/>
  <c r="AF89" i="100"/>
  <c r="AN89" i="100"/>
  <c r="AE90" i="100"/>
  <c r="AM90" i="100"/>
  <c r="AD92" i="100"/>
  <c r="AD96" i="100"/>
  <c r="AL92" i="100"/>
  <c r="AL96" i="100"/>
  <c r="AC93" i="100"/>
  <c r="AK93" i="100"/>
  <c r="AB94" i="100"/>
  <c r="AJ94" i="100"/>
  <c r="AA95" i="100"/>
  <c r="AI95" i="100"/>
  <c r="Z97" i="100"/>
  <c r="Z101" i="100"/>
  <c r="AH97" i="100"/>
  <c r="AH101" i="100"/>
  <c r="Y98" i="100"/>
  <c r="AG98" i="100"/>
  <c r="AO98" i="100"/>
  <c r="AF99" i="100"/>
  <c r="AN99" i="100"/>
  <c r="AE100" i="100"/>
  <c r="AM100" i="100"/>
  <c r="AD102" i="100"/>
  <c r="AD106" i="100"/>
  <c r="AL102" i="100"/>
  <c r="AL106" i="100"/>
  <c r="AC103" i="100"/>
  <c r="AK103" i="100"/>
  <c r="AB104" i="100"/>
  <c r="AJ104" i="100"/>
  <c r="AA105" i="100"/>
  <c r="AI105" i="100"/>
  <c r="Y108" i="100"/>
  <c r="Y107" i="100"/>
  <c r="Y111" i="100"/>
  <c r="AG108" i="100"/>
  <c r="AG111" i="100"/>
  <c r="AG107" i="100"/>
  <c r="Y109" i="100"/>
  <c r="AH109" i="100"/>
  <c r="Z110" i="100"/>
  <c r="AI110" i="100"/>
  <c r="AA112" i="100"/>
  <c r="AA116" i="100"/>
  <c r="AI112" i="100"/>
  <c r="AI116" i="100"/>
  <c r="Z113" i="100"/>
  <c r="AH113" i="100"/>
  <c r="Y114" i="100"/>
  <c r="AG114" i="100"/>
  <c r="AO114" i="100"/>
  <c r="AF115" i="100"/>
  <c r="AN115" i="100"/>
  <c r="AE117" i="100"/>
  <c r="AE121" i="100"/>
  <c r="AM117" i="100"/>
  <c r="AM121" i="100"/>
  <c r="AD118" i="100"/>
  <c r="AL118" i="100"/>
  <c r="AC119" i="100"/>
  <c r="AK119" i="100"/>
  <c r="AB120" i="100"/>
  <c r="AJ120" i="100"/>
  <c r="AA122" i="100"/>
  <c r="AA126" i="100"/>
  <c r="AI122" i="100"/>
  <c r="AI126" i="100"/>
  <c r="Z123" i="100"/>
  <c r="AH123" i="100"/>
  <c r="Y124" i="100"/>
  <c r="AG124" i="100"/>
  <c r="AO124" i="100"/>
  <c r="AF125" i="100"/>
  <c r="AN125" i="100"/>
  <c r="AE127" i="100"/>
  <c r="AM127" i="100"/>
  <c r="AD128" i="100"/>
  <c r="AL128" i="100"/>
  <c r="AC129" i="100"/>
  <c r="AK129" i="100"/>
  <c r="AB130" i="100"/>
  <c r="AJ130" i="100"/>
  <c r="AA132" i="100"/>
  <c r="AA136" i="100"/>
  <c r="AI132" i="100"/>
  <c r="AI136" i="100"/>
  <c r="Z133" i="100"/>
  <c r="AH133" i="100"/>
  <c r="Y134" i="100"/>
  <c r="AG134" i="100"/>
  <c r="AO134" i="100"/>
  <c r="AF135" i="100"/>
  <c r="AN135" i="100"/>
  <c r="AE137" i="100"/>
  <c r="AE141" i="100"/>
  <c r="AM137" i="100"/>
  <c r="AM141" i="100"/>
  <c r="AD138" i="100"/>
  <c r="AL138" i="100"/>
  <c r="AC139" i="100"/>
  <c r="AK139" i="100"/>
  <c r="AB140" i="100"/>
  <c r="AJ140" i="100"/>
  <c r="Y89" i="100"/>
  <c r="AG89" i="100"/>
  <c r="AO89" i="100"/>
  <c r="AF90" i="100"/>
  <c r="AN90" i="100"/>
  <c r="AE92" i="100"/>
  <c r="AE96" i="100"/>
  <c r="AM92" i="100"/>
  <c r="AM96" i="100"/>
  <c r="AD93" i="100"/>
  <c r="AL93" i="100"/>
  <c r="AC94" i="100"/>
  <c r="AK94" i="100"/>
  <c r="AB95" i="100"/>
  <c r="AJ95" i="100"/>
  <c r="AA97" i="100"/>
  <c r="AA101" i="100"/>
  <c r="AI97" i="100"/>
  <c r="AI101" i="100"/>
  <c r="Z98" i="100"/>
  <c r="AH98" i="100"/>
  <c r="Y99" i="100"/>
  <c r="AG99" i="100"/>
  <c r="AO99" i="100"/>
  <c r="AF100" i="100"/>
  <c r="AN100" i="100"/>
  <c r="AE102" i="100"/>
  <c r="AE106" i="100"/>
  <c r="AM102" i="100"/>
  <c r="AM106" i="100"/>
  <c r="AD103" i="100"/>
  <c r="AL103" i="100"/>
  <c r="AC104" i="100"/>
  <c r="AK104" i="100"/>
  <c r="AB105" i="100"/>
  <c r="AJ105" i="100"/>
  <c r="Z108" i="100"/>
  <c r="Z107" i="100"/>
  <c r="Z111" i="100"/>
  <c r="AH108" i="100"/>
  <c r="AH107" i="100"/>
  <c r="AH111" i="100"/>
  <c r="Z109" i="100"/>
  <c r="AI109" i="100"/>
  <c r="AA110" i="100"/>
  <c r="AJ110" i="100"/>
  <c r="AB112" i="100"/>
  <c r="AB116" i="100"/>
  <c r="AJ112" i="100"/>
  <c r="AJ116" i="100"/>
  <c r="AA113" i="100"/>
  <c r="AI113" i="100"/>
  <c r="Z114" i="100"/>
  <c r="AH114" i="100"/>
  <c r="Y115" i="100"/>
  <c r="AG115" i="100"/>
  <c r="AO115" i="100"/>
  <c r="AF117" i="100"/>
  <c r="AF121" i="100"/>
  <c r="AN117" i="100"/>
  <c r="AN121" i="100"/>
  <c r="AE118" i="100"/>
  <c r="AM118" i="100"/>
  <c r="AD119" i="100"/>
  <c r="AL119" i="100"/>
  <c r="AC120" i="100"/>
  <c r="AK120" i="100"/>
  <c r="AB122" i="100"/>
  <c r="AB126" i="100"/>
  <c r="AJ122" i="100"/>
  <c r="AJ126" i="100"/>
  <c r="Z124" i="100"/>
  <c r="AH124" i="100"/>
  <c r="Y125" i="100"/>
  <c r="AG125" i="100"/>
  <c r="AO125" i="100"/>
  <c r="AF127" i="100"/>
  <c r="AN127" i="100"/>
  <c r="AE128" i="100"/>
  <c r="AM128" i="100"/>
  <c r="AD129" i="100"/>
  <c r="AL129" i="100"/>
  <c r="AC130" i="100"/>
  <c r="AK130" i="100"/>
  <c r="AB132" i="100"/>
  <c r="AB136" i="100"/>
  <c r="AJ132" i="100"/>
  <c r="AJ136" i="100"/>
  <c r="Z134" i="100"/>
  <c r="AH134" i="100"/>
  <c r="Y135" i="100"/>
  <c r="AG135" i="100"/>
  <c r="AO135" i="100"/>
  <c r="AF137" i="100"/>
  <c r="AF141" i="100"/>
  <c r="AN137" i="100"/>
  <c r="AN141" i="100"/>
  <c r="AD139" i="100"/>
  <c r="AL139" i="100"/>
  <c r="AC140" i="100"/>
  <c r="AK140" i="100"/>
  <c r="AJ97" i="100"/>
  <c r="AJ101" i="100"/>
  <c r="Y100" i="100"/>
  <c r="AG100" i="100"/>
  <c r="AO100" i="100"/>
  <c r="AF102" i="100"/>
  <c r="AF106" i="100"/>
  <c r="AN102" i="100"/>
  <c r="AN106" i="100"/>
  <c r="AC105" i="100"/>
  <c r="AK105" i="100"/>
  <c r="AA108" i="100"/>
  <c r="AA107" i="100"/>
  <c r="AA111" i="100"/>
  <c r="AI108" i="100"/>
  <c r="AI107" i="100"/>
  <c r="AI111" i="100"/>
  <c r="AA109" i="100"/>
  <c r="AC112" i="100"/>
  <c r="AC116" i="100"/>
  <c r="AK112" i="100"/>
  <c r="AK116" i="100"/>
  <c r="Z115" i="100"/>
  <c r="AH115" i="100"/>
  <c r="Y117" i="100"/>
  <c r="Y121" i="100"/>
  <c r="AG117" i="100"/>
  <c r="AG121" i="100"/>
  <c r="AO117" i="100"/>
  <c r="AO121" i="100"/>
  <c r="AD120" i="100"/>
  <c r="AL120" i="100"/>
  <c r="AC122" i="100"/>
  <c r="AC126" i="100"/>
  <c r="AK122" i="100"/>
  <c r="AK126" i="100"/>
  <c r="AJ123" i="100"/>
  <c r="AA124" i="100"/>
  <c r="AI124" i="100"/>
  <c r="Z125" i="100"/>
  <c r="AH125" i="100"/>
  <c r="Y127" i="100"/>
  <c r="AG127" i="100"/>
  <c r="AO127" i="100"/>
  <c r="AF128" i="100"/>
  <c r="AN128" i="100"/>
  <c r="AE129" i="100"/>
  <c r="AM129" i="100"/>
  <c r="AD130" i="100"/>
  <c r="AL130" i="100"/>
  <c r="AC132" i="100"/>
  <c r="AC136" i="100"/>
  <c r="AK132" i="100"/>
  <c r="AK136" i="100"/>
  <c r="AB133" i="100"/>
  <c r="AJ133" i="100"/>
  <c r="AA134" i="100"/>
  <c r="AI134" i="100"/>
  <c r="Z135" i="100"/>
  <c r="AH135" i="100"/>
  <c r="Y137" i="100"/>
  <c r="Y141" i="100"/>
  <c r="AG137" i="100"/>
  <c r="AG141" i="100"/>
  <c r="AO137" i="100"/>
  <c r="AO141" i="100"/>
  <c r="AF138" i="100"/>
  <c r="AN138" i="100"/>
  <c r="AE139" i="100"/>
  <c r="AM139" i="100"/>
  <c r="AD140" i="100"/>
  <c r="AL140" i="100"/>
  <c r="AO82" i="100"/>
  <c r="AO86" i="100"/>
  <c r="AF83" i="100"/>
  <c r="AN83" i="100"/>
  <c r="AE84" i="100"/>
  <c r="AM84" i="100"/>
  <c r="AD85" i="100"/>
  <c r="AL85" i="100"/>
  <c r="AC87" i="100"/>
  <c r="AC91" i="100"/>
  <c r="AK87" i="100"/>
  <c r="AK91" i="100"/>
  <c r="AB88" i="100"/>
  <c r="AJ88" i="100"/>
  <c r="AA89" i="100"/>
  <c r="AI89" i="100"/>
  <c r="Z90" i="100"/>
  <c r="AH90" i="100"/>
  <c r="Y92" i="100"/>
  <c r="Y96" i="100"/>
  <c r="AG92" i="100"/>
  <c r="AG96" i="100"/>
  <c r="AO92" i="100"/>
  <c r="AO96" i="100"/>
  <c r="AF93" i="100"/>
  <c r="AN93" i="100"/>
  <c r="AE94" i="100"/>
  <c r="AM94" i="100"/>
  <c r="AD95" i="100"/>
  <c r="AL95" i="100"/>
  <c r="AC97" i="100"/>
  <c r="AC101" i="100"/>
  <c r="AK97" i="100"/>
  <c r="AK101" i="100"/>
  <c r="AB98" i="100"/>
  <c r="AJ98" i="100"/>
  <c r="AA99" i="100"/>
  <c r="AI99" i="100"/>
  <c r="Z100" i="100"/>
  <c r="AH100" i="100"/>
  <c r="Y102" i="100"/>
  <c r="Y106" i="100"/>
  <c r="AG102" i="100"/>
  <c r="AG106" i="100"/>
  <c r="AO102" i="100"/>
  <c r="AO106" i="100"/>
  <c r="AF103" i="100"/>
  <c r="AN103" i="100"/>
  <c r="AE104" i="100"/>
  <c r="AM104" i="100"/>
  <c r="AD105" i="100"/>
  <c r="AL105" i="100"/>
  <c r="AB108" i="100"/>
  <c r="AB111" i="100"/>
  <c r="AB107" i="100"/>
  <c r="AJ108" i="100"/>
  <c r="AJ107" i="100"/>
  <c r="AJ111" i="100"/>
  <c r="AB109" i="100"/>
  <c r="AK109" i="100"/>
  <c r="AD110" i="100"/>
  <c r="AL110" i="100"/>
  <c r="AD112" i="100"/>
  <c r="AD116" i="100"/>
  <c r="AL112" i="100"/>
  <c r="AL116" i="100"/>
  <c r="AC113" i="100"/>
  <c r="AK113" i="100"/>
  <c r="AB114" i="100"/>
  <c r="AJ114" i="100"/>
  <c r="AA115" i="100"/>
  <c r="AI115" i="100"/>
  <c r="Z117" i="100"/>
  <c r="Z121" i="100"/>
  <c r="AH117" i="100"/>
  <c r="AH121" i="100"/>
  <c r="Y118" i="100"/>
  <c r="AG118" i="100"/>
  <c r="AO118" i="100"/>
  <c r="AF119" i="100"/>
  <c r="AN119" i="100"/>
  <c r="AE120" i="100"/>
  <c r="AM120" i="100"/>
  <c r="AD122" i="100"/>
  <c r="AD126" i="100"/>
  <c r="AL122" i="100"/>
  <c r="AL126" i="100"/>
  <c r="AC123" i="100"/>
  <c r="AK123" i="100"/>
  <c r="AB124" i="100"/>
  <c r="AJ124" i="100"/>
  <c r="AA125" i="100"/>
  <c r="AI125" i="100"/>
  <c r="Z127" i="100"/>
  <c r="AH127" i="100"/>
  <c r="Y128" i="100"/>
  <c r="AG128" i="100"/>
  <c r="AO128" i="100"/>
  <c r="AF129" i="100"/>
  <c r="AN129" i="100"/>
  <c r="AE130" i="100"/>
  <c r="AM130" i="100"/>
  <c r="AD132" i="100"/>
  <c r="AD136" i="100"/>
  <c r="AL132" i="100"/>
  <c r="AL136" i="100"/>
  <c r="AC133" i="100"/>
  <c r="AK133" i="100"/>
  <c r="AB134" i="100"/>
  <c r="AJ134" i="100"/>
  <c r="AA135" i="100"/>
  <c r="AI135" i="100"/>
  <c r="Z137" i="100"/>
  <c r="Z141" i="100"/>
  <c r="AH137" i="100"/>
  <c r="AH141" i="100"/>
  <c r="Y138" i="100"/>
  <c r="AG138" i="100"/>
  <c r="AO138" i="100"/>
  <c r="AF139" i="100"/>
  <c r="AN139" i="100"/>
  <c r="AE140" i="100"/>
  <c r="AM140" i="100"/>
  <c r="AG83" i="100"/>
  <c r="AO83" i="100"/>
  <c r="AF84" i="100"/>
  <c r="AN84" i="100"/>
  <c r="AE85" i="100"/>
  <c r="AM85" i="100"/>
  <c r="AD87" i="100"/>
  <c r="AD91" i="100"/>
  <c r="AL87" i="100"/>
  <c r="AL91" i="100"/>
  <c r="AC88" i="100"/>
  <c r="AK88" i="100"/>
  <c r="AB89" i="100"/>
  <c r="AJ89" i="100"/>
  <c r="AA90" i="100"/>
  <c r="AI90" i="100"/>
  <c r="Z92" i="100"/>
  <c r="Z96" i="100"/>
  <c r="AH92" i="100"/>
  <c r="AH96" i="100"/>
  <c r="Y93" i="100"/>
  <c r="AG93" i="100"/>
  <c r="AO93" i="100"/>
  <c r="AF94" i="100"/>
  <c r="AN94" i="100"/>
  <c r="AE95" i="100"/>
  <c r="AM95" i="100"/>
  <c r="AD97" i="100"/>
  <c r="AD101" i="100"/>
  <c r="AL97" i="100"/>
  <c r="AL101" i="100"/>
  <c r="AC98" i="100"/>
  <c r="AK98" i="100"/>
  <c r="AB99" i="100"/>
  <c r="AJ99" i="100"/>
  <c r="AA100" i="100"/>
  <c r="AI100" i="100"/>
  <c r="Z102" i="100"/>
  <c r="Z106" i="100"/>
  <c r="AH102" i="100"/>
  <c r="AH106" i="100"/>
  <c r="Y103" i="100"/>
  <c r="AG103" i="100"/>
  <c r="AO103" i="100"/>
  <c r="AF104" i="100"/>
  <c r="AN104" i="100"/>
  <c r="AE105" i="100"/>
  <c r="AM105" i="100"/>
  <c r="AC108" i="100"/>
  <c r="AC110" i="100"/>
  <c r="AC111" i="100"/>
  <c r="AC107" i="100"/>
  <c r="AC109" i="100"/>
  <c r="AK108" i="100"/>
  <c r="AK107" i="100"/>
  <c r="AK111" i="100"/>
  <c r="AD109" i="100"/>
  <c r="AL109" i="100"/>
  <c r="AE110" i="100"/>
  <c r="AM110" i="100"/>
  <c r="AE112" i="100"/>
  <c r="AE116" i="100"/>
  <c r="AM112" i="100"/>
  <c r="AM116" i="100"/>
  <c r="AD113" i="100"/>
  <c r="AL113" i="100"/>
  <c r="AC114" i="100"/>
  <c r="AK114" i="100"/>
  <c r="AB115" i="100"/>
  <c r="AJ115" i="100"/>
  <c r="AA117" i="100"/>
  <c r="AA121" i="100"/>
  <c r="AI117" i="100"/>
  <c r="AI121" i="100"/>
  <c r="Z118" i="100"/>
  <c r="AH118" i="100"/>
  <c r="Y119" i="100"/>
  <c r="AG119" i="100"/>
  <c r="AO119" i="100"/>
  <c r="AF120" i="100"/>
  <c r="AN120" i="100"/>
  <c r="AE122" i="100"/>
  <c r="AE126" i="100"/>
  <c r="AM122" i="100"/>
  <c r="AM126" i="100"/>
  <c r="AD123" i="100"/>
  <c r="AL123" i="100"/>
  <c r="AC124" i="100"/>
  <c r="AK124" i="100"/>
  <c r="AB125" i="100"/>
  <c r="AJ125" i="100"/>
  <c r="AA127" i="100"/>
  <c r="AI127" i="100"/>
  <c r="Z128" i="100"/>
  <c r="AH128" i="100"/>
  <c r="Y129" i="100"/>
  <c r="AG129" i="100"/>
  <c r="AO129" i="100"/>
  <c r="AF130" i="100"/>
  <c r="AN130" i="100"/>
  <c r="AE132" i="100"/>
  <c r="AE136" i="100"/>
  <c r="AM132" i="100"/>
  <c r="AM136" i="100"/>
  <c r="AD133" i="100"/>
  <c r="AL133" i="100"/>
  <c r="AC134" i="100"/>
  <c r="AK134" i="100"/>
  <c r="AB135" i="100"/>
  <c r="AJ135" i="100"/>
  <c r="AA137" i="100"/>
  <c r="AA141" i="100"/>
  <c r="AI137" i="100"/>
  <c r="AI141" i="100"/>
  <c r="Z138" i="100"/>
  <c r="AH138" i="100"/>
  <c r="Y139" i="100"/>
  <c r="AG139" i="100"/>
  <c r="AO139" i="100"/>
  <c r="AF140" i="100"/>
  <c r="AN140" i="100"/>
  <c r="Z83" i="100"/>
  <c r="AH83" i="100"/>
  <c r="Y84" i="100"/>
  <c r="AG84" i="100"/>
  <c r="AO84" i="100"/>
  <c r="AF85" i="100"/>
  <c r="AN85" i="100"/>
  <c r="AE87" i="100"/>
  <c r="AE91" i="100"/>
  <c r="AM87" i="100"/>
  <c r="AM91" i="100"/>
  <c r="AD88" i="100"/>
  <c r="AL88" i="100"/>
  <c r="AC89" i="100"/>
  <c r="AK89" i="100"/>
  <c r="AB90" i="100"/>
  <c r="AJ90" i="100"/>
  <c r="AA92" i="100"/>
  <c r="AA96" i="100"/>
  <c r="AI92" i="100"/>
  <c r="AI96" i="100"/>
  <c r="Z93" i="100"/>
  <c r="AH93" i="100"/>
  <c r="Y94" i="100"/>
  <c r="AG94" i="100"/>
  <c r="AO94" i="100"/>
  <c r="AF95" i="100"/>
  <c r="AN95" i="100"/>
  <c r="AE97" i="100"/>
  <c r="AE101" i="100"/>
  <c r="AM97" i="100"/>
  <c r="AM101" i="100"/>
  <c r="AD98" i="100"/>
  <c r="AL98" i="100"/>
  <c r="AC99" i="100"/>
  <c r="AK99" i="100"/>
  <c r="AB100" i="100"/>
  <c r="AJ100" i="100"/>
  <c r="AA102" i="100"/>
  <c r="AA106" i="100"/>
  <c r="AI102" i="100"/>
  <c r="AI106" i="100"/>
  <c r="Z103" i="100"/>
  <c r="AH103" i="100"/>
  <c r="Y104" i="100"/>
  <c r="AG104" i="100"/>
  <c r="AO104" i="100"/>
  <c r="AF105" i="100"/>
  <c r="AN105" i="100"/>
  <c r="AD108" i="100"/>
  <c r="AD111" i="100"/>
  <c r="AD107" i="100"/>
  <c r="AL108" i="100"/>
  <c r="AL111" i="100"/>
  <c r="AL107" i="100"/>
  <c r="AE109" i="100"/>
  <c r="AM109" i="100"/>
  <c r="AF110" i="100"/>
  <c r="AN110" i="100"/>
  <c r="AF112" i="100"/>
  <c r="AF116" i="100"/>
  <c r="AN112" i="100"/>
  <c r="AN116" i="100"/>
  <c r="AE113" i="100"/>
  <c r="AM113" i="100"/>
  <c r="AD114" i="100"/>
  <c r="AL114" i="100"/>
  <c r="AC115" i="100"/>
  <c r="AK115" i="100"/>
  <c r="AB117" i="100"/>
  <c r="AB121" i="100"/>
  <c r="AJ117" i="100"/>
  <c r="AJ121" i="100"/>
  <c r="AA118" i="100"/>
  <c r="AI118" i="100"/>
  <c r="Z119" i="100"/>
  <c r="AH119" i="100"/>
  <c r="Y120" i="100"/>
  <c r="AG120" i="100"/>
  <c r="AO120" i="100"/>
  <c r="AF122" i="100"/>
  <c r="AF126" i="100"/>
  <c r="AN122" i="100"/>
  <c r="AN126" i="100"/>
  <c r="AE123" i="100"/>
  <c r="AM123" i="100"/>
  <c r="AD124" i="100"/>
  <c r="AL124" i="100"/>
  <c r="AC125" i="100"/>
  <c r="AK125" i="100"/>
  <c r="AB127" i="100"/>
  <c r="AJ127" i="100"/>
  <c r="AA128" i="100"/>
  <c r="AI128" i="100"/>
  <c r="Z129" i="100"/>
  <c r="AH129" i="100"/>
  <c r="Y130" i="100"/>
  <c r="AG130" i="100"/>
  <c r="AO130" i="100"/>
  <c r="AF132" i="100"/>
  <c r="AF136" i="100"/>
  <c r="AN132" i="100"/>
  <c r="AN136" i="100"/>
  <c r="AE133" i="100"/>
  <c r="AM133" i="100"/>
  <c r="AD134" i="100"/>
  <c r="AL134" i="100"/>
  <c r="AC135" i="100"/>
  <c r="AK135" i="100"/>
  <c r="AB137" i="100"/>
  <c r="AB141" i="100"/>
  <c r="AJ137" i="100"/>
  <c r="AJ141" i="100"/>
  <c r="AA138" i="100"/>
  <c r="AI138" i="100"/>
  <c r="Z139" i="100"/>
  <c r="AH139" i="100"/>
  <c r="Y140" i="100"/>
  <c r="AG140" i="100"/>
  <c r="AO140" i="100"/>
  <c r="AF87" i="100"/>
  <c r="AF91" i="100"/>
  <c r="AN87" i="100"/>
  <c r="AN91" i="100"/>
  <c r="AE88" i="100"/>
  <c r="AM88" i="100"/>
  <c r="AD89" i="100"/>
  <c r="AL89" i="100"/>
  <c r="AC90" i="100"/>
  <c r="AB92" i="100"/>
  <c r="AB96" i="100"/>
  <c r="AJ92" i="100"/>
  <c r="AJ96" i="100"/>
  <c r="AA93" i="100"/>
  <c r="AI93" i="100"/>
  <c r="Z94" i="100"/>
  <c r="AH94" i="100"/>
  <c r="Y95" i="100"/>
  <c r="AG95" i="100"/>
  <c r="AO95" i="100"/>
  <c r="AF97" i="100"/>
  <c r="AF101" i="100"/>
  <c r="AN97" i="100"/>
  <c r="AN101" i="100"/>
  <c r="AE98" i="100"/>
  <c r="AM98" i="100"/>
  <c r="AD99" i="100"/>
  <c r="AL99" i="100"/>
  <c r="AB102" i="100"/>
  <c r="AB106" i="100"/>
  <c r="AJ102" i="100"/>
  <c r="AJ106" i="100"/>
  <c r="AA103" i="100"/>
  <c r="AI103" i="100"/>
  <c r="Z104" i="100"/>
  <c r="AH104" i="100"/>
  <c r="Y105" i="100"/>
  <c r="AE108" i="100"/>
  <c r="AE111" i="100"/>
  <c r="AE107" i="100"/>
  <c r="AM108" i="100"/>
  <c r="AM107" i="100"/>
  <c r="AM111" i="100"/>
  <c r="AF109" i="100"/>
  <c r="AN109" i="100"/>
  <c r="AG110" i="100"/>
  <c r="AO110" i="100"/>
  <c r="AG112" i="100"/>
  <c r="AG116" i="100"/>
  <c r="AO112" i="100"/>
  <c r="AO116" i="100"/>
  <c r="AF113" i="100"/>
  <c r="AN113" i="100"/>
  <c r="AE114" i="100"/>
  <c r="AM114" i="100"/>
  <c r="AD115" i="100"/>
  <c r="AL115" i="100"/>
  <c r="AC117" i="100"/>
  <c r="AC121" i="100"/>
  <c r="AK117" i="100"/>
  <c r="AK121" i="100"/>
  <c r="AB118" i="100"/>
  <c r="AJ118" i="100"/>
  <c r="AA119" i="100"/>
  <c r="AI119" i="100"/>
  <c r="Z120" i="100"/>
  <c r="AH120" i="100"/>
  <c r="Y122" i="100"/>
  <c r="Y126" i="100"/>
  <c r="AG122" i="100"/>
  <c r="AG126" i="100"/>
  <c r="AO122" i="100"/>
  <c r="AO126" i="100"/>
  <c r="AF123" i="100"/>
  <c r="AN123" i="100"/>
  <c r="AE124" i="100"/>
  <c r="AM124" i="100"/>
  <c r="AD125" i="100"/>
  <c r="AL125" i="100"/>
  <c r="AC127" i="100"/>
  <c r="AK127" i="100"/>
  <c r="AB128" i="100"/>
  <c r="AJ128" i="100"/>
  <c r="AA129" i="100"/>
  <c r="AI129" i="100"/>
  <c r="Z130" i="100"/>
  <c r="AH130" i="100"/>
  <c r="Y132" i="100"/>
  <c r="Y136" i="100"/>
  <c r="AG132" i="100"/>
  <c r="AG136" i="100"/>
  <c r="AO132" i="100"/>
  <c r="AO136" i="100"/>
  <c r="AF133" i="100"/>
  <c r="AN133" i="100"/>
  <c r="AE134" i="100"/>
  <c r="AM134" i="100"/>
  <c r="AD135" i="100"/>
  <c r="AL135" i="100"/>
  <c r="AC137" i="100"/>
  <c r="AC141" i="100"/>
  <c r="AK137" i="100"/>
  <c r="AK141" i="100"/>
  <c r="AB138" i="100"/>
  <c r="AJ138" i="100"/>
  <c r="AA139" i="100"/>
  <c r="AI139" i="100"/>
  <c r="AB14" i="100"/>
  <c r="Z27" i="111"/>
  <c r="AH27" i="111"/>
  <c r="AA57" i="111"/>
  <c r="AI57" i="111"/>
  <c r="AI65" i="111"/>
  <c r="W57" i="111"/>
  <c r="AE57" i="111"/>
  <c r="W65" i="111"/>
  <c r="AE65" i="111"/>
  <c r="Z14" i="111"/>
  <c r="AH14" i="111"/>
  <c r="Y27" i="111"/>
  <c r="AG27" i="111"/>
  <c r="Z65" i="111"/>
  <c r="AH65" i="111"/>
  <c r="AB14" i="111"/>
  <c r="AJ14" i="111"/>
  <c r="AA15" i="111"/>
  <c r="AI15" i="111"/>
  <c r="AJ14" i="100"/>
  <c r="Y7" i="100"/>
  <c r="Z18" i="100"/>
  <c r="AH18" i="100"/>
  <c r="Y19" i="100"/>
  <c r="AG19" i="100"/>
  <c r="AO19" i="100"/>
  <c r="AD23" i="100"/>
  <c r="AL23" i="100"/>
  <c r="AC24" i="100"/>
  <c r="AK24" i="100"/>
  <c r="Y29" i="100"/>
  <c r="AG29" i="100"/>
  <c r="AO29" i="100"/>
  <c r="AC34" i="100"/>
  <c r="AK34" i="100"/>
  <c r="Y39" i="100"/>
  <c r="AG39" i="100"/>
  <c r="AO39" i="100"/>
  <c r="AC44" i="100"/>
  <c r="AK44" i="100"/>
  <c r="Y49" i="100"/>
  <c r="AG49" i="100"/>
  <c r="AO49" i="100"/>
  <c r="AC54" i="100"/>
  <c r="AK54" i="100"/>
  <c r="Y59" i="100"/>
  <c r="AG59" i="100"/>
  <c r="AO59" i="100"/>
  <c r="AC64" i="100"/>
  <c r="AK64" i="100"/>
  <c r="Y69" i="100"/>
  <c r="AG69" i="100"/>
  <c r="AO69" i="100"/>
  <c r="AF20" i="100"/>
  <c r="AB35" i="100"/>
  <c r="AN40" i="100"/>
  <c r="AJ55" i="100"/>
  <c r="AJ25" i="100"/>
  <c r="AF40" i="100"/>
  <c r="AB55" i="100"/>
  <c r="AN60" i="100"/>
  <c r="AB25" i="100"/>
  <c r="AN30" i="100"/>
  <c r="AJ45" i="100"/>
  <c r="AF60" i="100"/>
  <c r="AN20" i="100"/>
  <c r="AB45" i="100"/>
  <c r="AN50" i="100"/>
  <c r="AJ65" i="100"/>
  <c r="AN70" i="100"/>
  <c r="AF30" i="100"/>
  <c r="AJ35" i="100"/>
  <c r="AF50" i="100"/>
  <c r="AB65" i="100"/>
  <c r="AF70" i="100"/>
  <c r="Z28" i="100"/>
  <c r="AL33" i="100"/>
  <c r="AH38" i="100"/>
  <c r="AD43" i="100"/>
  <c r="Z48" i="100"/>
  <c r="AL53" i="100"/>
  <c r="AH58" i="100"/>
  <c r="AD63" i="100"/>
  <c r="Z68" i="100"/>
  <c r="AH28" i="100"/>
  <c r="AD33" i="100"/>
  <c r="Z38" i="100"/>
  <c r="AL43" i="100"/>
  <c r="AH48" i="100"/>
  <c r="AD53" i="100"/>
  <c r="Z58" i="100"/>
  <c r="AL63" i="100"/>
  <c r="AH68" i="100"/>
  <c r="AE14" i="100"/>
  <c r="AM14" i="100"/>
  <c r="AC18" i="100"/>
  <c r="AK18" i="100"/>
  <c r="Y23" i="100"/>
  <c r="AG23" i="100"/>
  <c r="AO23" i="100"/>
  <c r="AC28" i="100"/>
  <c r="AK28" i="100"/>
  <c r="Y33" i="100"/>
  <c r="AG33" i="100"/>
  <c r="AO33" i="100"/>
  <c r="AC38" i="100"/>
  <c r="AK38" i="100"/>
  <c r="Y43" i="100"/>
  <c r="AG43" i="100"/>
  <c r="AO43" i="100"/>
  <c r="AC48" i="100"/>
  <c r="AK48" i="100"/>
  <c r="Y53" i="100"/>
  <c r="AG53" i="100"/>
  <c r="AO53" i="100"/>
  <c r="AC58" i="100"/>
  <c r="AK58" i="100"/>
  <c r="Y63" i="100"/>
  <c r="AG63" i="100"/>
  <c r="AO63" i="100"/>
  <c r="AC68" i="100"/>
  <c r="AK68" i="100"/>
  <c r="AB69" i="100"/>
  <c r="AJ69" i="100"/>
  <c r="AB15" i="100"/>
  <c r="AI37" i="100"/>
  <c r="AI41" i="100"/>
  <c r="AM22" i="100"/>
  <c r="AM26" i="100"/>
  <c r="AI27" i="100"/>
  <c r="AI31" i="100"/>
  <c r="AE32" i="100"/>
  <c r="AE36" i="100"/>
  <c r="AA37" i="100"/>
  <c r="AA41" i="100"/>
  <c r="AI67" i="100"/>
  <c r="AI71" i="100"/>
  <c r="AO8" i="100"/>
  <c r="AD13" i="100"/>
  <c r="AJ17" i="100"/>
  <c r="AJ21" i="100"/>
  <c r="AG20" i="100"/>
  <c r="AD24" i="100"/>
  <c r="AI28" i="100"/>
  <c r="AN32" i="100"/>
  <c r="AN36" i="100"/>
  <c r="AC35" i="100"/>
  <c r="Z39" i="100"/>
  <c r="AN42" i="100"/>
  <c r="AN46" i="100"/>
  <c r="AC45" i="100"/>
  <c r="AB47" i="100"/>
  <c r="AB51" i="100"/>
  <c r="AA48" i="100"/>
  <c r="Z49" i="100"/>
  <c r="Y50" i="100"/>
  <c r="AO50" i="100"/>
  <c r="AF52" i="100"/>
  <c r="AF56" i="100"/>
  <c r="AN52" i="100"/>
  <c r="AN56" i="100"/>
  <c r="AE53" i="100"/>
  <c r="AM53" i="100"/>
  <c r="AD54" i="100"/>
  <c r="AL54" i="100"/>
  <c r="AC55" i="100"/>
  <c r="AK55" i="100"/>
  <c r="AB57" i="100"/>
  <c r="AB61" i="100"/>
  <c r="AJ57" i="100"/>
  <c r="AJ61" i="100"/>
  <c r="AA58" i="100"/>
  <c r="AI58" i="100"/>
  <c r="Z59" i="100"/>
  <c r="AM32" i="100"/>
  <c r="AM36" i="100"/>
  <c r="AK14" i="100"/>
  <c r="AA18" i="100"/>
  <c r="AO20" i="100"/>
  <c r="AC25" i="100"/>
  <c r="AH29" i="100"/>
  <c r="AE33" i="100"/>
  <c r="AB37" i="100"/>
  <c r="AB41" i="100"/>
  <c r="Y40" i="100"/>
  <c r="AE43" i="100"/>
  <c r="AK45" i="100"/>
  <c r="AJ47" i="100"/>
  <c r="AJ51" i="100"/>
  <c r="AI48" i="100"/>
  <c r="AH49" i="100"/>
  <c r="AG50" i="100"/>
  <c r="AO9" i="100"/>
  <c r="AE12" i="100"/>
  <c r="AE16" i="100"/>
  <c r="AM12" i="100"/>
  <c r="AM16" i="100"/>
  <c r="AE13" i="100"/>
  <c r="AM13" i="100"/>
  <c r="AD14" i="100"/>
  <c r="AO7" i="100"/>
  <c r="AO11" i="100"/>
  <c r="AK12" i="100"/>
  <c r="AK16" i="100"/>
  <c r="AI17" i="100"/>
  <c r="AI21" i="100"/>
  <c r="AM52" i="100"/>
  <c r="AM56" i="100"/>
  <c r="AI57" i="100"/>
  <c r="AI61" i="100"/>
  <c r="AE62" i="100"/>
  <c r="AE66" i="100"/>
  <c r="AC14" i="100"/>
  <c r="Y20" i="100"/>
  <c r="AE23" i="100"/>
  <c r="AJ27" i="100"/>
  <c r="AJ31" i="100"/>
  <c r="AO30" i="100"/>
  <c r="AK35" i="100"/>
  <c r="AH39" i="100"/>
  <c r="AD44" i="100"/>
  <c r="AF12" i="100"/>
  <c r="AF16" i="100"/>
  <c r="AA20" i="100"/>
  <c r="AH22" i="100"/>
  <c r="AH26" i="100"/>
  <c r="AF24" i="100"/>
  <c r="AN24" i="100"/>
  <c r="AE25" i="100"/>
  <c r="AM25" i="100"/>
  <c r="AD27" i="100"/>
  <c r="AD31" i="100"/>
  <c r="AL27" i="100"/>
  <c r="AL31" i="100"/>
  <c r="AC13" i="100"/>
  <c r="AL13" i="100"/>
  <c r="AL24" i="100"/>
  <c r="Z29" i="100"/>
  <c r="AG12" i="100"/>
  <c r="AG16" i="100"/>
  <c r="AC12" i="100"/>
  <c r="AC16" i="100"/>
  <c r="AA17" i="100"/>
  <c r="AA21" i="100"/>
  <c r="AM42" i="100"/>
  <c r="AM46" i="100"/>
  <c r="AI47" i="100"/>
  <c r="AI51" i="100"/>
  <c r="AE52" i="100"/>
  <c r="AE56" i="100"/>
  <c r="AA57" i="100"/>
  <c r="AA61" i="100"/>
  <c r="AL12" i="100"/>
  <c r="AL16" i="100"/>
  <c r="AB17" i="100"/>
  <c r="AB21" i="100"/>
  <c r="AH19" i="100"/>
  <c r="AM23" i="100"/>
  <c r="AA28" i="100"/>
  <c r="AF32" i="100"/>
  <c r="AF36" i="100"/>
  <c r="AL34" i="100"/>
  <c r="AI38" i="100"/>
  <c r="AF42" i="100"/>
  <c r="AF46" i="100"/>
  <c r="AO10" i="100"/>
  <c r="AN13" i="100"/>
  <c r="AM15" i="100"/>
  <c r="AL17" i="100"/>
  <c r="AL21" i="100"/>
  <c r="AJ19" i="100"/>
  <c r="Y12" i="100"/>
  <c r="Y16" i="100"/>
  <c r="AK13" i="100"/>
  <c r="AE22" i="100"/>
  <c r="AE26" i="100"/>
  <c r="AA27" i="100"/>
  <c r="AA31" i="100"/>
  <c r="AM62" i="100"/>
  <c r="AM66" i="100"/>
  <c r="AA67" i="100"/>
  <c r="AA71" i="100"/>
  <c r="AD12" i="100"/>
  <c r="AD16" i="100"/>
  <c r="AK15" i="100"/>
  <c r="Z19" i="100"/>
  <c r="AN22" i="100"/>
  <c r="AN26" i="100"/>
  <c r="AK25" i="100"/>
  <c r="Y30" i="100"/>
  <c r="AM33" i="100"/>
  <c r="AJ37" i="100"/>
  <c r="AJ41" i="100"/>
  <c r="AG40" i="100"/>
  <c r="AM43" i="100"/>
  <c r="AN12" i="100"/>
  <c r="AN16" i="100"/>
  <c r="AD17" i="100"/>
  <c r="AD21" i="100"/>
  <c r="AB19" i="100"/>
  <c r="Z22" i="100"/>
  <c r="Z26" i="100"/>
  <c r="AJ15" i="100"/>
  <c r="AE42" i="100"/>
  <c r="AE46" i="100"/>
  <c r="AA47" i="100"/>
  <c r="AA51" i="100"/>
  <c r="AC15" i="100"/>
  <c r="AI18" i="100"/>
  <c r="AF22" i="100"/>
  <c r="AF26" i="100"/>
  <c r="AB27" i="100"/>
  <c r="AB31" i="100"/>
  <c r="AG30" i="100"/>
  <c r="AD34" i="100"/>
  <c r="AA38" i="100"/>
  <c r="AO40" i="100"/>
  <c r="AL44" i="100"/>
  <c r="AF13" i="100"/>
  <c r="AE15" i="100"/>
  <c r="AI20" i="100"/>
  <c r="AH59" i="100"/>
  <c r="Y60" i="100"/>
  <c r="AG60" i="100"/>
  <c r="AO60" i="100"/>
  <c r="AF62" i="100"/>
  <c r="AF66" i="100"/>
  <c r="AN62" i="100"/>
  <c r="AN66" i="100"/>
  <c r="AE63" i="100"/>
  <c r="AM63" i="100"/>
  <c r="AD64" i="100"/>
  <c r="AL64" i="100"/>
  <c r="AC65" i="100"/>
  <c r="AK65" i="100"/>
  <c r="AB67" i="100"/>
  <c r="AB71" i="100"/>
  <c r="AJ67" i="100"/>
  <c r="AJ71" i="100"/>
  <c r="AA68" i="100"/>
  <c r="AI68" i="100"/>
  <c r="Z69" i="100"/>
  <c r="AH69" i="100"/>
  <c r="Y70" i="100"/>
  <c r="AG70" i="100"/>
  <c r="AO70" i="100"/>
  <c r="AL14" i="100"/>
  <c r="AD15" i="100"/>
  <c r="AL15" i="100"/>
  <c r="AC17" i="100"/>
  <c r="AC21" i="100"/>
  <c r="AK17" i="100"/>
  <c r="AK21" i="100"/>
  <c r="AB18" i="100"/>
  <c r="AJ18" i="100"/>
  <c r="AA19" i="100"/>
  <c r="AI19" i="100"/>
  <c r="Z20" i="100"/>
  <c r="AH20" i="100"/>
  <c r="Y22" i="100"/>
  <c r="Y26" i="100"/>
  <c r="AG22" i="100"/>
  <c r="AG26" i="100"/>
  <c r="AO22" i="100"/>
  <c r="AO26" i="100"/>
  <c r="AF23" i="100"/>
  <c r="AN23" i="100"/>
  <c r="AE24" i="100"/>
  <c r="AM24" i="100"/>
  <c r="AD25" i="100"/>
  <c r="AL25" i="100"/>
  <c r="AC27" i="100"/>
  <c r="AC31" i="100"/>
  <c r="AK27" i="100"/>
  <c r="AK31" i="100"/>
  <c r="AB28" i="100"/>
  <c r="AJ28" i="100"/>
  <c r="AA29" i="100"/>
  <c r="AI29" i="100"/>
  <c r="Z30" i="100"/>
  <c r="AH30" i="100"/>
  <c r="Y32" i="100"/>
  <c r="Y36" i="100"/>
  <c r="AG32" i="100"/>
  <c r="AG36" i="100"/>
  <c r="AO32" i="100"/>
  <c r="AO36" i="100"/>
  <c r="AF33" i="100"/>
  <c r="AN33" i="100"/>
  <c r="AE34" i="100"/>
  <c r="AM34" i="100"/>
  <c r="AD35" i="100"/>
  <c r="AL35" i="100"/>
  <c r="AC37" i="100"/>
  <c r="AC41" i="100"/>
  <c r="AK37" i="100"/>
  <c r="AK41" i="100"/>
  <c r="AB38" i="100"/>
  <c r="AJ38" i="100"/>
  <c r="AA39" i="100"/>
  <c r="AI39" i="100"/>
  <c r="Z40" i="100"/>
  <c r="AH40" i="100"/>
  <c r="Y42" i="100"/>
  <c r="Y46" i="100"/>
  <c r="AG42" i="100"/>
  <c r="AG46" i="100"/>
  <c r="AO42" i="100"/>
  <c r="AO46" i="100"/>
  <c r="AF43" i="100"/>
  <c r="AN43" i="100"/>
  <c r="AE44" i="100"/>
  <c r="AM44" i="100"/>
  <c r="AD45" i="100"/>
  <c r="AL45" i="100"/>
  <c r="AC47" i="100"/>
  <c r="AC51" i="100"/>
  <c r="AK47" i="100"/>
  <c r="AK51" i="100"/>
  <c r="AB48" i="100"/>
  <c r="AJ48" i="100"/>
  <c r="AA49" i="100"/>
  <c r="AI49" i="100"/>
  <c r="Z50" i="100"/>
  <c r="AH50" i="100"/>
  <c r="Y52" i="100"/>
  <c r="Y56" i="100"/>
  <c r="AG52" i="100"/>
  <c r="AG56" i="100"/>
  <c r="AO52" i="100"/>
  <c r="AO56" i="100"/>
  <c r="AF53" i="100"/>
  <c r="AN53" i="100"/>
  <c r="AE54" i="100"/>
  <c r="AM54" i="100"/>
  <c r="AD55" i="100"/>
  <c r="AL55" i="100"/>
  <c r="AC57" i="100"/>
  <c r="AC61" i="100"/>
  <c r="AK57" i="100"/>
  <c r="AK61" i="100"/>
  <c r="AB58" i="100"/>
  <c r="AJ58" i="100"/>
  <c r="AA59" i="100"/>
  <c r="AI59" i="100"/>
  <c r="Z60" i="100"/>
  <c r="AH60" i="100"/>
  <c r="Y62" i="100"/>
  <c r="Y66" i="100"/>
  <c r="AG62" i="100"/>
  <c r="AG66" i="100"/>
  <c r="AO62" i="100"/>
  <c r="AO66" i="100"/>
  <c r="AF63" i="100"/>
  <c r="AN63" i="100"/>
  <c r="AE64" i="100"/>
  <c r="AM64" i="100"/>
  <c r="AD65" i="100"/>
  <c r="AL65" i="100"/>
  <c r="AC67" i="100"/>
  <c r="AC71" i="100"/>
  <c r="AK67" i="100"/>
  <c r="AK71" i="100"/>
  <c r="AB68" i="100"/>
  <c r="AJ68" i="100"/>
  <c r="AA69" i="100"/>
  <c r="AI69" i="100"/>
  <c r="Z70" i="100"/>
  <c r="AH70" i="100"/>
  <c r="AB29" i="100"/>
  <c r="AJ29" i="100"/>
  <c r="AA30" i="100"/>
  <c r="AI30" i="100"/>
  <c r="Z32" i="100"/>
  <c r="Z36" i="100"/>
  <c r="AH32" i="100"/>
  <c r="AH36" i="100"/>
  <c r="AF34" i="100"/>
  <c r="AN34" i="100"/>
  <c r="AE35" i="100"/>
  <c r="AM35" i="100"/>
  <c r="AD37" i="100"/>
  <c r="AD41" i="100"/>
  <c r="AL37" i="100"/>
  <c r="AL41" i="100"/>
  <c r="AB39" i="100"/>
  <c r="AJ39" i="100"/>
  <c r="AA40" i="100"/>
  <c r="AI40" i="100"/>
  <c r="Z42" i="100"/>
  <c r="Z46" i="100"/>
  <c r="AH42" i="100"/>
  <c r="AH46" i="100"/>
  <c r="AF44" i="100"/>
  <c r="AN44" i="100"/>
  <c r="AE45" i="100"/>
  <c r="AM45" i="100"/>
  <c r="AD47" i="100"/>
  <c r="AD51" i="100"/>
  <c r="AL47" i="100"/>
  <c r="AL51" i="100"/>
  <c r="AB49" i="100"/>
  <c r="AJ49" i="100"/>
  <c r="AA50" i="100"/>
  <c r="AI50" i="100"/>
  <c r="Z52" i="100"/>
  <c r="Z56" i="100"/>
  <c r="AH52" i="100"/>
  <c r="AH56" i="100"/>
  <c r="AF54" i="100"/>
  <c r="AN54" i="100"/>
  <c r="AE55" i="100"/>
  <c r="AM55" i="100"/>
  <c r="AD57" i="100"/>
  <c r="AD61" i="100"/>
  <c r="AL57" i="100"/>
  <c r="AL61" i="100"/>
  <c r="AB59" i="100"/>
  <c r="AJ59" i="100"/>
  <c r="AA60" i="100"/>
  <c r="AI60" i="100"/>
  <c r="Z62" i="100"/>
  <c r="Z66" i="100"/>
  <c r="AH62" i="100"/>
  <c r="AH66" i="100"/>
  <c r="AF64" i="100"/>
  <c r="AN64" i="100"/>
  <c r="AE65" i="100"/>
  <c r="AM65" i="100"/>
  <c r="AD67" i="100"/>
  <c r="AD71" i="100"/>
  <c r="AL67" i="100"/>
  <c r="AL71" i="100"/>
  <c r="AA70" i="100"/>
  <c r="AI70" i="100"/>
  <c r="AO12" i="100"/>
  <c r="AO16" i="100"/>
  <c r="AG13" i="100"/>
  <c r="AO13" i="100"/>
  <c r="AF14" i="100"/>
  <c r="AN14" i="100"/>
  <c r="AF15" i="100"/>
  <c r="AN15" i="100"/>
  <c r="AE17" i="100"/>
  <c r="AE21" i="100"/>
  <c r="AM17" i="100"/>
  <c r="AM21" i="100"/>
  <c r="AD18" i="100"/>
  <c r="AL18" i="100"/>
  <c r="AC19" i="100"/>
  <c r="AK19" i="100"/>
  <c r="AB20" i="100"/>
  <c r="AJ20" i="100"/>
  <c r="AA22" i="100"/>
  <c r="AA26" i="100"/>
  <c r="AI22" i="100"/>
  <c r="AI26" i="100"/>
  <c r="Z23" i="100"/>
  <c r="AH23" i="100"/>
  <c r="Y24" i="100"/>
  <c r="AG24" i="100"/>
  <c r="AO24" i="100"/>
  <c r="AF25" i="100"/>
  <c r="AN25" i="100"/>
  <c r="AE27" i="100"/>
  <c r="AE31" i="100"/>
  <c r="AM27" i="100"/>
  <c r="AM31" i="100"/>
  <c r="AD28" i="100"/>
  <c r="AL28" i="100"/>
  <c r="AC29" i="100"/>
  <c r="AK29" i="100"/>
  <c r="AB30" i="100"/>
  <c r="AJ30" i="100"/>
  <c r="AA32" i="100"/>
  <c r="AA36" i="100"/>
  <c r="AI32" i="100"/>
  <c r="AI36" i="100"/>
  <c r="Z33" i="100"/>
  <c r="AH33" i="100"/>
  <c r="Y34" i="100"/>
  <c r="AG34" i="100"/>
  <c r="AO34" i="100"/>
  <c r="AF35" i="100"/>
  <c r="AN35" i="100"/>
  <c r="AE37" i="100"/>
  <c r="AE41" i="100"/>
  <c r="AM37" i="100"/>
  <c r="AM41" i="100"/>
  <c r="AD38" i="100"/>
  <c r="AL38" i="100"/>
  <c r="AC39" i="100"/>
  <c r="AK39" i="100"/>
  <c r="AB40" i="100"/>
  <c r="AJ40" i="100"/>
  <c r="AA42" i="100"/>
  <c r="AA46" i="100"/>
  <c r="AI42" i="100"/>
  <c r="AI46" i="100"/>
  <c r="Z43" i="100"/>
  <c r="AH43" i="100"/>
  <c r="Y44" i="100"/>
  <c r="AG44" i="100"/>
  <c r="AO44" i="100"/>
  <c r="AF45" i="100"/>
  <c r="AN45" i="100"/>
  <c r="AE47" i="100"/>
  <c r="AE51" i="100"/>
  <c r="AM47" i="100"/>
  <c r="AM51" i="100"/>
  <c r="AD48" i="100"/>
  <c r="AL48" i="100"/>
  <c r="AC49" i="100"/>
  <c r="AK49" i="100"/>
  <c r="AB50" i="100"/>
  <c r="AJ50" i="100"/>
  <c r="AA52" i="100"/>
  <c r="AA56" i="100"/>
  <c r="AI52" i="100"/>
  <c r="AI56" i="100"/>
  <c r="Z53" i="100"/>
  <c r="AH53" i="100"/>
  <c r="Y54" i="100"/>
  <c r="AG54" i="100"/>
  <c r="AO54" i="100"/>
  <c r="AF55" i="100"/>
  <c r="AN55" i="100"/>
  <c r="AE57" i="100"/>
  <c r="AE61" i="100"/>
  <c r="AM57" i="100"/>
  <c r="AM61" i="100"/>
  <c r="AD58" i="100"/>
  <c r="AL58" i="100"/>
  <c r="AC59" i="100"/>
  <c r="AK59" i="100"/>
  <c r="AB60" i="100"/>
  <c r="AJ60" i="100"/>
  <c r="AA62" i="100"/>
  <c r="AA66" i="100"/>
  <c r="AI62" i="100"/>
  <c r="AI66" i="100"/>
  <c r="Z63" i="100"/>
  <c r="AH63" i="100"/>
  <c r="Y64" i="100"/>
  <c r="AG64" i="100"/>
  <c r="AO64" i="100"/>
  <c r="AF65" i="100"/>
  <c r="AN65" i="100"/>
  <c r="AE67" i="100"/>
  <c r="AE71" i="100"/>
  <c r="AM67" i="100"/>
  <c r="AM71" i="100"/>
  <c r="AD68" i="100"/>
  <c r="AL68" i="100"/>
  <c r="AC69" i="100"/>
  <c r="AK69" i="100"/>
  <c r="AB70" i="100"/>
  <c r="AJ70" i="100"/>
  <c r="Z12" i="100"/>
  <c r="Z16" i="100"/>
  <c r="AH12" i="100"/>
  <c r="AH16" i="100"/>
  <c r="Y13" i="100"/>
  <c r="AH13" i="100"/>
  <c r="Y14" i="100"/>
  <c r="AG14" i="100"/>
  <c r="AO14" i="100"/>
  <c r="AG15" i="100"/>
  <c r="AO15" i="100"/>
  <c r="AF17" i="100"/>
  <c r="AF21" i="100"/>
  <c r="AN17" i="100"/>
  <c r="AN21" i="100"/>
  <c r="AE18" i="100"/>
  <c r="AM18" i="100"/>
  <c r="AD19" i="100"/>
  <c r="AL19" i="100"/>
  <c r="AC20" i="100"/>
  <c r="AK20" i="100"/>
  <c r="AB22" i="100"/>
  <c r="AB26" i="100"/>
  <c r="AJ22" i="100"/>
  <c r="AJ26" i="100"/>
  <c r="AA23" i="100"/>
  <c r="AI23" i="100"/>
  <c r="Z24" i="100"/>
  <c r="AH24" i="100"/>
  <c r="Y25" i="100"/>
  <c r="AG25" i="100"/>
  <c r="AO25" i="100"/>
  <c r="AF27" i="100"/>
  <c r="AF31" i="100"/>
  <c r="AN27" i="100"/>
  <c r="AN31" i="100"/>
  <c r="AE28" i="100"/>
  <c r="AM28" i="100"/>
  <c r="AD29" i="100"/>
  <c r="AL29" i="100"/>
  <c r="AC30" i="100"/>
  <c r="AK30" i="100"/>
  <c r="AB32" i="100"/>
  <c r="AB36" i="100"/>
  <c r="AJ32" i="100"/>
  <c r="AJ36" i="100"/>
  <c r="AA33" i="100"/>
  <c r="AI33" i="100"/>
  <c r="Z34" i="100"/>
  <c r="AH34" i="100"/>
  <c r="Y35" i="100"/>
  <c r="AG35" i="100"/>
  <c r="AO35" i="100"/>
  <c r="AF37" i="100"/>
  <c r="AF41" i="100"/>
  <c r="AN37" i="100"/>
  <c r="AN41" i="100"/>
  <c r="AE38" i="100"/>
  <c r="AM38" i="100"/>
  <c r="AD39" i="100"/>
  <c r="AL39" i="100"/>
  <c r="AC40" i="100"/>
  <c r="AK40" i="100"/>
  <c r="AB42" i="100"/>
  <c r="AB46" i="100"/>
  <c r="AJ42" i="100"/>
  <c r="AJ46" i="100"/>
  <c r="AA43" i="100"/>
  <c r="AI43" i="100"/>
  <c r="Z44" i="100"/>
  <c r="AH44" i="100"/>
  <c r="Y45" i="100"/>
  <c r="AG45" i="100"/>
  <c r="AO45" i="100"/>
  <c r="AF47" i="100"/>
  <c r="AF51" i="100"/>
  <c r="AN47" i="100"/>
  <c r="AN51" i="100"/>
  <c r="AE48" i="100"/>
  <c r="AM48" i="100"/>
  <c r="AD49" i="100"/>
  <c r="AL49" i="100"/>
  <c r="AC50" i="100"/>
  <c r="AK50" i="100"/>
  <c r="AB52" i="100"/>
  <c r="AB56" i="100"/>
  <c r="AJ52" i="100"/>
  <c r="AJ56" i="100"/>
  <c r="AA53" i="100"/>
  <c r="AI53" i="100"/>
  <c r="Z54" i="100"/>
  <c r="AH54" i="100"/>
  <c r="Y55" i="100"/>
  <c r="AG55" i="100"/>
  <c r="AO55" i="100"/>
  <c r="AF57" i="100"/>
  <c r="AF61" i="100"/>
  <c r="AN57" i="100"/>
  <c r="AN61" i="100"/>
  <c r="AE58" i="100"/>
  <c r="AM58" i="100"/>
  <c r="AD59" i="100"/>
  <c r="AL59" i="100"/>
  <c r="AC60" i="100"/>
  <c r="AK60" i="100"/>
  <c r="AB62" i="100"/>
  <c r="AB66" i="100"/>
  <c r="AJ62" i="100"/>
  <c r="AJ66" i="100"/>
  <c r="AA63" i="100"/>
  <c r="AI63" i="100"/>
  <c r="Z64" i="100"/>
  <c r="AH64" i="100"/>
  <c r="Y65" i="100"/>
  <c r="AG65" i="100"/>
  <c r="AO65" i="100"/>
  <c r="AF67" i="100"/>
  <c r="AF71" i="100"/>
  <c r="AN67" i="100"/>
  <c r="AN71" i="100"/>
  <c r="AE68" i="100"/>
  <c r="AM68" i="100"/>
  <c r="AD69" i="100"/>
  <c r="AL69" i="100"/>
  <c r="AC70" i="100"/>
  <c r="AK70" i="100"/>
  <c r="AA12" i="100"/>
  <c r="AA13" i="100"/>
  <c r="AA16" i="100"/>
  <c r="AA15" i="100"/>
  <c r="AI12" i="100"/>
  <c r="AI16" i="100"/>
  <c r="Z13" i="100"/>
  <c r="AI13" i="100"/>
  <c r="Z14" i="100"/>
  <c r="AH14" i="100"/>
  <c r="Y15" i="100"/>
  <c r="AH15" i="100"/>
  <c r="Y17" i="100"/>
  <c r="Y21" i="100"/>
  <c r="AG17" i="100"/>
  <c r="AG21" i="100"/>
  <c r="AO17" i="100"/>
  <c r="AO21" i="100"/>
  <c r="AF18" i="100"/>
  <c r="AN18" i="100"/>
  <c r="AE19" i="100"/>
  <c r="AM19" i="100"/>
  <c r="AD20" i="100"/>
  <c r="AL20" i="100"/>
  <c r="AC22" i="100"/>
  <c r="AC26" i="100"/>
  <c r="AK22" i="100"/>
  <c r="AK26" i="100"/>
  <c r="AB23" i="100"/>
  <c r="AJ23" i="100"/>
  <c r="AA24" i="100"/>
  <c r="AI24" i="100"/>
  <c r="Z25" i="100"/>
  <c r="AH25" i="100"/>
  <c r="Y27" i="100"/>
  <c r="Y31" i="100"/>
  <c r="AG27" i="100"/>
  <c r="AG31" i="100"/>
  <c r="AO27" i="100"/>
  <c r="AO31" i="100"/>
  <c r="AF28" i="100"/>
  <c r="AN28" i="100"/>
  <c r="AE29" i="100"/>
  <c r="AM29" i="100"/>
  <c r="AD30" i="100"/>
  <c r="AL30" i="100"/>
  <c r="AC32" i="100"/>
  <c r="AC36" i="100"/>
  <c r="AK32" i="100"/>
  <c r="AK36" i="100"/>
  <c r="AB33" i="100"/>
  <c r="AJ33" i="100"/>
  <c r="AA34" i="100"/>
  <c r="AI34" i="100"/>
  <c r="Z35" i="100"/>
  <c r="AH35" i="100"/>
  <c r="Y37" i="100"/>
  <c r="Y41" i="100"/>
  <c r="AG37" i="100"/>
  <c r="AG41" i="100"/>
  <c r="AO37" i="100"/>
  <c r="AO41" i="100"/>
  <c r="AF38" i="100"/>
  <c r="AN38" i="100"/>
  <c r="AE39" i="100"/>
  <c r="AM39" i="100"/>
  <c r="AD40" i="100"/>
  <c r="AL40" i="100"/>
  <c r="AC42" i="100"/>
  <c r="AC46" i="100"/>
  <c r="AK42" i="100"/>
  <c r="AK46" i="100"/>
  <c r="AB43" i="100"/>
  <c r="AJ43" i="100"/>
  <c r="AA44" i="100"/>
  <c r="AI44" i="100"/>
  <c r="Z45" i="100"/>
  <c r="AH45" i="100"/>
  <c r="Y47" i="100"/>
  <c r="Y51" i="100"/>
  <c r="AG47" i="100"/>
  <c r="AG51" i="100"/>
  <c r="AO47" i="100"/>
  <c r="AO51" i="100"/>
  <c r="AF48" i="100"/>
  <c r="AN48" i="100"/>
  <c r="AE49" i="100"/>
  <c r="AM49" i="100"/>
  <c r="AD50" i="100"/>
  <c r="AL50" i="100"/>
  <c r="AC52" i="100"/>
  <c r="AC56" i="100"/>
  <c r="AK52" i="100"/>
  <c r="AK56" i="100"/>
  <c r="AB53" i="100"/>
  <c r="AJ53" i="100"/>
  <c r="AA54" i="100"/>
  <c r="AI54" i="100"/>
  <c r="Z55" i="100"/>
  <c r="AH55" i="100"/>
  <c r="Y57" i="100"/>
  <c r="Y61" i="100"/>
  <c r="AG57" i="100"/>
  <c r="AG61" i="100"/>
  <c r="AO57" i="100"/>
  <c r="AO61" i="100"/>
  <c r="AF58" i="100"/>
  <c r="AN58" i="100"/>
  <c r="AE59" i="100"/>
  <c r="AM59" i="100"/>
  <c r="AD60" i="100"/>
  <c r="AL60" i="100"/>
  <c r="AC62" i="100"/>
  <c r="AC66" i="100"/>
  <c r="AK62" i="100"/>
  <c r="AK66" i="100"/>
  <c r="AB63" i="100"/>
  <c r="AJ63" i="100"/>
  <c r="AA64" i="100"/>
  <c r="AI64" i="100"/>
  <c r="Z65" i="100"/>
  <c r="AH65" i="100"/>
  <c r="Y67" i="100"/>
  <c r="Y71" i="100"/>
  <c r="AG67" i="100"/>
  <c r="AG71" i="100"/>
  <c r="AO67" i="100"/>
  <c r="AO71" i="100"/>
  <c r="AF68" i="100"/>
  <c r="AN68" i="100"/>
  <c r="AE69" i="100"/>
  <c r="AM69" i="100"/>
  <c r="AD70" i="100"/>
  <c r="AL70" i="100"/>
  <c r="AB12" i="100"/>
  <c r="AB16" i="100"/>
  <c r="AJ12" i="100"/>
  <c r="AJ16" i="100"/>
  <c r="AB13" i="100"/>
  <c r="AJ13" i="100"/>
  <c r="AA14" i="100"/>
  <c r="AI14" i="100"/>
  <c r="Z15" i="100"/>
  <c r="AI15" i="100"/>
  <c r="Z17" i="100"/>
  <c r="Z21" i="100"/>
  <c r="AH17" i="100"/>
  <c r="AH21" i="100"/>
  <c r="Y18" i="100"/>
  <c r="AG18" i="100"/>
  <c r="AO18" i="100"/>
  <c r="AF19" i="100"/>
  <c r="AN19" i="100"/>
  <c r="AE20" i="100"/>
  <c r="AM20" i="100"/>
  <c r="AD22" i="100"/>
  <c r="AD26" i="100"/>
  <c r="AL22" i="100"/>
  <c r="AL26" i="100"/>
  <c r="AC23" i="100"/>
  <c r="AK23" i="100"/>
  <c r="AB24" i="100"/>
  <c r="AJ24" i="100"/>
  <c r="AA25" i="100"/>
  <c r="AI25" i="100"/>
  <c r="Z27" i="100"/>
  <c r="Z31" i="100"/>
  <c r="AH27" i="100"/>
  <c r="AH31" i="100"/>
  <c r="Y28" i="100"/>
  <c r="AG28" i="100"/>
  <c r="AO28" i="100"/>
  <c r="AF29" i="100"/>
  <c r="AN29" i="100"/>
  <c r="AE30" i="100"/>
  <c r="AM30" i="100"/>
  <c r="AD32" i="100"/>
  <c r="AD36" i="100"/>
  <c r="AL32" i="100"/>
  <c r="AL36" i="100"/>
  <c r="AC33" i="100"/>
  <c r="AK33" i="100"/>
  <c r="AB34" i="100"/>
  <c r="AJ34" i="100"/>
  <c r="AA35" i="100"/>
  <c r="AI35" i="100"/>
  <c r="Z37" i="100"/>
  <c r="Z41" i="100"/>
  <c r="AH37" i="100"/>
  <c r="AH41" i="100"/>
  <c r="Y38" i="100"/>
  <c r="AG38" i="100"/>
  <c r="AO38" i="100"/>
  <c r="AF39" i="100"/>
  <c r="AN39" i="100"/>
  <c r="AE40" i="100"/>
  <c r="AM40" i="100"/>
  <c r="AD42" i="100"/>
  <c r="AD46" i="100"/>
  <c r="AL42" i="100"/>
  <c r="AL46" i="100"/>
  <c r="AC43" i="100"/>
  <c r="AK43" i="100"/>
  <c r="AB44" i="100"/>
  <c r="AJ44" i="100"/>
  <c r="AA45" i="100"/>
  <c r="AI45" i="100"/>
  <c r="Z47" i="100"/>
  <c r="Z51" i="100"/>
  <c r="AH47" i="100"/>
  <c r="AH51" i="100"/>
  <c r="Y48" i="100"/>
  <c r="AG48" i="100"/>
  <c r="AO48" i="100"/>
  <c r="AF49" i="100"/>
  <c r="AN49" i="100"/>
  <c r="AE50" i="100"/>
  <c r="AM50" i="100"/>
  <c r="AD52" i="100"/>
  <c r="AD56" i="100"/>
  <c r="AL52" i="100"/>
  <c r="AL56" i="100"/>
  <c r="AC53" i="100"/>
  <c r="AK53" i="100"/>
  <c r="AB54" i="100"/>
  <c r="AJ54" i="100"/>
  <c r="AA55" i="100"/>
  <c r="AI55" i="100"/>
  <c r="Z57" i="100"/>
  <c r="Z61" i="100"/>
  <c r="AH57" i="100"/>
  <c r="AH61" i="100"/>
  <c r="Y58" i="100"/>
  <c r="AG58" i="100"/>
  <c r="AO58" i="100"/>
  <c r="AF59" i="100"/>
  <c r="AN59" i="100"/>
  <c r="AE60" i="100"/>
  <c r="AM60" i="100"/>
  <c r="AD62" i="100"/>
  <c r="AD66" i="100"/>
  <c r="AL62" i="100"/>
  <c r="AL66" i="100"/>
  <c r="AC63" i="100"/>
  <c r="AK63" i="100"/>
  <c r="AB64" i="100"/>
  <c r="AJ64" i="100"/>
  <c r="AA65" i="100"/>
  <c r="AI65" i="100"/>
  <c r="Z67" i="100"/>
  <c r="Z71" i="100"/>
  <c r="AH67" i="100"/>
  <c r="AH71" i="100"/>
  <c r="Y68" i="100"/>
  <c r="AG68" i="100"/>
  <c r="AO68" i="100"/>
  <c r="AF69" i="100"/>
  <c r="AN69" i="100"/>
  <c r="AE70" i="100"/>
  <c r="AM70" i="100"/>
  <c r="AJ8" i="100"/>
  <c r="Y9" i="100"/>
  <c r="AG9" i="100"/>
  <c r="AF10" i="100"/>
  <c r="AN10" i="100"/>
  <c r="AB8" i="100"/>
  <c r="AE9" i="100"/>
  <c r="AM9" i="100"/>
  <c r="AH8" i="100"/>
  <c r="Z8" i="100"/>
  <c r="AA7" i="100"/>
  <c r="AA11" i="100"/>
  <c r="AB7" i="100"/>
  <c r="AB11" i="100"/>
  <c r="AJ7" i="100"/>
  <c r="AJ11" i="100"/>
  <c r="AA8" i="100"/>
  <c r="AI8" i="100"/>
  <c r="Z9" i="100"/>
  <c r="AH9" i="100"/>
  <c r="Y10" i="100"/>
  <c r="AG10" i="100"/>
  <c r="AK7" i="100"/>
  <c r="AK11" i="100"/>
  <c r="AH10" i="100"/>
  <c r="AC8" i="100"/>
  <c r="AI10" i="100"/>
  <c r="AI7" i="100"/>
  <c r="AI11" i="100"/>
  <c r="AA9" i="100"/>
  <c r="AK8" i="100"/>
  <c r="AE7" i="100"/>
  <c r="AE11" i="100"/>
  <c r="AM7" i="100"/>
  <c r="AM11" i="100"/>
  <c r="AD8" i="100"/>
  <c r="AL8" i="100"/>
  <c r="AC9" i="100"/>
  <c r="AK9" i="100"/>
  <c r="AB10" i="100"/>
  <c r="AJ10" i="100"/>
  <c r="AI9" i="100"/>
  <c r="AL7" i="100"/>
  <c r="AL11" i="100"/>
  <c r="AJ9" i="100"/>
  <c r="AF7" i="100"/>
  <c r="AF11" i="100"/>
  <c r="AN7" i="100"/>
  <c r="AN11" i="100"/>
  <c r="AE8" i="100"/>
  <c r="AM8" i="100"/>
  <c r="AD9" i="100"/>
  <c r="AL9" i="100"/>
  <c r="AC10" i="100"/>
  <c r="AK10" i="100"/>
  <c r="AB9" i="100"/>
  <c r="Y11" i="100"/>
  <c r="AG7" i="100"/>
  <c r="AG11" i="100"/>
  <c r="AF8" i="100"/>
  <c r="AN8" i="100"/>
  <c r="AD10" i="100"/>
  <c r="AL10" i="100"/>
  <c r="AC7" i="100"/>
  <c r="AC11" i="100"/>
  <c r="Z10" i="100"/>
  <c r="AD7" i="100"/>
  <c r="AD11" i="100"/>
  <c r="AA10" i="100"/>
  <c r="Z7" i="100"/>
  <c r="Z11" i="100"/>
  <c r="AH7" i="100"/>
  <c r="AH11" i="100"/>
  <c r="Y8" i="100"/>
  <c r="AG8" i="100"/>
  <c r="AF9" i="100"/>
  <c r="AN9" i="100"/>
  <c r="AE10" i="100"/>
  <c r="AM10" i="100"/>
  <c r="W30" i="111"/>
  <c r="AA8" i="111"/>
  <c r="AI8" i="111"/>
  <c r="AC15" i="111"/>
  <c r="AK15" i="111"/>
  <c r="AC27" i="111"/>
  <c r="AK27" i="111"/>
  <c r="X47" i="111"/>
  <c r="AF47" i="111"/>
  <c r="W42" i="111"/>
  <c r="AE42" i="111"/>
  <c r="Z47" i="111"/>
  <c r="AH47" i="111"/>
  <c r="W7" i="111"/>
  <c r="AE7" i="111"/>
  <c r="Y30" i="111"/>
  <c r="AG30" i="111"/>
  <c r="W43" i="111"/>
  <c r="AE43" i="111"/>
  <c r="AA47" i="111"/>
  <c r="AI47" i="111"/>
  <c r="X50" i="111"/>
  <c r="AF50" i="111"/>
  <c r="AK17" i="111"/>
  <c r="AB18" i="111"/>
  <c r="AJ18" i="111"/>
  <c r="AE27" i="111"/>
  <c r="X15" i="111"/>
  <c r="AF15" i="111"/>
  <c r="X27" i="111"/>
  <c r="AF27" i="111"/>
  <c r="AI30" i="111"/>
  <c r="Z11" i="111"/>
  <c r="W40" i="111"/>
  <c r="AE40" i="111"/>
  <c r="W47" i="111"/>
  <c r="AE47" i="111"/>
  <c r="AI62" i="111"/>
  <c r="AH63" i="111"/>
  <c r="AK13" i="111"/>
  <c r="X7" i="111"/>
  <c r="AF7" i="111"/>
  <c r="W23" i="111"/>
  <c r="AE23" i="111"/>
  <c r="W44" i="111"/>
  <c r="AE44" i="111"/>
  <c r="AE51" i="111"/>
  <c r="Z59" i="111"/>
  <c r="AH59" i="111"/>
  <c r="W62" i="111"/>
  <c r="AH66" i="111"/>
  <c r="Y7" i="111"/>
  <c r="AG7" i="111"/>
  <c r="W14" i="111"/>
  <c r="AC29" i="111"/>
  <c r="W34" i="111"/>
  <c r="AE34" i="111"/>
  <c r="Z63" i="111"/>
  <c r="AA66" i="111"/>
  <c r="O203" i="100"/>
  <c r="AJ203" i="100" s="1"/>
  <c r="Z7" i="111"/>
  <c r="AH7" i="111"/>
  <c r="X14" i="111"/>
  <c r="AF14" i="111"/>
  <c r="W15" i="111"/>
  <c r="AE15" i="111"/>
  <c r="Y23" i="111"/>
  <c r="AG23" i="111"/>
  <c r="AG24" i="111"/>
  <c r="AA27" i="111"/>
  <c r="AI27" i="111"/>
  <c r="AA46" i="111"/>
  <c r="Z50" i="111"/>
  <c r="AH50" i="111"/>
  <c r="AA7" i="111"/>
  <c r="AI7" i="111"/>
  <c r="Z13" i="111"/>
  <c r="AH13" i="111"/>
  <c r="Z23" i="111"/>
  <c r="AH23" i="111"/>
  <c r="Z33" i="111"/>
  <c r="AH33" i="111"/>
  <c r="Y34" i="111"/>
  <c r="Z44" i="111"/>
  <c r="AH44" i="111"/>
  <c r="AA50" i="111"/>
  <c r="AI50" i="111"/>
  <c r="Z51" i="111"/>
  <c r="Z62" i="111"/>
  <c r="AH62" i="111"/>
  <c r="AG16" i="111"/>
  <c r="AA44" i="111"/>
  <c r="AI44" i="111"/>
  <c r="AC7" i="111"/>
  <c r="AK7" i="111"/>
  <c r="AA14" i="111"/>
  <c r="AI14" i="111"/>
  <c r="AB23" i="111"/>
  <c r="AJ23" i="111"/>
  <c r="W31" i="111"/>
  <c r="AE31" i="111"/>
  <c r="AC50" i="111"/>
  <c r="AK50" i="111"/>
  <c r="AE66" i="111"/>
  <c r="L12" i="114"/>
  <c r="K11" i="101"/>
  <c r="K11" i="115"/>
  <c r="J11" i="115"/>
  <c r="J13" i="117"/>
  <c r="I13" i="117"/>
  <c r="H21" i="98"/>
  <c r="AC10" i="111"/>
  <c r="AK10" i="111"/>
  <c r="AA18" i="111"/>
  <c r="AI18" i="111"/>
  <c r="W6" i="111"/>
  <c r="W10" i="111"/>
  <c r="AE10" i="111"/>
  <c r="X30" i="111"/>
  <c r="AF30" i="111"/>
  <c r="W46" i="111"/>
  <c r="X10" i="111"/>
  <c r="AF10" i="111"/>
  <c r="Y6" i="111"/>
  <c r="AG6" i="111"/>
  <c r="Z9" i="111"/>
  <c r="AH9" i="111"/>
  <c r="Y10" i="111"/>
  <c r="AG10" i="111"/>
  <c r="Z30" i="111"/>
  <c r="AH30" i="111"/>
  <c r="Z40" i="111"/>
  <c r="AH40" i="111"/>
  <c r="AG48" i="111"/>
  <c r="W58" i="111"/>
  <c r="AE58" i="111"/>
  <c r="AG59" i="111"/>
  <c r="AA62" i="111"/>
  <c r="AA30" i="111"/>
  <c r="AA40" i="111"/>
  <c r="AI40" i="111"/>
  <c r="Z43" i="111"/>
  <c r="AF49" i="111"/>
  <c r="AI6" i="111"/>
  <c r="AG8" i="111"/>
  <c r="AA10" i="111"/>
  <c r="AI10" i="111"/>
  <c r="AG28" i="111"/>
  <c r="AK29" i="111"/>
  <c r="AB30" i="111"/>
  <c r="AJ30" i="111"/>
  <c r="AI46" i="111"/>
  <c r="AI66" i="111"/>
  <c r="AB6" i="111"/>
  <c r="AJ6" i="111"/>
  <c r="AK9" i="111"/>
  <c r="AK25" i="111"/>
  <c r="Z41" i="111"/>
  <c r="AH41" i="111"/>
  <c r="Z64" i="111"/>
  <c r="AH64" i="111"/>
  <c r="D28" i="101"/>
  <c r="M199" i="100"/>
  <c r="W12" i="111"/>
  <c r="AE12" i="111"/>
  <c r="AC17" i="111"/>
  <c r="W24" i="111"/>
  <c r="AE24" i="111"/>
  <c r="X31" i="111"/>
  <c r="AF31" i="111"/>
  <c r="X42" i="111"/>
  <c r="AF42" i="111"/>
  <c r="AE46" i="111"/>
  <c r="W48" i="111"/>
  <c r="AE48" i="111"/>
  <c r="W61" i="111"/>
  <c r="AE61" i="111"/>
  <c r="AE62" i="111"/>
  <c r="W63" i="111"/>
  <c r="AE63" i="111"/>
  <c r="Y65" i="111"/>
  <c r="AG65" i="111"/>
  <c r="W66" i="111"/>
  <c r="AG34" i="111"/>
  <c r="X43" i="111"/>
  <c r="AF43" i="111"/>
  <c r="X46" i="111"/>
  <c r="AF46" i="111"/>
  <c r="X61" i="111"/>
  <c r="AF61" i="111"/>
  <c r="Z66" i="111"/>
  <c r="AA6" i="111"/>
  <c r="AB7" i="111"/>
  <c r="AJ7" i="111"/>
  <c r="AC14" i="111"/>
  <c r="AK14" i="111"/>
  <c r="W18" i="111"/>
  <c r="AE18" i="111"/>
  <c r="AB27" i="111"/>
  <c r="AJ27" i="111"/>
  <c r="AC30" i="111"/>
  <c r="AK30" i="111"/>
  <c r="Z31" i="111"/>
  <c r="AH31" i="111"/>
  <c r="AE35" i="111"/>
  <c r="AG40" i="111"/>
  <c r="Z42" i="111"/>
  <c r="AH42" i="111"/>
  <c r="Y43" i="111"/>
  <c r="AG43" i="111"/>
  <c r="AC47" i="111"/>
  <c r="AK47" i="111"/>
  <c r="W50" i="111"/>
  <c r="Z52" i="111"/>
  <c r="AH52" i="111"/>
  <c r="Y56" i="111"/>
  <c r="AG56" i="111"/>
  <c r="X57" i="111"/>
  <c r="AF57" i="111"/>
  <c r="X62" i="111"/>
  <c r="AF62" i="111"/>
  <c r="AA65" i="111"/>
  <c r="Y66" i="111"/>
  <c r="AG66" i="111"/>
  <c r="Z12" i="111"/>
  <c r="AH12" i="111"/>
  <c r="Z24" i="111"/>
  <c r="AH24" i="111"/>
  <c r="W26" i="111"/>
  <c r="AA31" i="111"/>
  <c r="AI31" i="111"/>
  <c r="AG32" i="111"/>
  <c r="AA34" i="111"/>
  <c r="AI34" i="111"/>
  <c r="AA42" i="111"/>
  <c r="AI42" i="111"/>
  <c r="AH43" i="111"/>
  <c r="Z46" i="111"/>
  <c r="AH46" i="111"/>
  <c r="Z48" i="111"/>
  <c r="AH48" i="111"/>
  <c r="AA52" i="111"/>
  <c r="AI52" i="111"/>
  <c r="Z61" i="111"/>
  <c r="AH61" i="111"/>
  <c r="Y62" i="111"/>
  <c r="AG62" i="111"/>
  <c r="AB65" i="111"/>
  <c r="AJ65" i="111"/>
  <c r="Z8" i="111"/>
  <c r="AH8" i="111"/>
  <c r="AA12" i="111"/>
  <c r="AI12" i="111"/>
  <c r="AE14" i="111"/>
  <c r="AA24" i="111"/>
  <c r="AI24" i="111"/>
  <c r="W27" i="111"/>
  <c r="AE30" i="111"/>
  <c r="AB31" i="111"/>
  <c r="AJ31" i="111"/>
  <c r="AB34" i="111"/>
  <c r="AJ34" i="111"/>
  <c r="AK41" i="111"/>
  <c r="AA43" i="111"/>
  <c r="AI43" i="111"/>
  <c r="AG44" i="111"/>
  <c r="AA48" i="111"/>
  <c r="AI48" i="111"/>
  <c r="Y49" i="111"/>
  <c r="AG49" i="111"/>
  <c r="W51" i="111"/>
  <c r="Z57" i="111"/>
  <c r="AH57" i="111"/>
  <c r="AA61" i="111"/>
  <c r="AI61" i="111"/>
  <c r="AA63" i="111"/>
  <c r="AI63" i="111"/>
  <c r="AG64" i="111"/>
  <c r="Z18" i="111"/>
  <c r="AH18" i="111"/>
  <c r="Z25" i="111"/>
  <c r="AH25" i="111"/>
  <c r="Z29" i="111"/>
  <c r="AH29" i="111"/>
  <c r="AC31" i="111"/>
  <c r="AK31" i="111"/>
  <c r="AH35" i="111"/>
  <c r="AC42" i="111"/>
  <c r="AK42" i="111"/>
  <c r="Z67" i="111"/>
  <c r="AC61" i="111"/>
  <c r="AK61" i="111"/>
  <c r="AC66" i="111"/>
  <c r="AK66" i="111"/>
  <c r="AG68" i="111"/>
  <c r="F12" i="114"/>
  <c r="D12" i="98"/>
  <c r="K13" i="117"/>
  <c r="E9" i="84"/>
  <c r="F9" i="84" s="1"/>
  <c r="E17" i="84"/>
  <c r="F17" i="84" s="1"/>
  <c r="N6" i="88"/>
  <c r="L11" i="115"/>
  <c r="K12" i="95"/>
  <c r="K16" i="95"/>
  <c r="N7" i="88"/>
  <c r="N8" i="88"/>
  <c r="N10" i="88"/>
  <c r="E28" i="95"/>
  <c r="S16" i="79"/>
  <c r="S52" i="79"/>
  <c r="S72" i="79"/>
  <c r="S88" i="79"/>
  <c r="S140" i="79"/>
  <c r="K7" i="88"/>
  <c r="K8" i="88"/>
  <c r="K12" i="88"/>
  <c r="E11" i="101"/>
  <c r="L13" i="117"/>
  <c r="E15" i="84"/>
  <c r="F15" i="84" s="1"/>
  <c r="N12" i="88"/>
  <c r="E20" i="117"/>
  <c r="D26" i="117"/>
  <c r="C32" i="117"/>
  <c r="S15" i="79"/>
  <c r="S23" i="79"/>
  <c r="S31" i="79"/>
  <c r="S39" i="79"/>
  <c r="S55" i="79"/>
  <c r="S63" i="79"/>
  <c r="S71" i="79"/>
  <c r="S91" i="79"/>
  <c r="S107" i="79"/>
  <c r="S109" i="79"/>
  <c r="S111" i="79"/>
  <c r="S123" i="79"/>
  <c r="S125" i="79"/>
  <c r="S127" i="79"/>
  <c r="S137" i="79"/>
  <c r="S139" i="79"/>
  <c r="E9" i="88"/>
  <c r="E10" i="88"/>
  <c r="E17" i="88"/>
  <c r="E18" i="88"/>
  <c r="H67" i="81"/>
  <c r="K131" i="87"/>
  <c r="H8" i="88"/>
  <c r="H13" i="88"/>
  <c r="K17" i="95"/>
  <c r="E6" i="84"/>
  <c r="F6" i="84" s="1"/>
  <c r="S141" i="79"/>
  <c r="S143" i="79"/>
  <c r="N11" i="88"/>
  <c r="K13" i="88"/>
  <c r="K14" i="88"/>
  <c r="K15" i="88"/>
  <c r="J131" i="87"/>
  <c r="N14" i="88"/>
  <c r="N15" i="88"/>
  <c r="N16" i="88"/>
  <c r="N18" i="88"/>
  <c r="S4" i="79"/>
  <c r="S6" i="79"/>
  <c r="S8" i="79"/>
  <c r="S96" i="79"/>
  <c r="S98" i="79"/>
  <c r="S100" i="79"/>
  <c r="S108" i="79"/>
  <c r="S110" i="79"/>
  <c r="S116" i="79"/>
  <c r="S132" i="79"/>
  <c r="K27" i="95"/>
  <c r="H9" i="88"/>
  <c r="K26" i="95"/>
  <c r="H16" i="88"/>
  <c r="I11" i="115"/>
  <c r="K34" i="95"/>
  <c r="K10" i="88"/>
  <c r="E13" i="84"/>
  <c r="F13" i="84" s="1"/>
  <c r="E6" i="88"/>
  <c r="S41" i="79"/>
  <c r="S73" i="79"/>
  <c r="K29" i="101"/>
  <c r="G41" i="114"/>
  <c r="S93" i="79"/>
  <c r="S105" i="79"/>
  <c r="S121" i="79"/>
  <c r="S22" i="79"/>
  <c r="S24" i="79"/>
  <c r="S28" i="79"/>
  <c r="S30" i="79"/>
  <c r="S32" i="79"/>
  <c r="S36" i="79"/>
  <c r="S38" i="79"/>
  <c r="S40" i="79"/>
  <c r="S44" i="79"/>
  <c r="S46" i="79"/>
  <c r="S48" i="79"/>
  <c r="S76" i="79"/>
  <c r="S78" i="79"/>
  <c r="S80" i="79"/>
  <c r="S86" i="79"/>
  <c r="F26" i="117"/>
  <c r="E32" i="117"/>
  <c r="G41" i="98"/>
  <c r="J37" i="81"/>
  <c r="E13" i="95"/>
  <c r="K15" i="95"/>
  <c r="E17" i="95"/>
  <c r="E24" i="95"/>
  <c r="E12" i="88"/>
  <c r="K29" i="95"/>
  <c r="E33" i="95"/>
  <c r="E14" i="84"/>
  <c r="F14" i="84" s="1"/>
  <c r="K9" i="95"/>
  <c r="E30" i="95"/>
  <c r="E7" i="84"/>
  <c r="F7" i="84" s="1"/>
  <c r="E12" i="84"/>
  <c r="F12" i="84" s="1"/>
  <c r="K6" i="88"/>
  <c r="K9" i="88"/>
  <c r="K7" i="95"/>
  <c r="G36" i="101"/>
  <c r="S92" i="79"/>
  <c r="C24" i="115"/>
  <c r="H16" i="98"/>
  <c r="H28" i="98"/>
  <c r="E12" i="95"/>
  <c r="K13" i="95"/>
  <c r="E16" i="95"/>
  <c r="E23" i="95"/>
  <c r="K25" i="95"/>
  <c r="E32" i="95"/>
  <c r="N9" i="88"/>
  <c r="K11" i="88"/>
  <c r="K16" i="88"/>
  <c r="K32" i="95"/>
  <c r="E11" i="84"/>
  <c r="F11" i="84" s="1"/>
  <c r="E16" i="84"/>
  <c r="F16" i="84" s="1"/>
  <c r="E18" i="84"/>
  <c r="F18" i="84" s="1"/>
  <c r="I131" i="87"/>
  <c r="F13" i="89"/>
  <c r="F14" i="89" s="1"/>
  <c r="H14" i="88"/>
  <c r="E15" i="88"/>
  <c r="K17" i="88"/>
  <c r="K18" i="88"/>
  <c r="I11" i="101"/>
  <c r="S20" i="79"/>
  <c r="S81" i="79"/>
  <c r="S9" i="79"/>
  <c r="E29" i="101"/>
  <c r="F32" i="117"/>
  <c r="E16" i="98"/>
  <c r="K29" i="114"/>
  <c r="N17" i="88"/>
  <c r="C11" i="101"/>
  <c r="S17" i="79"/>
  <c r="S25" i="79"/>
  <c r="S33" i="79"/>
  <c r="S47" i="79"/>
  <c r="S119" i="79"/>
  <c r="S136" i="79"/>
  <c r="J16" i="98"/>
  <c r="H97" i="81"/>
  <c r="I97" i="81" s="1"/>
  <c r="K31" i="95"/>
  <c r="H15" i="88"/>
  <c r="E16" i="88"/>
  <c r="H6" i="88"/>
  <c r="E7" i="88"/>
  <c r="H10" i="88"/>
  <c r="E11" i="88"/>
  <c r="N13" i="88"/>
  <c r="S12" i="79"/>
  <c r="S14" i="79"/>
  <c r="S49" i="79"/>
  <c r="S57" i="79"/>
  <c r="S65" i="79"/>
  <c r="S79" i="79"/>
  <c r="S104" i="79"/>
  <c r="S144" i="79"/>
  <c r="S148" i="79"/>
  <c r="C11" i="115"/>
  <c r="E13" i="117"/>
  <c r="K29" i="98"/>
  <c r="E7" i="95"/>
  <c r="E27" i="95"/>
  <c r="E35" i="95"/>
  <c r="E131" i="87"/>
  <c r="M131" i="87"/>
  <c r="E31" i="95"/>
  <c r="F131" i="87"/>
  <c r="N131" i="87"/>
  <c r="H7" i="88"/>
  <c r="E8" i="88"/>
  <c r="H11" i="88"/>
  <c r="E13" i="88"/>
  <c r="E34" i="95"/>
  <c r="E8" i="84"/>
  <c r="F8" i="84" s="1"/>
  <c r="E10" i="84"/>
  <c r="F10" i="84" s="1"/>
  <c r="H12" i="88"/>
  <c r="E14" i="88"/>
  <c r="H17" i="88"/>
  <c r="H18" i="88"/>
  <c r="S85" i="79"/>
  <c r="S133" i="79"/>
  <c r="S7" i="79"/>
  <c r="S54" i="79"/>
  <c r="S56" i="79"/>
  <c r="S60" i="79"/>
  <c r="S62" i="79"/>
  <c r="S64" i="79"/>
  <c r="S68" i="79"/>
  <c r="S70" i="79"/>
  <c r="S99" i="79"/>
  <c r="S103" i="79"/>
  <c r="S120" i="79"/>
  <c r="S124" i="79"/>
  <c r="S149" i="79"/>
  <c r="S151" i="79"/>
  <c r="S153" i="79"/>
  <c r="E14" i="95"/>
  <c r="E18" i="95"/>
  <c r="K23" i="95"/>
  <c r="E25" i="95"/>
  <c r="K28" i="95"/>
  <c r="G74" i="105"/>
  <c r="S5" i="79"/>
  <c r="S11" i="79"/>
  <c r="S26" i="79"/>
  <c r="S37" i="79"/>
  <c r="S43" i="79"/>
  <c r="S58" i="79"/>
  <c r="S94" i="79"/>
  <c r="S135" i="79"/>
  <c r="S13" i="79"/>
  <c r="S19" i="79"/>
  <c r="S34" i="79"/>
  <c r="S45" i="79"/>
  <c r="S51" i="79"/>
  <c r="S66" i="79"/>
  <c r="S77" i="79"/>
  <c r="S83" i="79"/>
  <c r="S87" i="79"/>
  <c r="S102" i="79"/>
  <c r="S113" i="79"/>
  <c r="S115" i="79"/>
  <c r="S126" i="79"/>
  <c r="S152" i="79"/>
  <c r="S10" i="79"/>
  <c r="S21" i="79"/>
  <c r="S27" i="79"/>
  <c r="S42" i="79"/>
  <c r="S53" i="79"/>
  <c r="S59" i="79"/>
  <c r="S74" i="79"/>
  <c r="S89" i="79"/>
  <c r="S95" i="79"/>
  <c r="S117" i="79"/>
  <c r="S128" i="79"/>
  <c r="S134" i="79"/>
  <c r="S145" i="79"/>
  <c r="S147" i="79"/>
  <c r="S3" i="79"/>
  <c r="S18" i="79"/>
  <c r="S29" i="79"/>
  <c r="S35" i="79"/>
  <c r="S50" i="79"/>
  <c r="S61" i="79"/>
  <c r="S67" i="79"/>
  <c r="S82" i="79"/>
  <c r="S84" i="79"/>
  <c r="S97" i="79"/>
  <c r="C13" i="117"/>
  <c r="AK33" i="111"/>
  <c r="Y35" i="111"/>
  <c r="AG35" i="111"/>
  <c r="X51" i="111"/>
  <c r="AF51" i="111"/>
  <c r="E22" i="114"/>
  <c r="G22" i="114" s="1"/>
  <c r="Z35" i="111"/>
  <c r="D24" i="115"/>
  <c r="C30" i="115"/>
  <c r="C20" i="117"/>
  <c r="W11" i="111"/>
  <c r="W16" i="111"/>
  <c r="AE16" i="111"/>
  <c r="AA26" i="111"/>
  <c r="W28" i="111"/>
  <c r="AE28" i="111"/>
  <c r="AA35" i="111"/>
  <c r="AI35" i="111"/>
  <c r="AH51" i="111"/>
  <c r="AG52" i="111"/>
  <c r="M37" i="81"/>
  <c r="D11" i="115"/>
  <c r="E24" i="115"/>
  <c r="D30" i="115"/>
  <c r="F13" i="117"/>
  <c r="D20" i="117"/>
  <c r="C26" i="117"/>
  <c r="E22" i="98"/>
  <c r="G22" i="98" s="1"/>
  <c r="X11" i="111"/>
  <c r="AF11" i="111"/>
  <c r="AE11" i="111"/>
  <c r="X26" i="111"/>
  <c r="AF26" i="111"/>
  <c r="AE26" i="111"/>
  <c r="AA51" i="111"/>
  <c r="AI51" i="111"/>
  <c r="Z58" i="111"/>
  <c r="AH58" i="111"/>
  <c r="W59" i="111"/>
  <c r="AE59" i="111"/>
  <c r="AA67" i="111"/>
  <c r="AI67" i="111"/>
  <c r="E11" i="115"/>
  <c r="F24" i="115"/>
  <c r="E30" i="115"/>
  <c r="AE6" i="111"/>
  <c r="AH11" i="111"/>
  <c r="Y26" i="111"/>
  <c r="AG26" i="111"/>
  <c r="AI26" i="111"/>
  <c r="AA58" i="111"/>
  <c r="AI58" i="111"/>
  <c r="AG60" i="111"/>
  <c r="F30" i="115"/>
  <c r="F20" i="117"/>
  <c r="E26" i="117"/>
  <c r="D32" i="117"/>
  <c r="M15" i="98"/>
  <c r="H199" i="100"/>
  <c r="H198" i="100"/>
  <c r="S69" i="79"/>
  <c r="S75" i="79"/>
  <c r="S90" i="79"/>
  <c r="S101" i="79"/>
  <c r="S112" i="79"/>
  <c r="S118" i="79"/>
  <c r="S129" i="79"/>
  <c r="S131" i="79"/>
  <c r="S142" i="79"/>
  <c r="AA11" i="111"/>
  <c r="AI11" i="111"/>
  <c r="AA16" i="111"/>
  <c r="AI16" i="111"/>
  <c r="W35" i="111"/>
  <c r="AA59" i="111"/>
  <c r="AI59" i="111"/>
  <c r="AC6" i="111"/>
  <c r="AK6" i="111"/>
  <c r="AB11" i="111"/>
  <c r="AJ11" i="111"/>
  <c r="Z26" i="111"/>
  <c r="AH26" i="111"/>
  <c r="Y51" i="111"/>
  <c r="AG51" i="111"/>
  <c r="AC58" i="111"/>
  <c r="AK58" i="111"/>
  <c r="AC26" i="111"/>
  <c r="AK26" i="111"/>
  <c r="AE50" i="111"/>
  <c r="W52" i="111"/>
  <c r="AE52" i="111"/>
  <c r="X58" i="111"/>
  <c r="AF58" i="111"/>
  <c r="F198" i="100"/>
  <c r="G204" i="100"/>
  <c r="G203" i="100"/>
  <c r="P204" i="100"/>
  <c r="AK204" i="100" s="1"/>
  <c r="P203" i="100"/>
  <c r="AG67" i="111"/>
  <c r="AH67" i="111"/>
  <c r="Z6" i="111"/>
  <c r="AH6" i="111"/>
  <c r="AC9" i="111"/>
  <c r="AB10" i="111"/>
  <c r="AJ10" i="111"/>
  <c r="Y11" i="111"/>
  <c r="AG11" i="111"/>
  <c r="Z15" i="111"/>
  <c r="AH15" i="111"/>
  <c r="Y18" i="111"/>
  <c r="AG18" i="111"/>
  <c r="AC23" i="111"/>
  <c r="AK23" i="111"/>
  <c r="Z28" i="111"/>
  <c r="AH28" i="111"/>
  <c r="AA32" i="111"/>
  <c r="AI32" i="111"/>
  <c r="X34" i="111"/>
  <c r="AF34" i="111"/>
  <c r="AB35" i="111"/>
  <c r="AJ35" i="111"/>
  <c r="AC43" i="111"/>
  <c r="AK43" i="111"/>
  <c r="AF45" i="111"/>
  <c r="AC46" i="111"/>
  <c r="AK46" i="111"/>
  <c r="Y47" i="111"/>
  <c r="AG47" i="111"/>
  <c r="AC51" i="111"/>
  <c r="AK51" i="111"/>
  <c r="AF56" i="111"/>
  <c r="AC57" i="111"/>
  <c r="AK57" i="111"/>
  <c r="Y58" i="111"/>
  <c r="AG58" i="111"/>
  <c r="AC62" i="111"/>
  <c r="AK62" i="111"/>
  <c r="AB66" i="111"/>
  <c r="AJ66" i="111"/>
  <c r="E10" i="95"/>
  <c r="W8" i="111"/>
  <c r="AE8" i="111"/>
  <c r="Z10" i="111"/>
  <c r="AH10" i="111"/>
  <c r="AC11" i="111"/>
  <c r="AK11" i="111"/>
  <c r="AG12" i="111"/>
  <c r="Y14" i="111"/>
  <c r="AG14" i="111"/>
  <c r="AB15" i="111"/>
  <c r="AJ15" i="111"/>
  <c r="Z17" i="111"/>
  <c r="AH17" i="111"/>
  <c r="X18" i="111"/>
  <c r="AF18" i="111"/>
  <c r="AA23" i="111"/>
  <c r="AI23" i="111"/>
  <c r="AA28" i="111"/>
  <c r="AI28" i="111"/>
  <c r="Y31" i="111"/>
  <c r="AG31" i="111"/>
  <c r="Z32" i="111"/>
  <c r="AH32" i="111"/>
  <c r="AC34" i="111"/>
  <c r="AK34" i="111"/>
  <c r="X35" i="111"/>
  <c r="AF35" i="111"/>
  <c r="AC41" i="111"/>
  <c r="AB42" i="111"/>
  <c r="AJ42" i="111"/>
  <c r="AB46" i="111"/>
  <c r="AJ46" i="111"/>
  <c r="AB50" i="111"/>
  <c r="AJ50" i="111"/>
  <c r="AB57" i="111"/>
  <c r="AJ57" i="111"/>
  <c r="AB61" i="111"/>
  <c r="AJ61" i="111"/>
  <c r="AG63" i="111"/>
  <c r="X65" i="111"/>
  <c r="AF65" i="111"/>
  <c r="H37" i="81"/>
  <c r="E67" i="81"/>
  <c r="E8" i="95"/>
  <c r="K11" i="95"/>
  <c r="K8" i="95"/>
  <c r="X6" i="111"/>
  <c r="AF6" i="111"/>
  <c r="Y15" i="111"/>
  <c r="AG15" i="111"/>
  <c r="Z16" i="111"/>
  <c r="AH16" i="111"/>
  <c r="AC18" i="111"/>
  <c r="AK18" i="111"/>
  <c r="X23" i="111"/>
  <c r="AF23" i="111"/>
  <c r="AB26" i="111"/>
  <c r="AJ26" i="111"/>
  <c r="W32" i="111"/>
  <c r="AE32" i="111"/>
  <c r="Z34" i="111"/>
  <c r="AH34" i="111"/>
  <c r="AC35" i="111"/>
  <c r="AK35" i="111"/>
  <c r="Y42" i="111"/>
  <c r="AG42" i="111"/>
  <c r="AB43" i="111"/>
  <c r="AJ43" i="111"/>
  <c r="Z45" i="111"/>
  <c r="AH45" i="111"/>
  <c r="Y46" i="111"/>
  <c r="AG46" i="111"/>
  <c r="AB47" i="111"/>
  <c r="AJ47" i="111"/>
  <c r="Z49" i="111"/>
  <c r="AH49" i="111"/>
  <c r="Y50" i="111"/>
  <c r="AG50" i="111"/>
  <c r="AB51" i="111"/>
  <c r="AJ51" i="111"/>
  <c r="Z56" i="111"/>
  <c r="AH56" i="111"/>
  <c r="Y57" i="111"/>
  <c r="AG57" i="111"/>
  <c r="AB58" i="111"/>
  <c r="AJ58" i="111"/>
  <c r="Z60" i="111"/>
  <c r="AH60" i="111"/>
  <c r="Y61" i="111"/>
  <c r="AG61" i="111"/>
  <c r="AB62" i="111"/>
  <c r="AJ62" i="111"/>
  <c r="AC65" i="111"/>
  <c r="AK65" i="111"/>
  <c r="X66" i="111"/>
  <c r="AF66" i="111"/>
  <c r="W67" i="111"/>
  <c r="AE67" i="111"/>
  <c r="Z68" i="111"/>
  <c r="AH68" i="111"/>
  <c r="E37" i="81"/>
  <c r="K67" i="81"/>
  <c r="E16" i="114"/>
  <c r="J16" i="114"/>
  <c r="H29" i="114"/>
  <c r="J198" i="100"/>
  <c r="AE198" i="100" s="1"/>
  <c r="P198" i="100"/>
  <c r="AK198" i="100" s="1"/>
  <c r="Q199" i="100"/>
  <c r="AL199" i="100" s="1"/>
  <c r="H203" i="100"/>
  <c r="AC203" i="100" s="1"/>
  <c r="L198" i="100"/>
  <c r="AG198" i="100" s="1"/>
  <c r="F199" i="100"/>
  <c r="R199" i="100"/>
  <c r="AM199" i="100" s="1"/>
  <c r="N198" i="100"/>
  <c r="AI198" i="100" s="1"/>
  <c r="L203" i="100"/>
  <c r="AG203" i="100" s="1"/>
  <c r="J15" i="114"/>
  <c r="K28" i="114"/>
  <c r="G131" i="87"/>
  <c r="O130" i="87"/>
  <c r="O131" i="87" s="1"/>
  <c r="C131" i="87"/>
  <c r="E15" i="101"/>
  <c r="M16" i="101"/>
  <c r="H15" i="101"/>
  <c r="E16" i="101"/>
  <c r="J16" i="101"/>
  <c r="H16" i="101"/>
  <c r="E22" i="101"/>
  <c r="G22" i="101" s="1"/>
  <c r="H29" i="101"/>
  <c r="H55" i="106"/>
  <c r="E26" i="95"/>
  <c r="K33" i="95"/>
  <c r="E6" i="95"/>
  <c r="E9" i="95"/>
  <c r="E29" i="95"/>
  <c r="AE12" i="102"/>
  <c r="AH8" i="102"/>
  <c r="J91" i="98"/>
  <c r="J98" i="98" s="1"/>
  <c r="M88" i="98"/>
  <c r="L89" i="98"/>
  <c r="K90" i="98"/>
  <c r="E29" i="98"/>
  <c r="H104" i="98"/>
  <c r="C105" i="98"/>
  <c r="N105" i="98"/>
  <c r="N106" i="98"/>
  <c r="Q111" i="98"/>
  <c r="F113" i="98"/>
  <c r="L114" i="98"/>
  <c r="C118" i="98"/>
  <c r="H119" i="98"/>
  <c r="N120" i="98"/>
  <c r="O88" i="98"/>
  <c r="N89" i="98"/>
  <c r="M90" i="98"/>
  <c r="L91" i="98"/>
  <c r="L98" i="98" s="1"/>
  <c r="J104" i="98"/>
  <c r="D105" i="98"/>
  <c r="O105" i="98"/>
  <c r="C107" i="98"/>
  <c r="F112" i="98"/>
  <c r="L113" i="98"/>
  <c r="Q114" i="98"/>
  <c r="H118" i="98"/>
  <c r="N119" i="98"/>
  <c r="C121" i="98"/>
  <c r="E28" i="98"/>
  <c r="K28" i="98"/>
  <c r="H29" i="98"/>
  <c r="E88" i="98"/>
  <c r="D89" i="98"/>
  <c r="C90" i="98"/>
  <c r="S90" i="98"/>
  <c r="K97" i="98" s="1"/>
  <c r="R91" i="98"/>
  <c r="R98" i="98" s="1"/>
  <c r="C104" i="98"/>
  <c r="N104" i="98"/>
  <c r="H105" i="98"/>
  <c r="C106" i="98"/>
  <c r="H107" i="98"/>
  <c r="F111" i="98"/>
  <c r="L112" i="98"/>
  <c r="Q113" i="98"/>
  <c r="N118" i="98"/>
  <c r="C120" i="98"/>
  <c r="H121" i="98"/>
  <c r="G88" i="98"/>
  <c r="F89" i="98"/>
  <c r="E90" i="98"/>
  <c r="D91" i="98"/>
  <c r="D104" i="98"/>
  <c r="O104" i="98"/>
  <c r="J105" i="98"/>
  <c r="H106" i="98"/>
  <c r="N107" i="98"/>
  <c r="L111" i="98"/>
  <c r="Q112" i="98"/>
  <c r="F114" i="98"/>
  <c r="C119" i="98"/>
  <c r="H120" i="98"/>
  <c r="N121" i="98"/>
  <c r="H125" i="98"/>
  <c r="P125" i="98"/>
  <c r="H126" i="98"/>
  <c r="P126" i="98"/>
  <c r="H127" i="98"/>
  <c r="P127" i="98"/>
  <c r="H128" i="98"/>
  <c r="P128" i="98"/>
  <c r="J15" i="98"/>
  <c r="H15" i="98"/>
  <c r="E21" i="98"/>
  <c r="G21" i="98" s="1"/>
  <c r="D106" i="98"/>
  <c r="J106" i="98"/>
  <c r="O106" i="98"/>
  <c r="D107" i="98"/>
  <c r="J107" i="98"/>
  <c r="O107" i="98"/>
  <c r="H111" i="98"/>
  <c r="M111" i="98"/>
  <c r="R111" i="98"/>
  <c r="H112" i="98"/>
  <c r="M112" i="98"/>
  <c r="R112" i="98"/>
  <c r="H113" i="98"/>
  <c r="M113" i="98"/>
  <c r="R113" i="98"/>
  <c r="H114" i="98"/>
  <c r="M114" i="98"/>
  <c r="R114" i="98"/>
  <c r="D118" i="98"/>
  <c r="J118" i="98"/>
  <c r="O118" i="98"/>
  <c r="D119" i="98"/>
  <c r="J119" i="98"/>
  <c r="O119" i="98"/>
  <c r="D120" i="98"/>
  <c r="J120" i="98"/>
  <c r="O120" i="98"/>
  <c r="D121" i="98"/>
  <c r="J121" i="98"/>
  <c r="O121" i="98"/>
  <c r="J125" i="98"/>
  <c r="R125" i="98"/>
  <c r="J126" i="98"/>
  <c r="R126" i="98"/>
  <c r="J127" i="98"/>
  <c r="R127" i="98"/>
  <c r="J128" i="98"/>
  <c r="R128" i="98"/>
  <c r="I88" i="98"/>
  <c r="Q88" i="98"/>
  <c r="H89" i="98"/>
  <c r="P89" i="98"/>
  <c r="G90" i="98"/>
  <c r="O90" i="98"/>
  <c r="O97" i="98" s="1"/>
  <c r="F91" i="98"/>
  <c r="F98" i="98" s="1"/>
  <c r="N91" i="98"/>
  <c r="N98" i="98" s="1"/>
  <c r="F104" i="98"/>
  <c r="K104" i="98"/>
  <c r="P104" i="98"/>
  <c r="F105" i="98"/>
  <c r="K105" i="98"/>
  <c r="P105" i="98"/>
  <c r="F106" i="98"/>
  <c r="K106" i="98"/>
  <c r="P106" i="98"/>
  <c r="F107" i="98"/>
  <c r="K107" i="98"/>
  <c r="P107" i="98"/>
  <c r="D111" i="98"/>
  <c r="I111" i="98"/>
  <c r="N111" i="98"/>
  <c r="D112" i="98"/>
  <c r="I112" i="98"/>
  <c r="N112" i="98"/>
  <c r="D113" i="98"/>
  <c r="I113" i="98"/>
  <c r="N113" i="98"/>
  <c r="D114" i="98"/>
  <c r="I114" i="98"/>
  <c r="N114" i="98"/>
  <c r="F118" i="98"/>
  <c r="K118" i="98"/>
  <c r="P118" i="98"/>
  <c r="F119" i="98"/>
  <c r="K119" i="98"/>
  <c r="P119" i="98"/>
  <c r="F120" i="98"/>
  <c r="K120" i="98"/>
  <c r="P120" i="98"/>
  <c r="F121" i="98"/>
  <c r="K121" i="98"/>
  <c r="P121" i="98"/>
  <c r="D125" i="98"/>
  <c r="L125" i="98"/>
  <c r="D126" i="98"/>
  <c r="L126" i="98"/>
  <c r="D127" i="98"/>
  <c r="L127" i="98"/>
  <c r="D128" i="98"/>
  <c r="L128" i="98"/>
  <c r="E15" i="98"/>
  <c r="M16" i="98"/>
  <c r="C88" i="98"/>
  <c r="K88" i="98"/>
  <c r="S88" i="98"/>
  <c r="J89" i="98"/>
  <c r="R89" i="98"/>
  <c r="I90" i="98"/>
  <c r="I97" i="98" s="1"/>
  <c r="Q90" i="98"/>
  <c r="Q97" i="98" s="1"/>
  <c r="H91" i="98"/>
  <c r="H98" i="98" s="1"/>
  <c r="P91" i="98"/>
  <c r="P98" i="98" s="1"/>
  <c r="G104" i="98"/>
  <c r="L104" i="98"/>
  <c r="R104" i="98"/>
  <c r="G105" i="98"/>
  <c r="L105" i="98"/>
  <c r="R105" i="98"/>
  <c r="G106" i="98"/>
  <c r="L106" i="98"/>
  <c r="R106" i="98"/>
  <c r="G107" i="98"/>
  <c r="L107" i="98"/>
  <c r="R107" i="98"/>
  <c r="E111" i="98"/>
  <c r="J111" i="98"/>
  <c r="P111" i="98"/>
  <c r="E112" i="98"/>
  <c r="J112" i="98"/>
  <c r="P112" i="98"/>
  <c r="E113" i="98"/>
  <c r="J113" i="98"/>
  <c r="P113" i="98"/>
  <c r="E114" i="98"/>
  <c r="J114" i="98"/>
  <c r="P114" i="98"/>
  <c r="G118" i="98"/>
  <c r="L118" i="98"/>
  <c r="R118" i="98"/>
  <c r="G119" i="98"/>
  <c r="L119" i="98"/>
  <c r="R119" i="98"/>
  <c r="G120" i="98"/>
  <c r="L120" i="98"/>
  <c r="R120" i="98"/>
  <c r="G121" i="98"/>
  <c r="L121" i="98"/>
  <c r="R121" i="98"/>
  <c r="F125" i="98"/>
  <c r="N125" i="98"/>
  <c r="F126" i="98"/>
  <c r="N126" i="98"/>
  <c r="F127" i="98"/>
  <c r="N127" i="98"/>
  <c r="F128" i="98"/>
  <c r="N128" i="98"/>
  <c r="H16" i="114"/>
  <c r="M16" i="114"/>
  <c r="E29" i="114"/>
  <c r="D131" i="87"/>
  <c r="H131" i="87"/>
  <c r="L131" i="87"/>
  <c r="D55" i="106"/>
  <c r="M15" i="114"/>
  <c r="E28" i="114"/>
  <c r="D10" i="109"/>
  <c r="E73" i="109"/>
  <c r="D86" i="81"/>
  <c r="AD31" i="102"/>
  <c r="I24" i="102"/>
  <c r="AF34" i="102"/>
  <c r="E99" i="81"/>
  <c r="P85" i="109"/>
  <c r="F52" i="109"/>
  <c r="X87" i="108" a="1"/>
  <c r="X87" i="108" s="1"/>
  <c r="X90" i="108" a="1"/>
  <c r="X90" i="108" s="1"/>
  <c r="J32" i="110"/>
  <c r="P22" i="105"/>
  <c r="N87" i="109"/>
  <c r="AD45" i="108"/>
  <c r="AF10" i="110"/>
  <c r="AF45" i="110"/>
  <c r="AJ52" i="110"/>
  <c r="R25" i="105"/>
  <c r="Y46" i="110"/>
  <c r="F38" i="102"/>
  <c r="P39" i="102"/>
  <c r="J26" i="105"/>
  <c r="AF31" i="105"/>
  <c r="L60" i="105"/>
  <c r="H13" i="81"/>
  <c r="P36" i="102"/>
  <c r="L41" i="102"/>
  <c r="AC19" i="105"/>
  <c r="G24" i="105"/>
  <c r="D27" i="105"/>
  <c r="Y32" i="105"/>
  <c r="AH54" i="105"/>
  <c r="R61" i="105"/>
  <c r="D85" i="81"/>
  <c r="E109" i="81"/>
  <c r="U34" i="107"/>
  <c r="K41" i="109"/>
  <c r="D59" i="109"/>
  <c r="Q89" i="109"/>
  <c r="F26" i="108"/>
  <c r="AC74" i="108" a="1"/>
  <c r="AC74" i="108" s="1"/>
  <c r="V89" i="108" a="1"/>
  <c r="V89" i="108" s="1"/>
  <c r="L95" i="108" a="1"/>
  <c r="L95" i="108" s="1"/>
  <c r="H31" i="110"/>
  <c r="X66" i="110"/>
  <c r="F25" i="105"/>
  <c r="Z33" i="105"/>
  <c r="AG74" i="108" a="1"/>
  <c r="AG74" i="108" s="1"/>
  <c r="C61" i="110"/>
  <c r="AJ66" i="110"/>
  <c r="AD59" i="107"/>
  <c r="W52" i="108"/>
  <c r="AD73" i="108" a="1"/>
  <c r="AD73" i="108" s="1"/>
  <c r="AB75" i="108" a="1"/>
  <c r="AB75" i="108" s="1"/>
  <c r="N104" i="108" a="1"/>
  <c r="AF40" i="107"/>
  <c r="AF62" i="107"/>
  <c r="J25" i="109"/>
  <c r="D95" i="109"/>
  <c r="D69" i="108"/>
  <c r="AF73" i="108" a="1"/>
  <c r="AF73" i="108" s="1"/>
  <c r="R10" i="102"/>
  <c r="O27" i="102"/>
  <c r="R40" i="102"/>
  <c r="AG66" i="102"/>
  <c r="AF68" i="102"/>
  <c r="V81" i="102"/>
  <c r="X83" i="102"/>
  <c r="X87" i="102"/>
  <c r="X89" i="102"/>
  <c r="X96" i="102"/>
  <c r="AG97" i="102"/>
  <c r="V18" i="105"/>
  <c r="K25" i="105"/>
  <c r="R26" i="105"/>
  <c r="AB34" i="105"/>
  <c r="F39" i="105"/>
  <c r="L59" i="105"/>
  <c r="D62" i="105"/>
  <c r="AF81" i="105"/>
  <c r="X87" i="105"/>
  <c r="F94" i="105"/>
  <c r="J96" i="105"/>
  <c r="P97" i="105"/>
  <c r="I39" i="81"/>
  <c r="C57" i="81"/>
  <c r="E115" i="81"/>
  <c r="U60" i="107"/>
  <c r="D87" i="107"/>
  <c r="L102" i="107"/>
  <c r="M104" i="107"/>
  <c r="C11" i="109"/>
  <c r="F26" i="109"/>
  <c r="U32" i="109"/>
  <c r="R38" i="109"/>
  <c r="AE47" i="109"/>
  <c r="P90" i="109"/>
  <c r="Y48" i="108"/>
  <c r="AD53" i="108"/>
  <c r="P71" i="108" a="1"/>
  <c r="P71" i="108" s="1"/>
  <c r="AF12" i="110"/>
  <c r="AD39" i="110"/>
  <c r="K62" i="110"/>
  <c r="Y96" i="102"/>
  <c r="Z61" i="107"/>
  <c r="D101" i="107"/>
  <c r="R102" i="107"/>
  <c r="D12" i="109"/>
  <c r="H27" i="109"/>
  <c r="AF34" i="109"/>
  <c r="U55" i="108"/>
  <c r="Y74" i="108" a="1"/>
  <c r="Y74" i="108" s="1"/>
  <c r="AI76" i="108" a="1"/>
  <c r="AI76" i="108" s="1"/>
  <c r="N101" i="108" a="1"/>
  <c r="Q10" i="110"/>
  <c r="G33" i="110"/>
  <c r="AI67" i="110"/>
  <c r="AF67" i="102"/>
  <c r="AB69" i="102"/>
  <c r="Z81" i="102"/>
  <c r="AB83" i="102"/>
  <c r="AH87" i="102"/>
  <c r="Y89" i="102"/>
  <c r="P94" i="105"/>
  <c r="P96" i="105"/>
  <c r="J24" i="102"/>
  <c r="K39" i="102"/>
  <c r="AH64" i="102"/>
  <c r="AG67" i="102"/>
  <c r="AD69" i="102"/>
  <c r="AJ81" i="102"/>
  <c r="U88" i="102"/>
  <c r="V90" i="102"/>
  <c r="AC94" i="102"/>
  <c r="AF96" i="102"/>
  <c r="P24" i="105"/>
  <c r="F26" i="105"/>
  <c r="P36" i="105"/>
  <c r="L40" i="105"/>
  <c r="D76" i="105"/>
  <c r="AH78" i="105"/>
  <c r="P92" i="105"/>
  <c r="D95" i="105"/>
  <c r="R96" i="105"/>
  <c r="K48" i="81"/>
  <c r="AB31" i="107"/>
  <c r="AC38" i="107"/>
  <c r="V59" i="107"/>
  <c r="AG61" i="107"/>
  <c r="H101" i="107"/>
  <c r="L103" i="107"/>
  <c r="C13" i="109"/>
  <c r="H89" i="109"/>
  <c r="F73" i="108"/>
  <c r="P59" i="110"/>
  <c r="R39" i="105"/>
  <c r="AB83" i="105"/>
  <c r="O26" i="102"/>
  <c r="X66" i="102"/>
  <c r="X68" i="102"/>
  <c r="U80" i="102"/>
  <c r="AC82" i="102"/>
  <c r="AD88" i="102"/>
  <c r="AC90" i="102"/>
  <c r="Y95" i="102"/>
  <c r="AD97" i="102"/>
  <c r="AG80" i="105"/>
  <c r="F95" i="105"/>
  <c r="G97" i="105"/>
  <c r="E102" i="107"/>
  <c r="I104" i="107"/>
  <c r="F61" i="81"/>
  <c r="I61" i="81"/>
  <c r="L34" i="105"/>
  <c r="G32" i="105"/>
  <c r="L48" i="105"/>
  <c r="O45" i="105"/>
  <c r="K47" i="105"/>
  <c r="J11" i="102"/>
  <c r="AB73" i="102"/>
  <c r="R32" i="105"/>
  <c r="O34" i="105"/>
  <c r="D48" i="105"/>
  <c r="H25" i="81"/>
  <c r="J90" i="102"/>
  <c r="O90" i="105"/>
  <c r="P85" i="105"/>
  <c r="L88" i="105"/>
  <c r="R102" i="105"/>
  <c r="P99" i="105"/>
  <c r="P103" i="105"/>
  <c r="M12" i="102"/>
  <c r="AB20" i="102"/>
  <c r="F52" i="102"/>
  <c r="AG74" i="102"/>
  <c r="AD20" i="105"/>
  <c r="F31" i="105"/>
  <c r="F45" i="105"/>
  <c r="L62" i="105"/>
  <c r="J62" i="105"/>
  <c r="J61" i="105"/>
  <c r="G60" i="105"/>
  <c r="F59" i="105"/>
  <c r="O59" i="105"/>
  <c r="F61" i="105"/>
  <c r="O62" i="105"/>
  <c r="R75" i="105"/>
  <c r="J73" i="105"/>
  <c r="K74" i="105"/>
  <c r="J89" i="105"/>
  <c r="K104" i="105"/>
  <c r="F10" i="102"/>
  <c r="N13" i="102"/>
  <c r="F26" i="102"/>
  <c r="R38" i="102"/>
  <c r="V67" i="102"/>
  <c r="AD68" i="102"/>
  <c r="AC80" i="102"/>
  <c r="U82" i="102"/>
  <c r="AH83" i="102"/>
  <c r="AF87" i="102"/>
  <c r="AB88" i="102"/>
  <c r="AF89" i="102"/>
  <c r="Z95" i="102"/>
  <c r="X97" i="102"/>
  <c r="X17" i="105"/>
  <c r="L27" i="105"/>
  <c r="G27" i="105"/>
  <c r="L24" i="105"/>
  <c r="O25" i="105"/>
  <c r="L26" i="105"/>
  <c r="P27" i="105"/>
  <c r="O31" i="105"/>
  <c r="K33" i="105"/>
  <c r="L41" i="105"/>
  <c r="R41" i="105"/>
  <c r="D40" i="105"/>
  <c r="J38" i="105"/>
  <c r="G39" i="105"/>
  <c r="P41" i="105"/>
  <c r="R46" i="105"/>
  <c r="AD55" i="105"/>
  <c r="X55" i="105"/>
  <c r="P57" i="105"/>
  <c r="D60" i="105"/>
  <c r="K61" i="105"/>
  <c r="R62" i="105"/>
  <c r="P71" i="105"/>
  <c r="F75" i="105"/>
  <c r="L87" i="105"/>
  <c r="K90" i="105"/>
  <c r="J101" i="105"/>
  <c r="H9" i="81"/>
  <c r="D9" i="81"/>
  <c r="F68" i="81"/>
  <c r="I85" i="81"/>
  <c r="AD19" i="107"/>
  <c r="AF32" i="107"/>
  <c r="Y74" i="107"/>
  <c r="L89" i="107"/>
  <c r="D94" i="107"/>
  <c r="P95" i="107"/>
  <c r="I97" i="107"/>
  <c r="N10" i="109"/>
  <c r="L11" i="109"/>
  <c r="L12" i="109"/>
  <c r="N13" i="109"/>
  <c r="P24" i="109"/>
  <c r="P25" i="109"/>
  <c r="R26" i="109"/>
  <c r="N61" i="109"/>
  <c r="I66" i="109"/>
  <c r="F76" i="109"/>
  <c r="AJ13" i="108"/>
  <c r="Z47" i="108"/>
  <c r="U53" i="108"/>
  <c r="Z54" i="108"/>
  <c r="AC55" i="108"/>
  <c r="AC62" i="108"/>
  <c r="E80" i="108" a="1"/>
  <c r="E80" i="108" s="1"/>
  <c r="K103" i="108" a="1"/>
  <c r="Z13" i="110"/>
  <c r="AD17" i="110"/>
  <c r="J25" i="110"/>
  <c r="L45" i="110"/>
  <c r="Z31" i="107"/>
  <c r="AD33" i="107"/>
  <c r="AC41" i="107"/>
  <c r="V76" i="107"/>
  <c r="I90" i="107"/>
  <c r="L94" i="107"/>
  <c r="E96" i="107"/>
  <c r="P97" i="107"/>
  <c r="Q10" i="109"/>
  <c r="P11" i="109"/>
  <c r="R12" i="109"/>
  <c r="R13" i="109"/>
  <c r="P22" i="109"/>
  <c r="Q24" i="109"/>
  <c r="E26" i="109"/>
  <c r="F27" i="109"/>
  <c r="Q40" i="109"/>
  <c r="AA45" i="109"/>
  <c r="P62" i="109"/>
  <c r="C67" i="109"/>
  <c r="AA94" i="109"/>
  <c r="Z45" i="108"/>
  <c r="AH47" i="108"/>
  <c r="U52" i="108"/>
  <c r="W53" i="108"/>
  <c r="AC54" i="108"/>
  <c r="G101" i="108" a="1"/>
  <c r="G101" i="108" s="1"/>
  <c r="M103" i="108" a="1"/>
  <c r="X12" i="110"/>
  <c r="C19" i="110"/>
  <c r="X40" i="110"/>
  <c r="P43" i="110" a="1"/>
  <c r="P43" i="110" s="1"/>
  <c r="D47" i="110"/>
  <c r="AE53" i="110"/>
  <c r="AF73" i="110" a="1"/>
  <c r="AF73" i="110" s="1"/>
  <c r="E95" i="107"/>
  <c r="L96" i="107"/>
  <c r="R97" i="107"/>
  <c r="N68" i="109"/>
  <c r="P31" i="110"/>
  <c r="O33" i="110"/>
  <c r="AH36" i="110" a="1"/>
  <c r="AH36" i="110" s="1"/>
  <c r="V41" i="110"/>
  <c r="D46" i="110"/>
  <c r="U47" i="110"/>
  <c r="AH50" i="110" a="1"/>
  <c r="R59" i="110"/>
  <c r="Y33" i="105"/>
  <c r="AG34" i="105"/>
  <c r="O94" i="105"/>
  <c r="L95" i="105"/>
  <c r="D97" i="105"/>
  <c r="D68" i="81"/>
  <c r="F85" i="81"/>
  <c r="J86" i="81"/>
  <c r="K86" i="81" s="1"/>
  <c r="E117" i="81"/>
  <c r="X17" i="107"/>
  <c r="Z32" i="107"/>
  <c r="AJ60" i="107"/>
  <c r="L95" i="107"/>
  <c r="P96" i="107"/>
  <c r="R101" i="107"/>
  <c r="I103" i="107"/>
  <c r="P104" i="107"/>
  <c r="H10" i="109"/>
  <c r="K11" i="109"/>
  <c r="H12" i="109"/>
  <c r="J13" i="109"/>
  <c r="H24" i="109"/>
  <c r="K25" i="109"/>
  <c r="L26" i="109"/>
  <c r="O27" i="109"/>
  <c r="H38" i="109"/>
  <c r="Y48" i="109"/>
  <c r="J69" i="109"/>
  <c r="AC52" i="108"/>
  <c r="AI53" i="108"/>
  <c r="H67" i="108"/>
  <c r="O74" i="108"/>
  <c r="I97" i="108" a="1"/>
  <c r="X11" i="110"/>
  <c r="X13" i="110"/>
  <c r="N17" i="110"/>
  <c r="P29" i="110" a="1"/>
  <c r="P29" i="110" s="1"/>
  <c r="H32" i="110"/>
  <c r="H34" i="110"/>
  <c r="AF38" i="110"/>
  <c r="AI41" i="110"/>
  <c r="D45" i="110"/>
  <c r="U46" i="110"/>
  <c r="AE52" i="110"/>
  <c r="P57" i="110" a="1"/>
  <c r="P57" i="110" s="1"/>
  <c r="L60" i="110"/>
  <c r="P78" i="110" a="1"/>
  <c r="H88" i="110" a="1"/>
  <c r="H88" i="110" s="1"/>
  <c r="L90" i="102"/>
  <c r="P90" i="102"/>
  <c r="P89" i="102"/>
  <c r="D89" i="102"/>
  <c r="R88" i="102"/>
  <c r="F88" i="102"/>
  <c r="F87" i="102"/>
  <c r="L87" i="102"/>
  <c r="K89" i="102"/>
  <c r="R90" i="102"/>
  <c r="AG95" i="105"/>
  <c r="AJ96" i="105"/>
  <c r="F56" i="81"/>
  <c r="I56" i="81"/>
  <c r="D56" i="81"/>
  <c r="AC48" i="102"/>
  <c r="U46" i="102"/>
  <c r="L55" i="102"/>
  <c r="G55" i="102"/>
  <c r="P53" i="102"/>
  <c r="F53" i="102"/>
  <c r="K67" i="102"/>
  <c r="J68" i="102"/>
  <c r="P69" i="102"/>
  <c r="AH76" i="102"/>
  <c r="AJ76" i="102"/>
  <c r="AF75" i="102"/>
  <c r="AF74" i="102"/>
  <c r="AF73" i="102"/>
  <c r="U74" i="102"/>
  <c r="AC75" i="102"/>
  <c r="L13" i="105"/>
  <c r="K13" i="105"/>
  <c r="J12" i="105"/>
  <c r="F11" i="105"/>
  <c r="J13" i="105"/>
  <c r="F12" i="105"/>
  <c r="D11" i="105"/>
  <c r="L10" i="105"/>
  <c r="R12" i="105"/>
  <c r="L17" i="105"/>
  <c r="U38" i="105"/>
  <c r="O53" i="105"/>
  <c r="AC97" i="105"/>
  <c r="AJ97" i="105"/>
  <c r="U96" i="105"/>
  <c r="AH94" i="105"/>
  <c r="AH97" i="105"/>
  <c r="AJ95" i="105"/>
  <c r="U94" i="105"/>
  <c r="AF17" i="102"/>
  <c r="V45" i="102"/>
  <c r="R53" i="102"/>
  <c r="U73" i="102"/>
  <c r="Z74" i="102"/>
  <c r="Y76" i="102"/>
  <c r="P85" i="102"/>
  <c r="O87" i="102"/>
  <c r="G88" i="102"/>
  <c r="L89" i="102"/>
  <c r="G90" i="102"/>
  <c r="AG104" i="102"/>
  <c r="AG102" i="102"/>
  <c r="P8" i="105"/>
  <c r="L11" i="105"/>
  <c r="R13" i="105"/>
  <c r="J52" i="105"/>
  <c r="D54" i="105"/>
  <c r="AH83" i="105"/>
  <c r="AG83" i="105"/>
  <c r="AH82" i="105"/>
  <c r="X82" i="105"/>
  <c r="Y81" i="105"/>
  <c r="Z80" i="105"/>
  <c r="AD83" i="105"/>
  <c r="AF82" i="105"/>
  <c r="AG81" i="105"/>
  <c r="V81" i="105"/>
  <c r="X80" i="105"/>
  <c r="Z81" i="105"/>
  <c r="X83" i="105"/>
  <c r="L104" i="105"/>
  <c r="J104" i="105"/>
  <c r="K103" i="105"/>
  <c r="O102" i="105"/>
  <c r="D102" i="105"/>
  <c r="F101" i="105"/>
  <c r="R104" i="105"/>
  <c r="D104" i="105"/>
  <c r="J103" i="105"/>
  <c r="L102" i="105"/>
  <c r="O101" i="105"/>
  <c r="L101" i="105"/>
  <c r="F103" i="105"/>
  <c r="O104" i="105"/>
  <c r="F40" i="81"/>
  <c r="H40" i="81" s="1"/>
  <c r="D40" i="81"/>
  <c r="C40" i="81"/>
  <c r="K46" i="81"/>
  <c r="I46" i="81"/>
  <c r="C46" i="81"/>
  <c r="F51" i="81"/>
  <c r="K51" i="81"/>
  <c r="D51" i="81"/>
  <c r="AE10" i="102"/>
  <c r="W12" i="102"/>
  <c r="W10" i="102"/>
  <c r="AE11" i="102"/>
  <c r="AE13" i="102"/>
  <c r="L69" i="102"/>
  <c r="G69" i="102"/>
  <c r="R68" i="102"/>
  <c r="L20" i="105"/>
  <c r="G20" i="105"/>
  <c r="D19" i="105"/>
  <c r="D18" i="105"/>
  <c r="L18" i="105"/>
  <c r="P20" i="105"/>
  <c r="AC41" i="105"/>
  <c r="AJ41" i="105"/>
  <c r="L55" i="105"/>
  <c r="K55" i="105"/>
  <c r="P54" i="105"/>
  <c r="F53" i="105"/>
  <c r="G52" i="105"/>
  <c r="D55" i="105"/>
  <c r="L54" i="105"/>
  <c r="R53" i="105"/>
  <c r="P52" i="105"/>
  <c r="F54" i="105"/>
  <c r="F52" i="81"/>
  <c r="G52" i="81"/>
  <c r="D52" i="81"/>
  <c r="AC34" i="102"/>
  <c r="AD33" i="102"/>
  <c r="K40" i="102"/>
  <c r="P41" i="102"/>
  <c r="P40" i="102"/>
  <c r="F39" i="102"/>
  <c r="O38" i="102"/>
  <c r="G40" i="102"/>
  <c r="AF48" i="102"/>
  <c r="O52" i="102"/>
  <c r="R54" i="102"/>
  <c r="AH73" i="102"/>
  <c r="Z75" i="102"/>
  <c r="AG76" i="102"/>
  <c r="J87" i="102"/>
  <c r="O88" i="102"/>
  <c r="F89" i="102"/>
  <c r="K90" i="102"/>
  <c r="AB104" i="102"/>
  <c r="J10" i="105"/>
  <c r="P12" i="105"/>
  <c r="U40" i="105"/>
  <c r="P50" i="105"/>
  <c r="G53" i="105"/>
  <c r="L76" i="105"/>
  <c r="J76" i="105"/>
  <c r="P75" i="105"/>
  <c r="R74" i="105"/>
  <c r="D74" i="105"/>
  <c r="F73" i="105"/>
  <c r="R76" i="105"/>
  <c r="G76" i="105"/>
  <c r="K75" i="105"/>
  <c r="L74" i="105"/>
  <c r="O73" i="105"/>
  <c r="L73" i="105"/>
  <c r="J75" i="105"/>
  <c r="P76" i="105"/>
  <c r="AC80" i="105"/>
  <c r="Y82" i="105"/>
  <c r="R90" i="105"/>
  <c r="F89" i="105"/>
  <c r="F88" i="105"/>
  <c r="J87" i="105"/>
  <c r="R89" i="105"/>
  <c r="D88" i="105"/>
  <c r="P89" i="105"/>
  <c r="U95" i="105"/>
  <c r="G102" i="105"/>
  <c r="R103" i="105"/>
  <c r="L40" i="81"/>
  <c r="D47" i="81"/>
  <c r="C52" i="81"/>
  <c r="Y27" i="107"/>
  <c r="AH27" i="107"/>
  <c r="AC25" i="107"/>
  <c r="AF20" i="109"/>
  <c r="X19" i="109"/>
  <c r="W17" i="109"/>
  <c r="AD18" i="109"/>
  <c r="L48" i="109"/>
  <c r="F48" i="109"/>
  <c r="R46" i="109"/>
  <c r="Q45" i="109"/>
  <c r="E47" i="109"/>
  <c r="G83" i="109"/>
  <c r="Q82" i="109"/>
  <c r="K81" i="109"/>
  <c r="R104" i="109"/>
  <c r="I104" i="109"/>
  <c r="C103" i="109"/>
  <c r="K101" i="109"/>
  <c r="F103" i="109"/>
  <c r="F101" i="109"/>
  <c r="I102" i="109"/>
  <c r="AH83" i="108" a="1"/>
  <c r="AH83" i="108" s="1"/>
  <c r="AG83" i="108" a="1"/>
  <c r="AG83" i="108" s="1"/>
  <c r="AJ82" i="108" a="1"/>
  <c r="AJ82" i="108" s="1"/>
  <c r="X82" i="108" a="1"/>
  <c r="X82" i="108" s="1"/>
  <c r="AB81" i="108" a="1"/>
  <c r="AB81" i="108" s="1"/>
  <c r="AH80" i="108" a="1"/>
  <c r="AH80" i="108" s="1"/>
  <c r="U80" i="108" a="1"/>
  <c r="U80" i="108" s="1"/>
  <c r="Y83" i="108" a="1"/>
  <c r="Y83" i="108" s="1"/>
  <c r="AJ81" i="108" a="1"/>
  <c r="AJ81" i="108" s="1"/>
  <c r="U81" i="108" a="1"/>
  <c r="U81" i="108" s="1"/>
  <c r="W80" i="108" a="1"/>
  <c r="W80" i="108" s="1"/>
  <c r="AE83" i="108" a="1"/>
  <c r="AE83" i="108" s="1"/>
  <c r="AC82" i="108" a="1"/>
  <c r="AC82" i="108" s="1"/>
  <c r="AC81" i="108" a="1"/>
  <c r="AC81" i="108" s="1"/>
  <c r="AC80" i="108" a="1"/>
  <c r="AC80" i="108" s="1"/>
  <c r="AJ80" i="108" a="1"/>
  <c r="AJ80" i="108" s="1"/>
  <c r="AE82" i="108" a="1"/>
  <c r="AE82" i="108" s="1"/>
  <c r="AB17" i="105"/>
  <c r="AB18" i="105"/>
  <c r="AD19" i="105"/>
  <c r="AJ20" i="105"/>
  <c r="D57" i="81"/>
  <c r="E57" i="81" s="1"/>
  <c r="D64" i="81"/>
  <c r="E103" i="81"/>
  <c r="AH17" i="107"/>
  <c r="X20" i="107"/>
  <c r="U24" i="107"/>
  <c r="Z26" i="107"/>
  <c r="AI34" i="107"/>
  <c r="AD34" i="107"/>
  <c r="AF33" i="107"/>
  <c r="AG32" i="107"/>
  <c r="AJ31" i="107"/>
  <c r="U31" i="107"/>
  <c r="AG31" i="107"/>
  <c r="V33" i="107"/>
  <c r="V34" i="107"/>
  <c r="X41" i="107"/>
  <c r="U41" i="107"/>
  <c r="AB39" i="107"/>
  <c r="U38" i="107"/>
  <c r="AG39" i="107"/>
  <c r="AH41" i="107"/>
  <c r="R90" i="107"/>
  <c r="I89" i="107"/>
  <c r="N87" i="107"/>
  <c r="L88" i="107"/>
  <c r="M90" i="107"/>
  <c r="AC13" i="109"/>
  <c r="AB13" i="109"/>
  <c r="AG11" i="109"/>
  <c r="AF15" i="109"/>
  <c r="AF19" i="109"/>
  <c r="J47" i="109"/>
  <c r="L55" i="109"/>
  <c r="O55" i="109"/>
  <c r="P54" i="109"/>
  <c r="P78" i="109"/>
  <c r="L82" i="109"/>
  <c r="C101" i="109"/>
  <c r="M103" i="109"/>
  <c r="AE13" i="108"/>
  <c r="AF10" i="108"/>
  <c r="AF12" i="108"/>
  <c r="AH32" i="108"/>
  <c r="E61" i="108"/>
  <c r="F60" i="108"/>
  <c r="C62" i="108"/>
  <c r="W81" i="108" a="1"/>
  <c r="W81" i="108" s="1"/>
  <c r="Z83" i="108" a="1"/>
  <c r="Z83" i="108" s="1"/>
  <c r="E94" i="108" a="1"/>
  <c r="R95" i="108" a="1"/>
  <c r="R95" i="108" s="1"/>
  <c r="R97" i="108" a="1"/>
  <c r="R97" i="108" s="1"/>
  <c r="Q13" i="110"/>
  <c r="E10" i="110"/>
  <c r="AC52" i="105"/>
  <c r="AG55" i="105"/>
  <c r="Z88" i="105"/>
  <c r="AB90" i="105"/>
  <c r="J25" i="102"/>
  <c r="Z66" i="102"/>
  <c r="Y67" i="102"/>
  <c r="AB80" i="102"/>
  <c r="AG81" i="102"/>
  <c r="AD82" i="102"/>
  <c r="AJ83" i="102"/>
  <c r="V87" i="102"/>
  <c r="AJ89" i="102"/>
  <c r="AD90" i="102"/>
  <c r="Z94" i="102"/>
  <c r="AG95" i="102"/>
  <c r="AH96" i="102"/>
  <c r="AH15" i="105"/>
  <c r="J24" i="105"/>
  <c r="G25" i="105"/>
  <c r="D26" i="105"/>
  <c r="P26" i="105"/>
  <c r="K27" i="105"/>
  <c r="AG31" i="105"/>
  <c r="AG32" i="105"/>
  <c r="D34" i="105"/>
  <c r="L38" i="105"/>
  <c r="O39" i="105"/>
  <c r="K40" i="105"/>
  <c r="J41" i="105"/>
  <c r="G46" i="105"/>
  <c r="O48" i="105"/>
  <c r="Z53" i="105"/>
  <c r="J59" i="105"/>
  <c r="F60" i="105"/>
  <c r="R60" i="105"/>
  <c r="P61" i="105"/>
  <c r="K62" i="105"/>
  <c r="AF89" i="105"/>
  <c r="J94" i="105"/>
  <c r="O95" i="105"/>
  <c r="F96" i="105"/>
  <c r="D39" i="81"/>
  <c r="G49" i="81"/>
  <c r="H49" i="81" s="1"/>
  <c r="I57" i="81"/>
  <c r="G63" i="81"/>
  <c r="H63" i="81" s="1"/>
  <c r="I64" i="81"/>
  <c r="I77" i="81"/>
  <c r="E101" i="81"/>
  <c r="E107" i="81"/>
  <c r="E123" i="81"/>
  <c r="AB18" i="107"/>
  <c r="AG20" i="107"/>
  <c r="Y24" i="107"/>
  <c r="AF26" i="107"/>
  <c r="AH29" i="107"/>
  <c r="Y32" i="107"/>
  <c r="Y33" i="107"/>
  <c r="AB34" i="107"/>
  <c r="Z38" i="107"/>
  <c r="Z40" i="107"/>
  <c r="AD76" i="107"/>
  <c r="X75" i="107"/>
  <c r="AJ76" i="107"/>
  <c r="P88" i="107"/>
  <c r="Z12" i="109"/>
  <c r="AE17" i="109"/>
  <c r="U20" i="109"/>
  <c r="AF24" i="109"/>
  <c r="Y34" i="109"/>
  <c r="X31" i="109"/>
  <c r="D45" i="109"/>
  <c r="F46" i="109"/>
  <c r="D61" i="109"/>
  <c r="G62" i="109"/>
  <c r="L59" i="109"/>
  <c r="K60" i="109"/>
  <c r="O97" i="109"/>
  <c r="F95" i="109"/>
  <c r="D94" i="109"/>
  <c r="L96" i="109"/>
  <c r="J94" i="109"/>
  <c r="E96" i="109"/>
  <c r="R101" i="109"/>
  <c r="F104" i="109"/>
  <c r="AJ10" i="108"/>
  <c r="AJ19" i="108"/>
  <c r="AF17" i="108"/>
  <c r="AD34" i="108"/>
  <c r="AC48" i="108"/>
  <c r="AE48" i="108"/>
  <c r="AD47" i="108"/>
  <c r="AC46" i="108"/>
  <c r="W45" i="108"/>
  <c r="W48" i="108"/>
  <c r="AE46" i="108"/>
  <c r="AH43" i="108" a="1"/>
  <c r="AH43" i="108" s="1"/>
  <c r="U47" i="108"/>
  <c r="AI48" i="108"/>
  <c r="AH81" i="108" a="1"/>
  <c r="AH81" i="108" s="1"/>
  <c r="L94" i="108" a="1"/>
  <c r="L94" i="108" s="1"/>
  <c r="P11" i="110"/>
  <c r="R27" i="110"/>
  <c r="N26" i="110"/>
  <c r="E25" i="110"/>
  <c r="P22" i="110" a="1"/>
  <c r="P22" i="110" s="1"/>
  <c r="N27" i="110"/>
  <c r="D26" i="110"/>
  <c r="R26" i="110"/>
  <c r="M24" i="110"/>
  <c r="E26" i="110"/>
  <c r="J24" i="110"/>
  <c r="L63" i="81"/>
  <c r="AJ18" i="107"/>
  <c r="X25" i="107"/>
  <c r="AD27" i="107"/>
  <c r="AB18" i="109"/>
  <c r="AC20" i="109"/>
  <c r="E45" i="109"/>
  <c r="K46" i="109"/>
  <c r="N48" i="109"/>
  <c r="P80" i="109"/>
  <c r="C102" i="109"/>
  <c r="Q104" i="109"/>
  <c r="AB80" i="108" a="1"/>
  <c r="AB80" i="108" s="1"/>
  <c r="Y82" i="108" a="1"/>
  <c r="Y82" i="108" s="1"/>
  <c r="O97" i="108" a="1"/>
  <c r="Q96" i="108" a="1"/>
  <c r="D96" i="108" a="1"/>
  <c r="D96" i="108" s="1"/>
  <c r="F95" i="108" a="1"/>
  <c r="F95" i="108" s="1"/>
  <c r="M94" i="108" a="1"/>
  <c r="Q97" i="108" a="1"/>
  <c r="M96" i="108" a="1"/>
  <c r="M96" i="108" s="1"/>
  <c r="M95" i="108" a="1"/>
  <c r="O94" i="108" a="1"/>
  <c r="F97" i="108" a="1"/>
  <c r="F97" i="108" s="1"/>
  <c r="E96" i="108" a="1"/>
  <c r="E96" i="108" s="1"/>
  <c r="D95" i="108" a="1"/>
  <c r="D95" i="108" s="1"/>
  <c r="F94" i="108" a="1"/>
  <c r="F94" i="108" s="1"/>
  <c r="D97" i="108" a="1"/>
  <c r="D97" i="108" s="1"/>
  <c r="C10" i="110"/>
  <c r="V81" i="110" a="1"/>
  <c r="AE83" i="110" a="1"/>
  <c r="AB60" i="107"/>
  <c r="Y62" i="107"/>
  <c r="N94" i="107"/>
  <c r="D96" i="107"/>
  <c r="E97" i="107"/>
  <c r="N101" i="107"/>
  <c r="P102" i="107"/>
  <c r="P103" i="107"/>
  <c r="L10" i="109"/>
  <c r="F11" i="109"/>
  <c r="M12" i="109"/>
  <c r="H13" i="109"/>
  <c r="J24" i="109"/>
  <c r="D25" i="109"/>
  <c r="R25" i="109"/>
  <c r="M26" i="109"/>
  <c r="N27" i="109"/>
  <c r="N39" i="109"/>
  <c r="X45" i="109"/>
  <c r="N76" i="109"/>
  <c r="P75" i="109"/>
  <c r="O74" i="109"/>
  <c r="G90" i="109"/>
  <c r="N90" i="109"/>
  <c r="D89" i="109"/>
  <c r="L87" i="109"/>
  <c r="H88" i="109"/>
  <c r="F90" i="109"/>
  <c r="R27" i="108"/>
  <c r="K25" i="108"/>
  <c r="AE55" i="108"/>
  <c r="AD55" i="108"/>
  <c r="AI54" i="108"/>
  <c r="W54" i="108"/>
  <c r="Z53" i="108"/>
  <c r="AD52" i="108"/>
  <c r="AH50" i="108" a="1"/>
  <c r="AH50" i="108" s="1"/>
  <c r="AH52" i="108"/>
  <c r="AH53" i="108"/>
  <c r="AH54" i="108"/>
  <c r="AI55" i="108"/>
  <c r="AG75" i="108" a="1"/>
  <c r="AG75" i="108" s="1"/>
  <c r="W74" i="108" a="1"/>
  <c r="W74" i="108" s="1"/>
  <c r="AA76" i="108" a="1"/>
  <c r="AA76" i="108" s="1"/>
  <c r="V88" i="108" a="1"/>
  <c r="V88" i="108" s="1"/>
  <c r="G104" i="108" a="1"/>
  <c r="G104" i="108" s="1"/>
  <c r="C104" i="108" a="1"/>
  <c r="K102" i="108" a="1"/>
  <c r="F101" i="108" a="1"/>
  <c r="R102" i="108" a="1"/>
  <c r="R102" i="108" s="1"/>
  <c r="Q104" i="108" a="1"/>
  <c r="AG19" i="110"/>
  <c r="X38" i="110"/>
  <c r="AF39" i="110"/>
  <c r="E52" i="110"/>
  <c r="P54" i="110"/>
  <c r="R53" i="110"/>
  <c r="H52" i="110"/>
  <c r="P50" i="110" a="1"/>
  <c r="P50" i="110" s="1"/>
  <c r="M55" i="110"/>
  <c r="Z60" i="110"/>
  <c r="U61" i="110"/>
  <c r="AF59" i="110"/>
  <c r="AH57" i="110" a="1"/>
  <c r="AJ83" i="110" a="1"/>
  <c r="AJ83" i="110" s="1"/>
  <c r="Z83" i="110" a="1"/>
  <c r="Z83" i="110" s="1"/>
  <c r="AD82" i="110" a="1"/>
  <c r="AD82" i="110" s="1"/>
  <c r="U82" i="110" a="1"/>
  <c r="AA81" i="110" a="1"/>
  <c r="AE80" i="110" a="1"/>
  <c r="AE80" i="110" s="1"/>
  <c r="V80" i="110" a="1"/>
  <c r="AH83" i="110" a="1"/>
  <c r="V83" i="110" a="1"/>
  <c r="AC82" i="110" a="1"/>
  <c r="AH81" i="110" a="1"/>
  <c r="W81" i="110" a="1"/>
  <c r="AD80" i="110" a="1"/>
  <c r="AD80" i="110" s="1"/>
  <c r="U80" i="110" a="1"/>
  <c r="U80" i="110" s="1"/>
  <c r="AA83" i="110" a="1"/>
  <c r="AH82" i="110" a="1"/>
  <c r="X82" i="110" a="1"/>
  <c r="X82" i="110" s="1"/>
  <c r="AC81" i="110" a="1"/>
  <c r="AC81" i="110" s="1"/>
  <c r="AI80" i="110" a="1"/>
  <c r="Y80" i="110" a="1"/>
  <c r="Y82" i="110" a="1"/>
  <c r="AB89" i="108" a="1"/>
  <c r="AB89" i="108" s="1"/>
  <c r="V90" i="108" a="1"/>
  <c r="V90" i="108" s="1"/>
  <c r="Z87" i="108" a="1"/>
  <c r="Z87" i="108" s="1"/>
  <c r="X89" i="108" a="1"/>
  <c r="X89" i="108" s="1"/>
  <c r="AD41" i="110"/>
  <c r="AF41" i="110"/>
  <c r="AD40" i="110"/>
  <c r="V39" i="110"/>
  <c r="V38" i="110"/>
  <c r="AI38" i="110"/>
  <c r="AI40" i="110"/>
  <c r="F48" i="110"/>
  <c r="L48" i="110"/>
  <c r="L47" i="110"/>
  <c r="H48" i="110"/>
  <c r="H47" i="110"/>
  <c r="N46" i="110"/>
  <c r="R45" i="110"/>
  <c r="K45" i="110"/>
  <c r="H46" i="110"/>
  <c r="R55" i="110"/>
  <c r="AA80" i="110" a="1"/>
  <c r="AI82" i="110" a="1"/>
  <c r="M73" i="108"/>
  <c r="Q75" i="108"/>
  <c r="AB10" i="110"/>
  <c r="AI11" i="110"/>
  <c r="AI12" i="110"/>
  <c r="H18" i="110"/>
  <c r="J31" i="110"/>
  <c r="P32" i="110"/>
  <c r="K34" i="110"/>
  <c r="AJ55" i="110"/>
  <c r="R61" i="110"/>
  <c r="Z69" i="110"/>
  <c r="Y75" i="110" a="1"/>
  <c r="Y75" i="110" s="1"/>
  <c r="X88" i="110" a="1"/>
  <c r="X88" i="110" s="1"/>
  <c r="AB52" i="110"/>
  <c r="Z53" i="110"/>
  <c r="Z54" i="110"/>
  <c r="J59" i="110"/>
  <c r="J89" i="110" a="1"/>
  <c r="AH39" i="102"/>
  <c r="G47" i="102"/>
  <c r="AG62" i="102"/>
  <c r="G74" i="102"/>
  <c r="R74" i="102"/>
  <c r="D95" i="102"/>
  <c r="L95" i="102"/>
  <c r="K96" i="102"/>
  <c r="J97" i="102"/>
  <c r="R97" i="102"/>
  <c r="J103" i="102"/>
  <c r="R103" i="102"/>
  <c r="D104" i="102"/>
  <c r="O104" i="102"/>
  <c r="AD25" i="105"/>
  <c r="Z26" i="105"/>
  <c r="Y27" i="105"/>
  <c r="AH27" i="105"/>
  <c r="AH61" i="105"/>
  <c r="AB74" i="105"/>
  <c r="D81" i="105"/>
  <c r="L81" i="105"/>
  <c r="K82" i="105"/>
  <c r="J83" i="105"/>
  <c r="R83" i="105"/>
  <c r="J18" i="102"/>
  <c r="AB19" i="102"/>
  <c r="AF20" i="102"/>
  <c r="Y38" i="102"/>
  <c r="D67" i="102"/>
  <c r="L67" i="102"/>
  <c r="J75" i="102"/>
  <c r="R75" i="102"/>
  <c r="F81" i="102"/>
  <c r="O81" i="102"/>
  <c r="F95" i="102"/>
  <c r="O95" i="102"/>
  <c r="K97" i="102"/>
  <c r="F19" i="105"/>
  <c r="P19" i="105"/>
  <c r="X24" i="105"/>
  <c r="AG24" i="105"/>
  <c r="AB27" i="105"/>
  <c r="AH40" i="105"/>
  <c r="G45" i="105"/>
  <c r="P45" i="105"/>
  <c r="K46" i="105"/>
  <c r="D47" i="105"/>
  <c r="L47" i="105"/>
  <c r="G48" i="105"/>
  <c r="P48" i="105"/>
  <c r="V52" i="105"/>
  <c r="AF52" i="105"/>
  <c r="AD53" i="105"/>
  <c r="Z54" i="105"/>
  <c r="AG60" i="105"/>
  <c r="AB62" i="105"/>
  <c r="P64" i="105"/>
  <c r="J66" i="105"/>
  <c r="D67" i="105"/>
  <c r="L67" i="105"/>
  <c r="F68" i="105"/>
  <c r="P68" i="105"/>
  <c r="J69" i="105"/>
  <c r="R69" i="105"/>
  <c r="AC75" i="105"/>
  <c r="D82" i="105"/>
  <c r="L82" i="105"/>
  <c r="K83" i="105"/>
  <c r="Z87" i="105"/>
  <c r="AF88" i="105"/>
  <c r="AH89" i="105"/>
  <c r="F44" i="81"/>
  <c r="D44" i="81"/>
  <c r="L44" i="81"/>
  <c r="M44" i="81" s="1"/>
  <c r="F55" i="81"/>
  <c r="D55" i="81"/>
  <c r="C55" i="81"/>
  <c r="I19" i="102"/>
  <c r="P33" i="102"/>
  <c r="F75" i="102"/>
  <c r="P75" i="102"/>
  <c r="G80" i="102"/>
  <c r="P80" i="102"/>
  <c r="J82" i="102"/>
  <c r="R82" i="102"/>
  <c r="J101" i="102"/>
  <c r="V24" i="105"/>
  <c r="AF24" i="105"/>
  <c r="AF60" i="105"/>
  <c r="Y62" i="105"/>
  <c r="F80" i="105"/>
  <c r="O80" i="105"/>
  <c r="J10" i="102"/>
  <c r="Y40" i="102"/>
  <c r="Y59" i="102"/>
  <c r="J69" i="102"/>
  <c r="R69" i="102"/>
  <c r="K74" i="102"/>
  <c r="J76" i="102"/>
  <c r="R76" i="102"/>
  <c r="P78" i="102"/>
  <c r="J80" i="102"/>
  <c r="G83" i="102"/>
  <c r="P83" i="102"/>
  <c r="D96" i="102"/>
  <c r="L96" i="102"/>
  <c r="L101" i="102"/>
  <c r="AB101" i="102"/>
  <c r="G102" i="102"/>
  <c r="R102" i="102"/>
  <c r="AJ102" i="102"/>
  <c r="K103" i="102"/>
  <c r="U103" i="102"/>
  <c r="G104" i="102"/>
  <c r="P104" i="102"/>
  <c r="AH104" i="102"/>
  <c r="F18" i="105"/>
  <c r="O18" i="105"/>
  <c r="AH22" i="105"/>
  <c r="K32" i="105"/>
  <c r="G34" i="105"/>
  <c r="P34" i="105"/>
  <c r="AG38" i="105"/>
  <c r="Y55" i="105"/>
  <c r="AH55" i="105"/>
  <c r="AD74" i="105"/>
  <c r="F81" i="105"/>
  <c r="O81" i="105"/>
  <c r="M10" i="102"/>
  <c r="F11" i="102"/>
  <c r="Q11" i="102"/>
  <c r="F12" i="102"/>
  <c r="R12" i="102"/>
  <c r="I13" i="102"/>
  <c r="R13" i="102"/>
  <c r="I17" i="102"/>
  <c r="AB18" i="102"/>
  <c r="AF19" i="102"/>
  <c r="E25" i="102"/>
  <c r="K27" i="102"/>
  <c r="D31" i="102"/>
  <c r="V31" i="102"/>
  <c r="D32" i="102"/>
  <c r="X32" i="102"/>
  <c r="D33" i="102"/>
  <c r="X33" i="102"/>
  <c r="F34" i="102"/>
  <c r="X34" i="102"/>
  <c r="K38" i="102"/>
  <c r="AG38" i="102"/>
  <c r="R39" i="102"/>
  <c r="AH40" i="102"/>
  <c r="Z41" i="102"/>
  <c r="F45" i="102"/>
  <c r="AF45" i="102"/>
  <c r="AD46" i="102"/>
  <c r="X47" i="102"/>
  <c r="V48" i="102"/>
  <c r="R52" i="102"/>
  <c r="G54" i="102"/>
  <c r="P55" i="102"/>
  <c r="Y60" i="102"/>
  <c r="P64" i="102"/>
  <c r="G66" i="102"/>
  <c r="P66" i="102"/>
  <c r="AC66" i="102"/>
  <c r="F67" i="102"/>
  <c r="O67" i="102"/>
  <c r="Z67" i="102"/>
  <c r="D68" i="102"/>
  <c r="L68" i="102"/>
  <c r="Y68" i="102"/>
  <c r="AH68" i="102"/>
  <c r="K69" i="102"/>
  <c r="X69" i="102"/>
  <c r="AG69" i="102"/>
  <c r="L73" i="102"/>
  <c r="Z73" i="102"/>
  <c r="D74" i="102"/>
  <c r="L74" i="102"/>
  <c r="Y74" i="102"/>
  <c r="AJ74" i="102"/>
  <c r="K75" i="102"/>
  <c r="U75" i="102"/>
  <c r="AJ75" i="102"/>
  <c r="K76" i="102"/>
  <c r="V76" i="102"/>
  <c r="L80" i="102"/>
  <c r="V80" i="102"/>
  <c r="AG80" i="102"/>
  <c r="G81" i="102"/>
  <c r="R81" i="102"/>
  <c r="AB81" i="102"/>
  <c r="D82" i="102"/>
  <c r="L82" i="102"/>
  <c r="X82" i="102"/>
  <c r="AH82" i="102"/>
  <c r="J83" i="102"/>
  <c r="R83" i="102"/>
  <c r="AC83" i="102"/>
  <c r="G87" i="102"/>
  <c r="P87" i="102"/>
  <c r="AB87" i="102"/>
  <c r="D88" i="102"/>
  <c r="L88" i="102"/>
  <c r="V88" i="102"/>
  <c r="AF88" i="102"/>
  <c r="J89" i="102"/>
  <c r="R89" i="102"/>
  <c r="AC89" i="102"/>
  <c r="D90" i="102"/>
  <c r="O90" i="102"/>
  <c r="X90" i="102"/>
  <c r="AG90" i="102"/>
  <c r="J94" i="102"/>
  <c r="V94" i="102"/>
  <c r="AF94" i="102"/>
  <c r="G95" i="102"/>
  <c r="R95" i="102"/>
  <c r="AD95" i="102"/>
  <c r="F96" i="102"/>
  <c r="P96" i="102"/>
  <c r="Z96" i="102"/>
  <c r="D97" i="102"/>
  <c r="O97" i="102"/>
  <c r="Y97" i="102"/>
  <c r="AH97" i="102"/>
  <c r="F101" i="102"/>
  <c r="O101" i="102"/>
  <c r="AF101" i="102"/>
  <c r="K102" i="102"/>
  <c r="Y102" i="102"/>
  <c r="D103" i="102"/>
  <c r="L103" i="102"/>
  <c r="AC103" i="102"/>
  <c r="J104" i="102"/>
  <c r="R104" i="102"/>
  <c r="AJ104" i="102"/>
  <c r="F10" i="105"/>
  <c r="O10" i="105"/>
  <c r="G11" i="105"/>
  <c r="R11" i="105"/>
  <c r="K12" i="105"/>
  <c r="D13" i="105"/>
  <c r="O13" i="105"/>
  <c r="P15" i="105"/>
  <c r="G17" i="105"/>
  <c r="P17" i="105"/>
  <c r="AF17" i="105"/>
  <c r="G18" i="105"/>
  <c r="R18" i="105"/>
  <c r="AD18" i="105"/>
  <c r="J19" i="105"/>
  <c r="R19" i="105"/>
  <c r="AJ19" i="105"/>
  <c r="K20" i="105"/>
  <c r="V20" i="105"/>
  <c r="F24" i="105"/>
  <c r="O24" i="105"/>
  <c r="Z24" i="105"/>
  <c r="D25" i="105"/>
  <c r="L25" i="105"/>
  <c r="Y25" i="105"/>
  <c r="AG25" i="105"/>
  <c r="K26" i="105"/>
  <c r="X26" i="105"/>
  <c r="AF26" i="105"/>
  <c r="J27" i="105"/>
  <c r="R27" i="105"/>
  <c r="AD27" i="105"/>
  <c r="P29" i="105"/>
  <c r="J31" i="105"/>
  <c r="X31" i="105"/>
  <c r="D32" i="105"/>
  <c r="L32" i="105"/>
  <c r="Z32" i="105"/>
  <c r="F33" i="105"/>
  <c r="P33" i="105"/>
  <c r="AF33" i="105"/>
  <c r="J34" i="105"/>
  <c r="R34" i="105"/>
  <c r="AH34" i="105"/>
  <c r="F38" i="105"/>
  <c r="O38" i="105"/>
  <c r="AH38" i="105"/>
  <c r="K39" i="105"/>
  <c r="U39" i="105"/>
  <c r="F40" i="105"/>
  <c r="P40" i="105"/>
  <c r="AJ40" i="105"/>
  <c r="K41" i="105"/>
  <c r="V41" i="105"/>
  <c r="P43" i="105"/>
  <c r="J45" i="105"/>
  <c r="D46" i="105"/>
  <c r="L46" i="105"/>
  <c r="F47" i="105"/>
  <c r="P47" i="105"/>
  <c r="J48" i="105"/>
  <c r="R48" i="105"/>
  <c r="AH50" i="105"/>
  <c r="L52" i="105"/>
  <c r="X52" i="105"/>
  <c r="AG52" i="105"/>
  <c r="K53" i="105"/>
  <c r="V53" i="105"/>
  <c r="AF53" i="105"/>
  <c r="J54" i="105"/>
  <c r="R54" i="105"/>
  <c r="AD54" i="105"/>
  <c r="G55" i="105"/>
  <c r="P55" i="105"/>
  <c r="AB55" i="105"/>
  <c r="G59" i="105"/>
  <c r="P59" i="105"/>
  <c r="AG59" i="105"/>
  <c r="K60" i="105"/>
  <c r="Y60" i="105"/>
  <c r="D61" i="105"/>
  <c r="L61" i="105"/>
  <c r="Z61" i="105"/>
  <c r="G62" i="105"/>
  <c r="P62" i="105"/>
  <c r="AG62" i="105"/>
  <c r="L66" i="105"/>
  <c r="F67" i="105"/>
  <c r="O67" i="105"/>
  <c r="J68" i="105"/>
  <c r="R68" i="105"/>
  <c r="K69" i="105"/>
  <c r="G73" i="105"/>
  <c r="P73" i="105"/>
  <c r="F74" i="105"/>
  <c r="O74" i="105"/>
  <c r="D75" i="105"/>
  <c r="L75" i="105"/>
  <c r="AD75" i="105"/>
  <c r="K76" i="105"/>
  <c r="AC76" i="105"/>
  <c r="J80" i="105"/>
  <c r="V80" i="105"/>
  <c r="AF80" i="105"/>
  <c r="G81" i="105"/>
  <c r="R81" i="105"/>
  <c r="AD81" i="105"/>
  <c r="F82" i="105"/>
  <c r="P82" i="105"/>
  <c r="Z82" i="105"/>
  <c r="D83" i="105"/>
  <c r="O83" i="105"/>
  <c r="Y83" i="105"/>
  <c r="F87" i="105"/>
  <c r="O87" i="105"/>
  <c r="AF87" i="105"/>
  <c r="G88" i="105"/>
  <c r="R88" i="105"/>
  <c r="AG88" i="105"/>
  <c r="K89" i="105"/>
  <c r="Y89" i="105"/>
  <c r="D90" i="105"/>
  <c r="L97" i="105"/>
  <c r="R97" i="105"/>
  <c r="J97" i="105"/>
  <c r="L96" i="105"/>
  <c r="D96" i="105"/>
  <c r="R95" i="105"/>
  <c r="G95" i="105"/>
  <c r="L94" i="105"/>
  <c r="G94" i="105"/>
  <c r="K95" i="105"/>
  <c r="K96" i="105"/>
  <c r="O97" i="105"/>
  <c r="D21" i="81"/>
  <c r="C42" i="81"/>
  <c r="C44" i="81"/>
  <c r="F47" i="81"/>
  <c r="K47" i="81"/>
  <c r="F48" i="81"/>
  <c r="D48" i="81"/>
  <c r="L48" i="81"/>
  <c r="M48" i="81" s="1"/>
  <c r="F53" i="81"/>
  <c r="G53" i="81"/>
  <c r="K55" i="81"/>
  <c r="O31" i="102"/>
  <c r="P34" i="102"/>
  <c r="N11" i="102"/>
  <c r="E12" i="102"/>
  <c r="N12" i="102"/>
  <c r="F13" i="102"/>
  <c r="Q13" i="102"/>
  <c r="U31" i="102"/>
  <c r="AF31" i="102"/>
  <c r="U32" i="102"/>
  <c r="AF32" i="102"/>
  <c r="V33" i="102"/>
  <c r="AG33" i="102"/>
  <c r="V34" i="102"/>
  <c r="AG34" i="102"/>
  <c r="AD45" i="102"/>
  <c r="X46" i="102"/>
  <c r="V47" i="102"/>
  <c r="G48" i="102"/>
  <c r="AG48" i="102"/>
  <c r="F66" i="102"/>
  <c r="O66" i="102"/>
  <c r="K68" i="102"/>
  <c r="P71" i="102"/>
  <c r="J73" i="102"/>
  <c r="K82" i="102"/>
  <c r="P92" i="102"/>
  <c r="G94" i="102"/>
  <c r="P94" i="102"/>
  <c r="F17" i="105"/>
  <c r="O17" i="105"/>
  <c r="J20" i="105"/>
  <c r="R20" i="105"/>
  <c r="V25" i="105"/>
  <c r="AF25" i="105"/>
  <c r="AD26" i="105"/>
  <c r="G31" i="105"/>
  <c r="P31" i="105"/>
  <c r="D33" i="105"/>
  <c r="L33" i="105"/>
  <c r="AF59" i="105"/>
  <c r="Y61" i="105"/>
  <c r="P78" i="105"/>
  <c r="G80" i="105"/>
  <c r="P80" i="105"/>
  <c r="AH90" i="105"/>
  <c r="E10" i="102"/>
  <c r="N10" i="102"/>
  <c r="I11" i="102"/>
  <c r="R11" i="102"/>
  <c r="J12" i="102"/>
  <c r="J13" i="102"/>
  <c r="X17" i="102"/>
  <c r="AE18" i="102"/>
  <c r="F31" i="102"/>
  <c r="AB31" i="102"/>
  <c r="F32" i="102"/>
  <c r="AC32" i="102"/>
  <c r="G33" i="102"/>
  <c r="AC33" i="102"/>
  <c r="G34" i="102"/>
  <c r="Y39" i="102"/>
  <c r="AH41" i="102"/>
  <c r="U45" i="102"/>
  <c r="AF46" i="102"/>
  <c r="AD47" i="102"/>
  <c r="X48" i="102"/>
  <c r="J66" i="102"/>
  <c r="V66" i="102"/>
  <c r="AF66" i="102"/>
  <c r="G67" i="102"/>
  <c r="R67" i="102"/>
  <c r="AD67" i="102"/>
  <c r="F68" i="102"/>
  <c r="P68" i="102"/>
  <c r="Z68" i="102"/>
  <c r="D69" i="102"/>
  <c r="O69" i="102"/>
  <c r="Y69" i="102"/>
  <c r="AH69" i="102"/>
  <c r="F73" i="102"/>
  <c r="O73" i="102"/>
  <c r="F74" i="102"/>
  <c r="O74" i="102"/>
  <c r="D75" i="102"/>
  <c r="L75" i="102"/>
  <c r="D76" i="102"/>
  <c r="O76" i="102"/>
  <c r="F80" i="102"/>
  <c r="O80" i="102"/>
  <c r="Z80" i="102"/>
  <c r="AH80" i="102"/>
  <c r="K81" i="102"/>
  <c r="U81" i="102"/>
  <c r="AD81" i="102"/>
  <c r="F82" i="102"/>
  <c r="P82" i="102"/>
  <c r="Z82" i="102"/>
  <c r="AJ82" i="102"/>
  <c r="K83" i="102"/>
  <c r="V83" i="102"/>
  <c r="AD83" i="102"/>
  <c r="U87" i="102"/>
  <c r="AC87" i="102"/>
  <c r="Y88" i="102"/>
  <c r="AJ88" i="102"/>
  <c r="U89" i="102"/>
  <c r="AD89" i="102"/>
  <c r="Y90" i="102"/>
  <c r="AJ90" i="102"/>
  <c r="L94" i="102"/>
  <c r="X94" i="102"/>
  <c r="AG94" i="102"/>
  <c r="K95" i="102"/>
  <c r="V95" i="102"/>
  <c r="AF95" i="102"/>
  <c r="J96" i="102"/>
  <c r="R96" i="102"/>
  <c r="AD96" i="102"/>
  <c r="G97" i="102"/>
  <c r="P97" i="102"/>
  <c r="G101" i="102"/>
  <c r="P101" i="102"/>
  <c r="D102" i="102"/>
  <c r="L102" i="102"/>
  <c r="Z102" i="102"/>
  <c r="F103" i="102"/>
  <c r="P103" i="102"/>
  <c r="AF103" i="102"/>
  <c r="K104" i="102"/>
  <c r="Y104" i="102"/>
  <c r="G10" i="105"/>
  <c r="P10" i="105"/>
  <c r="K11" i="105"/>
  <c r="D12" i="105"/>
  <c r="L12" i="105"/>
  <c r="G13" i="105"/>
  <c r="P13" i="105"/>
  <c r="J17" i="105"/>
  <c r="V17" i="105"/>
  <c r="AH17" i="105"/>
  <c r="K18" i="105"/>
  <c r="U18" i="105"/>
  <c r="AJ18" i="105"/>
  <c r="K19" i="105"/>
  <c r="U19" i="105"/>
  <c r="D20" i="105"/>
  <c r="O20" i="105"/>
  <c r="AC24" i="105"/>
  <c r="Z25" i="105"/>
  <c r="Y26" i="105"/>
  <c r="AH26" i="105"/>
  <c r="X27" i="105"/>
  <c r="L31" i="105"/>
  <c r="Z31" i="105"/>
  <c r="F32" i="105"/>
  <c r="O32" i="105"/>
  <c r="AF32" i="105"/>
  <c r="J33" i="105"/>
  <c r="R33" i="105"/>
  <c r="AH33" i="105"/>
  <c r="K34" i="105"/>
  <c r="Y34" i="105"/>
  <c r="G38" i="105"/>
  <c r="P38" i="105"/>
  <c r="D39" i="105"/>
  <c r="L39" i="105"/>
  <c r="AG39" i="105"/>
  <c r="J40" i="105"/>
  <c r="R40" i="105"/>
  <c r="D41" i="105"/>
  <c r="O41" i="105"/>
  <c r="AH41" i="105"/>
  <c r="AD48" i="105"/>
  <c r="L45" i="105"/>
  <c r="F46" i="105"/>
  <c r="O46" i="105"/>
  <c r="J47" i="105"/>
  <c r="R47" i="105"/>
  <c r="K48" i="105"/>
  <c r="F52" i="105"/>
  <c r="O52" i="105"/>
  <c r="Z52" i="105"/>
  <c r="D53" i="105"/>
  <c r="L53" i="105"/>
  <c r="Y53" i="105"/>
  <c r="AG53" i="105"/>
  <c r="K54" i="105"/>
  <c r="X54" i="105"/>
  <c r="AF54" i="105"/>
  <c r="J55" i="105"/>
  <c r="R55" i="105"/>
  <c r="X59" i="105"/>
  <c r="Z60" i="105"/>
  <c r="AF61" i="105"/>
  <c r="AH62" i="105"/>
  <c r="F66" i="105"/>
  <c r="O66" i="105"/>
  <c r="G67" i="105"/>
  <c r="R67" i="105"/>
  <c r="K68" i="105"/>
  <c r="D69" i="105"/>
  <c r="O69" i="105"/>
  <c r="AB73" i="105"/>
  <c r="AD76" i="105"/>
  <c r="L80" i="105"/>
  <c r="K81" i="105"/>
  <c r="J82" i="105"/>
  <c r="R82" i="105"/>
  <c r="G83" i="105"/>
  <c r="P83" i="105"/>
  <c r="L90" i="105"/>
  <c r="P90" i="105"/>
  <c r="G90" i="105"/>
  <c r="G87" i="105"/>
  <c r="P87" i="105"/>
  <c r="AG87" i="105"/>
  <c r="K88" i="105"/>
  <c r="Y88" i="105"/>
  <c r="D89" i="105"/>
  <c r="L89" i="105"/>
  <c r="Z89" i="105"/>
  <c r="J90" i="105"/>
  <c r="Y90" i="105"/>
  <c r="D41" i="81"/>
  <c r="I41" i="81"/>
  <c r="G42" i="81"/>
  <c r="G44" i="81"/>
  <c r="C47" i="81"/>
  <c r="C48" i="81"/>
  <c r="L55" i="81"/>
  <c r="P32" i="102"/>
  <c r="G73" i="102"/>
  <c r="P73" i="102"/>
  <c r="G76" i="102"/>
  <c r="P76" i="102"/>
  <c r="D81" i="102"/>
  <c r="L81" i="102"/>
  <c r="D83" i="102"/>
  <c r="O83" i="102"/>
  <c r="F94" i="102"/>
  <c r="O94" i="102"/>
  <c r="F102" i="102"/>
  <c r="O102" i="102"/>
  <c r="G66" i="105"/>
  <c r="P66" i="105"/>
  <c r="K67" i="105"/>
  <c r="D68" i="105"/>
  <c r="L68" i="105"/>
  <c r="G69" i="105"/>
  <c r="P69" i="105"/>
  <c r="AC73" i="105"/>
  <c r="H48" i="81"/>
  <c r="C60" i="81"/>
  <c r="K61" i="81"/>
  <c r="I73" i="81"/>
  <c r="C76" i="81"/>
  <c r="D81" i="81"/>
  <c r="D93" i="81"/>
  <c r="E124" i="81"/>
  <c r="AB17" i="107"/>
  <c r="AJ17" i="107"/>
  <c r="AC18" i="107"/>
  <c r="X19" i="107"/>
  <c r="AG19" i="107"/>
  <c r="Y20" i="107"/>
  <c r="AJ20" i="107"/>
  <c r="AH50" i="107"/>
  <c r="U53" i="107"/>
  <c r="X54" i="107"/>
  <c r="AC55" i="107"/>
  <c r="Y59" i="107"/>
  <c r="AF59" i="107"/>
  <c r="V60" i="107"/>
  <c r="AD60" i="107"/>
  <c r="U61" i="107"/>
  <c r="AB61" i="107"/>
  <c r="AJ61" i="107"/>
  <c r="Z62" i="107"/>
  <c r="AG62" i="107"/>
  <c r="U66" i="107"/>
  <c r="AC66" i="107"/>
  <c r="V67" i="107"/>
  <c r="AG67" i="107"/>
  <c r="Z68" i="107"/>
  <c r="AH68" i="107"/>
  <c r="AC69" i="107"/>
  <c r="AD73" i="107"/>
  <c r="AC74" i="107"/>
  <c r="AB75" i="107"/>
  <c r="Y76" i="107"/>
  <c r="AA26" i="109"/>
  <c r="M31" i="109"/>
  <c r="AD31" i="109"/>
  <c r="K32" i="109"/>
  <c r="AB32" i="109"/>
  <c r="J33" i="109"/>
  <c r="AE33" i="109"/>
  <c r="P34" i="109"/>
  <c r="I38" i="109"/>
  <c r="D39" i="109"/>
  <c r="H40" i="109"/>
  <c r="C41" i="109"/>
  <c r="P41" i="109"/>
  <c r="M52" i="109"/>
  <c r="P53" i="109"/>
  <c r="Q54" i="109"/>
  <c r="Q62" i="109"/>
  <c r="R62" i="109"/>
  <c r="K62" i="109"/>
  <c r="C62" i="109"/>
  <c r="M61" i="109"/>
  <c r="F61" i="109"/>
  <c r="N60" i="109"/>
  <c r="G60" i="109"/>
  <c r="F59" i="109"/>
  <c r="M59" i="109"/>
  <c r="C60" i="109"/>
  <c r="L60" i="109"/>
  <c r="H61" i="109"/>
  <c r="Q61" i="109"/>
  <c r="H62" i="109"/>
  <c r="N69" i="109"/>
  <c r="D69" i="109"/>
  <c r="M68" i="109"/>
  <c r="R67" i="109"/>
  <c r="H67" i="109"/>
  <c r="P66" i="109"/>
  <c r="E66" i="109"/>
  <c r="J66" i="109"/>
  <c r="G67" i="109"/>
  <c r="E68" i="109"/>
  <c r="P68" i="109"/>
  <c r="L69" i="109"/>
  <c r="AE18" i="108"/>
  <c r="AH22" i="108" a="1"/>
  <c r="AH22" i="108" s="1"/>
  <c r="AF24" i="108"/>
  <c r="AE25" i="108"/>
  <c r="U27" i="108"/>
  <c r="AH33" i="108"/>
  <c r="W32" i="108"/>
  <c r="AH29" i="108" a="1"/>
  <c r="AH29" i="108" s="1"/>
  <c r="AD33" i="108"/>
  <c r="Y31" i="108"/>
  <c r="AI32" i="108"/>
  <c r="E39" i="108"/>
  <c r="J40" i="108"/>
  <c r="P43" i="108" a="1"/>
  <c r="M45" i="108"/>
  <c r="E46" i="108"/>
  <c r="L51" i="81"/>
  <c r="K56" i="81"/>
  <c r="G59" i="81"/>
  <c r="H59" i="81" s="1"/>
  <c r="D60" i="81"/>
  <c r="C61" i="81"/>
  <c r="K64" i="81"/>
  <c r="C72" i="81"/>
  <c r="D76" i="81"/>
  <c r="D78" i="81"/>
  <c r="C80" i="81"/>
  <c r="F81" i="81"/>
  <c r="D89" i="81"/>
  <c r="F93" i="81"/>
  <c r="E119" i="81"/>
  <c r="AH15" i="107"/>
  <c r="AC17" i="107"/>
  <c r="V18" i="107"/>
  <c r="AG18" i="107"/>
  <c r="Y19" i="107"/>
  <c r="AH19" i="107"/>
  <c r="AC20" i="107"/>
  <c r="AD24" i="107"/>
  <c r="AH25" i="107"/>
  <c r="AJ26" i="107"/>
  <c r="V31" i="107"/>
  <c r="AD31" i="107"/>
  <c r="U32" i="107"/>
  <c r="AB32" i="107"/>
  <c r="AJ32" i="107"/>
  <c r="Z33" i="107"/>
  <c r="AG33" i="107"/>
  <c r="Y34" i="107"/>
  <c r="AF34" i="107"/>
  <c r="AH38" i="107"/>
  <c r="V40" i="107"/>
  <c r="X52" i="107"/>
  <c r="Y53" i="107"/>
  <c r="AD54" i="107"/>
  <c r="AF55" i="107"/>
  <c r="AH57" i="107"/>
  <c r="Z59" i="107"/>
  <c r="AG59" i="107"/>
  <c r="Y60" i="107"/>
  <c r="AF60" i="107"/>
  <c r="V61" i="107"/>
  <c r="AD61" i="107"/>
  <c r="U62" i="107"/>
  <c r="AB62" i="107"/>
  <c r="AJ62" i="107"/>
  <c r="V66" i="107"/>
  <c r="AF66" i="107"/>
  <c r="Z67" i="107"/>
  <c r="AH67" i="107"/>
  <c r="AB68" i="107"/>
  <c r="V69" i="107"/>
  <c r="AF69" i="107"/>
  <c r="AH71" i="107"/>
  <c r="AH73" i="107"/>
  <c r="AG74" i="107"/>
  <c r="AD75" i="107"/>
  <c r="AC76" i="107"/>
  <c r="H87" i="107"/>
  <c r="E88" i="107"/>
  <c r="R88" i="107"/>
  <c r="P89" i="107"/>
  <c r="P90" i="107"/>
  <c r="H94" i="107"/>
  <c r="Q94" i="107"/>
  <c r="H95" i="107"/>
  <c r="Q95" i="107"/>
  <c r="I96" i="107"/>
  <c r="Q96" i="107"/>
  <c r="J97" i="107"/>
  <c r="L101" i="107"/>
  <c r="H102" i="107"/>
  <c r="E103" i="107"/>
  <c r="E104" i="107"/>
  <c r="I10" i="109"/>
  <c r="R10" i="109"/>
  <c r="H11" i="109"/>
  <c r="R11" i="109"/>
  <c r="F12" i="109"/>
  <c r="N12" i="109"/>
  <c r="G13" i="109"/>
  <c r="AH17" i="109"/>
  <c r="AA19" i="109"/>
  <c r="E24" i="109"/>
  <c r="L24" i="109"/>
  <c r="R24" i="109"/>
  <c r="F25" i="109"/>
  <c r="L25" i="109"/>
  <c r="X25" i="109"/>
  <c r="H26" i="109"/>
  <c r="P26" i="109"/>
  <c r="C27" i="109"/>
  <c r="J27" i="109"/>
  <c r="P27" i="109"/>
  <c r="AF29" i="109"/>
  <c r="N31" i="109"/>
  <c r="AE31" i="109"/>
  <c r="P32" i="109"/>
  <c r="AF32" i="109"/>
  <c r="L33" i="109"/>
  <c r="F34" i="109"/>
  <c r="U34" i="109"/>
  <c r="M38" i="109"/>
  <c r="F39" i="109"/>
  <c r="I40" i="109"/>
  <c r="D41" i="109"/>
  <c r="L45" i="109"/>
  <c r="D46" i="109"/>
  <c r="X46" i="109"/>
  <c r="L47" i="109"/>
  <c r="R52" i="109"/>
  <c r="R53" i="109"/>
  <c r="G55" i="109"/>
  <c r="P57" i="109"/>
  <c r="H59" i="109"/>
  <c r="N59" i="109"/>
  <c r="F60" i="109"/>
  <c r="P60" i="109"/>
  <c r="I61" i="109"/>
  <c r="R61" i="109"/>
  <c r="L62" i="109"/>
  <c r="M66" i="109"/>
  <c r="J67" i="109"/>
  <c r="H68" i="109"/>
  <c r="C69" i="109"/>
  <c r="R69" i="109"/>
  <c r="L73" i="109"/>
  <c r="P74" i="109"/>
  <c r="F80" i="109"/>
  <c r="L81" i="109"/>
  <c r="F87" i="109"/>
  <c r="R87" i="109"/>
  <c r="L88" i="109"/>
  <c r="L89" i="109"/>
  <c r="H97" i="109"/>
  <c r="J96" i="109"/>
  <c r="K95" i="109"/>
  <c r="E94" i="109"/>
  <c r="P97" i="109"/>
  <c r="Q96" i="109"/>
  <c r="N95" i="109"/>
  <c r="R94" i="109"/>
  <c r="M94" i="109"/>
  <c r="D96" i="109"/>
  <c r="J97" i="109"/>
  <c r="AI13" i="108"/>
  <c r="AJ12" i="108"/>
  <c r="AG11" i="108"/>
  <c r="U10" i="108"/>
  <c r="AF13" i="108"/>
  <c r="AI11" i="108"/>
  <c r="AH8" i="108"/>
  <c r="AE12" i="108"/>
  <c r="X27" i="108"/>
  <c r="W31" i="108"/>
  <c r="AC34" i="108"/>
  <c r="E38" i="108"/>
  <c r="G39" i="108"/>
  <c r="R40" i="108"/>
  <c r="P46" i="108"/>
  <c r="E47" i="108"/>
  <c r="AI62" i="108"/>
  <c r="AE61" i="108"/>
  <c r="AA59" i="108"/>
  <c r="U62" i="108"/>
  <c r="AJ76" i="108" a="1"/>
  <c r="AJ76" i="108" s="1"/>
  <c r="W76" i="108" a="1"/>
  <c r="W76" i="108" s="1"/>
  <c r="AI75" i="108" a="1"/>
  <c r="AI75" i="108" s="1"/>
  <c r="AF75" i="108" a="1"/>
  <c r="AF75" i="108" s="1"/>
  <c r="AC75" i="108" a="1"/>
  <c r="AC75" i="108" s="1"/>
  <c r="W75" i="108" a="1"/>
  <c r="W75" i="108" s="1"/>
  <c r="AH74" i="108" a="1"/>
  <c r="AH74" i="108" s="1"/>
  <c r="AE74" i="108" a="1"/>
  <c r="AE74" i="108" s="1"/>
  <c r="AA74" i="108" a="1"/>
  <c r="AA74" i="108" s="1"/>
  <c r="X74" i="108" a="1"/>
  <c r="X74" i="108" s="1"/>
  <c r="AH73" i="108" a="1"/>
  <c r="AH73" i="108" s="1"/>
  <c r="X73" i="108" a="1"/>
  <c r="X73" i="108" s="1"/>
  <c r="AH71" i="108" a="1"/>
  <c r="AH71" i="108" s="1"/>
  <c r="AE76" i="108" a="1"/>
  <c r="AE76" i="108" s="1"/>
  <c r="Y76" i="108" a="1"/>
  <c r="Y76" i="108" s="1"/>
  <c r="AH75" i="108" a="1"/>
  <c r="AH75" i="108" s="1"/>
  <c r="AE75" i="108" a="1"/>
  <c r="AE75" i="108" s="1"/>
  <c r="Z75" i="108" a="1"/>
  <c r="Z75" i="108" s="1"/>
  <c r="V75" i="108" a="1"/>
  <c r="V75" i="108" s="1"/>
  <c r="AF74" i="108" a="1"/>
  <c r="AF74" i="108" s="1"/>
  <c r="Z74" i="108" a="1"/>
  <c r="Z74" i="108" s="1"/>
  <c r="V74" i="108" a="1"/>
  <c r="V74" i="108" s="1"/>
  <c r="AB73" i="108" a="1"/>
  <c r="AB73" i="108" s="1"/>
  <c r="AC76" i="108" a="1"/>
  <c r="AC76" i="108" s="1"/>
  <c r="U76" i="108" a="1"/>
  <c r="U76" i="108" s="1"/>
  <c r="AD75" i="108" a="1"/>
  <c r="AD75" i="108" s="1"/>
  <c r="Y75" i="108" a="1"/>
  <c r="Y75" i="108" s="1"/>
  <c r="U75" i="108" a="1"/>
  <c r="U75" i="108" s="1"/>
  <c r="AI74" i="108" a="1"/>
  <c r="AI74" i="108" s="1"/>
  <c r="AD74" i="108" a="1"/>
  <c r="AD74" i="108" s="1"/>
  <c r="U74" i="108" a="1"/>
  <c r="U74" i="108" s="1"/>
  <c r="Z73" i="108" a="1"/>
  <c r="Z73" i="108" s="1"/>
  <c r="V73" i="108" a="1"/>
  <c r="V73" i="108" s="1"/>
  <c r="AJ73" i="108" a="1"/>
  <c r="AJ73" i="108" s="1"/>
  <c r="AB74" i="108" a="1"/>
  <c r="AB74" i="108" s="1"/>
  <c r="AJ74" i="108" a="1"/>
  <c r="AJ74" i="108" s="1"/>
  <c r="AA75" i="108" a="1"/>
  <c r="AA75" i="108" s="1"/>
  <c r="AJ75" i="108" a="1"/>
  <c r="AJ75" i="108" s="1"/>
  <c r="AG76" i="108" a="1"/>
  <c r="AG76" i="108" s="1"/>
  <c r="AD87" i="108" a="1"/>
  <c r="AD87" i="108" s="1"/>
  <c r="AD88" i="108" a="1"/>
  <c r="AD88" i="108" s="1"/>
  <c r="AG94" i="105"/>
  <c r="AH96" i="105"/>
  <c r="G101" i="105"/>
  <c r="P101" i="105"/>
  <c r="K102" i="105"/>
  <c r="D103" i="105"/>
  <c r="L103" i="105"/>
  <c r="G104" i="105"/>
  <c r="P104" i="105"/>
  <c r="K40" i="81"/>
  <c r="M40" i="81" s="1"/>
  <c r="C51" i="81"/>
  <c r="K52" i="81"/>
  <c r="M52" i="81" s="1"/>
  <c r="C56" i="81"/>
  <c r="E56" i="81" s="1"/>
  <c r="K57" i="81"/>
  <c r="L59" i="81"/>
  <c r="I60" i="81"/>
  <c r="D61" i="81"/>
  <c r="C64" i="81"/>
  <c r="E64" i="81" s="1"/>
  <c r="C68" i="81"/>
  <c r="F72" i="81"/>
  <c r="J78" i="81"/>
  <c r="K78" i="81" s="1"/>
  <c r="F80" i="81"/>
  <c r="J87" i="81"/>
  <c r="F89" i="81"/>
  <c r="F92" i="81"/>
  <c r="E111" i="81"/>
  <c r="V17" i="107"/>
  <c r="AD17" i="107"/>
  <c r="Y18" i="107"/>
  <c r="AH18" i="107"/>
  <c r="AB19" i="107"/>
  <c r="V20" i="107"/>
  <c r="AJ24" i="107"/>
  <c r="U26" i="107"/>
  <c r="Y31" i="107"/>
  <c r="AF31" i="107"/>
  <c r="V32" i="107"/>
  <c r="AD32" i="107"/>
  <c r="U33" i="107"/>
  <c r="AB33" i="107"/>
  <c r="AJ33" i="107"/>
  <c r="Z34" i="107"/>
  <c r="AG34" i="107"/>
  <c r="Z52" i="107"/>
  <c r="AF53" i="107"/>
  <c r="AH54" i="107"/>
  <c r="AJ55" i="107"/>
  <c r="U59" i="107"/>
  <c r="AB59" i="107"/>
  <c r="AJ59" i="107"/>
  <c r="Z60" i="107"/>
  <c r="AG60" i="107"/>
  <c r="Y61" i="107"/>
  <c r="AF61" i="107"/>
  <c r="V62" i="107"/>
  <c r="AD62" i="107"/>
  <c r="X66" i="107"/>
  <c r="AH66" i="107"/>
  <c r="AB67" i="107"/>
  <c r="U68" i="107"/>
  <c r="AF68" i="107"/>
  <c r="X69" i="107"/>
  <c r="AG69" i="107"/>
  <c r="X73" i="107"/>
  <c r="V74" i="107"/>
  <c r="AJ74" i="107"/>
  <c r="AH75" i="107"/>
  <c r="AG76" i="107"/>
  <c r="L87" i="107"/>
  <c r="H88" i="107"/>
  <c r="E89" i="107"/>
  <c r="E90" i="107"/>
  <c r="I94" i="107"/>
  <c r="R94" i="107"/>
  <c r="J95" i="107"/>
  <c r="R95" i="107"/>
  <c r="J96" i="107"/>
  <c r="D97" i="107"/>
  <c r="AB10" i="109"/>
  <c r="V11" i="109"/>
  <c r="F24" i="109"/>
  <c r="M24" i="109"/>
  <c r="Z24" i="109"/>
  <c r="G25" i="109"/>
  <c r="O25" i="109"/>
  <c r="AD25" i="109"/>
  <c r="J26" i="109"/>
  <c r="Q26" i="109"/>
  <c r="D27" i="109"/>
  <c r="K27" i="109"/>
  <c r="AH27" i="109"/>
  <c r="D31" i="109"/>
  <c r="V31" i="109"/>
  <c r="F32" i="109"/>
  <c r="R32" i="109"/>
  <c r="AH32" i="109"/>
  <c r="P33" i="109"/>
  <c r="K34" i="109"/>
  <c r="AB34" i="109"/>
  <c r="D38" i="109"/>
  <c r="N38" i="109"/>
  <c r="K39" i="109"/>
  <c r="N40" i="109"/>
  <c r="AB46" i="109"/>
  <c r="E52" i="109"/>
  <c r="D53" i="109"/>
  <c r="J54" i="109"/>
  <c r="I59" i="109"/>
  <c r="Q59" i="109"/>
  <c r="H60" i="109"/>
  <c r="R60" i="109"/>
  <c r="L61" i="109"/>
  <c r="F62" i="109"/>
  <c r="N62" i="109"/>
  <c r="D66" i="109"/>
  <c r="R66" i="109"/>
  <c r="N67" i="109"/>
  <c r="I68" i="109"/>
  <c r="G69" i="109"/>
  <c r="K76" i="109"/>
  <c r="I75" i="109"/>
  <c r="C74" i="109"/>
  <c r="D73" i="109"/>
  <c r="Q73" i="109"/>
  <c r="N75" i="109"/>
  <c r="J83" i="109"/>
  <c r="J82" i="109"/>
  <c r="D81" i="109"/>
  <c r="O83" i="109"/>
  <c r="M80" i="109"/>
  <c r="R81" i="109"/>
  <c r="Q90" i="109"/>
  <c r="R90" i="109"/>
  <c r="K90" i="109"/>
  <c r="C90" i="109"/>
  <c r="M89" i="109"/>
  <c r="F89" i="109"/>
  <c r="N88" i="109"/>
  <c r="G88" i="109"/>
  <c r="Q87" i="109"/>
  <c r="I87" i="109"/>
  <c r="L90" i="109"/>
  <c r="R89" i="109"/>
  <c r="I89" i="109"/>
  <c r="P88" i="109"/>
  <c r="F88" i="109"/>
  <c r="M87" i="109"/>
  <c r="D87" i="109"/>
  <c r="H87" i="109"/>
  <c r="C88" i="109"/>
  <c r="R88" i="109"/>
  <c r="N89" i="109"/>
  <c r="H90" i="109"/>
  <c r="AE20" i="108"/>
  <c r="AJ17" i="108"/>
  <c r="AH20" i="108"/>
  <c r="AH15" i="108" a="1"/>
  <c r="AH15" i="108" s="1"/>
  <c r="Y24" i="108"/>
  <c r="U25" i="108"/>
  <c r="Y26" i="108"/>
  <c r="G38" i="108"/>
  <c r="N39" i="108"/>
  <c r="AI90" i="108" a="1"/>
  <c r="AI90" i="108" s="1"/>
  <c r="AF90" i="108" a="1"/>
  <c r="AF90" i="108" s="1"/>
  <c r="Z90" i="108" a="1"/>
  <c r="Z90" i="108" s="1"/>
  <c r="AJ89" i="108" a="1"/>
  <c r="AJ89" i="108" s="1"/>
  <c r="AD89" i="108" a="1"/>
  <c r="AD89" i="108" s="1"/>
  <c r="AH88" i="108" a="1"/>
  <c r="AH88" i="108" s="1"/>
  <c r="AB88" i="108" a="1"/>
  <c r="AB88" i="108" s="1"/>
  <c r="X88" i="108" a="1"/>
  <c r="X88" i="108" s="1"/>
  <c r="AH87" i="108" a="1"/>
  <c r="AH87" i="108" s="1"/>
  <c r="AB87" i="108" a="1"/>
  <c r="AB87" i="108" s="1"/>
  <c r="V87" i="108" a="1"/>
  <c r="V87" i="108" s="1"/>
  <c r="AH90" i="108" a="1"/>
  <c r="AH90" i="108" s="1"/>
  <c r="AB90" i="108" a="1"/>
  <c r="AB90" i="108" s="1"/>
  <c r="AH89" i="108" a="1"/>
  <c r="AH89" i="108" s="1"/>
  <c r="AJ88" i="108" a="1"/>
  <c r="AJ88" i="108" s="1"/>
  <c r="Z89" i="108" a="1"/>
  <c r="Z89" i="108" s="1"/>
  <c r="Z88" i="108" a="1"/>
  <c r="Z88" i="108" s="1"/>
  <c r="AJ87" i="108" a="1"/>
  <c r="AJ87" i="108" s="1"/>
  <c r="AH85" i="108" a="1"/>
  <c r="AH85" i="108" s="1"/>
  <c r="AF87" i="108" a="1"/>
  <c r="AF87" i="108" s="1"/>
  <c r="AF88" i="108" a="1"/>
  <c r="AF88" i="108" s="1"/>
  <c r="AF89" i="108" a="1"/>
  <c r="AF89" i="108" s="1"/>
  <c r="AD90" i="108" a="1"/>
  <c r="AD90" i="108" s="1"/>
  <c r="K60" i="81"/>
  <c r="AH52" i="107"/>
  <c r="AJ53" i="107"/>
  <c r="AB66" i="107"/>
  <c r="U67" i="107"/>
  <c r="AC67" i="107"/>
  <c r="X68" i="107"/>
  <c r="AG68" i="107"/>
  <c r="AH94" i="107"/>
  <c r="I31" i="109"/>
  <c r="G32" i="109"/>
  <c r="E33" i="109"/>
  <c r="AE27" i="108"/>
  <c r="AI26" i="108"/>
  <c r="AB25" i="108"/>
  <c r="AI24" i="108"/>
  <c r="AJ27" i="108"/>
  <c r="AG26" i="108"/>
  <c r="AJ25" i="108"/>
  <c r="AA24" i="108"/>
  <c r="W25" i="108"/>
  <c r="AB26" i="108"/>
  <c r="I41" i="108"/>
  <c r="I40" i="108"/>
  <c r="J39" i="108"/>
  <c r="N38" i="108"/>
  <c r="E41" i="108"/>
  <c r="R39" i="108"/>
  <c r="O38" i="108"/>
  <c r="I38" i="108"/>
  <c r="E40" i="108"/>
  <c r="K48" i="108"/>
  <c r="P45" i="108"/>
  <c r="H46" i="108"/>
  <c r="E45" i="108"/>
  <c r="H48" i="108"/>
  <c r="X34" i="110"/>
  <c r="Y32" i="110"/>
  <c r="X31" i="110"/>
  <c r="Z31" i="110"/>
  <c r="U32" i="110"/>
  <c r="M83" i="108" a="1"/>
  <c r="M83" i="108" s="1"/>
  <c r="R81" i="108" a="1"/>
  <c r="R81" i="108" s="1"/>
  <c r="R80" i="108" a="1"/>
  <c r="R80" i="108" s="1"/>
  <c r="P80" i="108" a="1"/>
  <c r="P80" i="108" s="1"/>
  <c r="Y80" i="108" a="1"/>
  <c r="Y80" i="108" s="1"/>
  <c r="AE80" i="108" a="1"/>
  <c r="AE80" i="108" s="1"/>
  <c r="G81" i="108" a="1"/>
  <c r="G81" i="108" s="1"/>
  <c r="Y81" i="108" a="1"/>
  <c r="Y81" i="108" s="1"/>
  <c r="AE81" i="108" a="1"/>
  <c r="AE81" i="108" s="1"/>
  <c r="AB82" i="108" a="1"/>
  <c r="AB82" i="108" s="1"/>
  <c r="AF82" i="108" a="1"/>
  <c r="AF82" i="108" s="1"/>
  <c r="U83" i="108" a="1"/>
  <c r="U83" i="108" s="1"/>
  <c r="M97" i="108" a="1"/>
  <c r="M97" i="108" s="1"/>
  <c r="E97" i="108" a="1"/>
  <c r="O96" i="108" a="1"/>
  <c r="F96" i="108" a="1"/>
  <c r="F96" i="108" s="1"/>
  <c r="Q95" i="108" a="1"/>
  <c r="Q95" i="108" s="1"/>
  <c r="I95" i="108" a="1"/>
  <c r="Q94" i="108" a="1"/>
  <c r="D94" i="108" a="1"/>
  <c r="D94" i="108" s="1"/>
  <c r="I94" i="108" a="1"/>
  <c r="I94" i="108" s="1"/>
  <c r="R94" i="108" a="1"/>
  <c r="R94" i="108" s="1"/>
  <c r="E95" i="108" a="1"/>
  <c r="O95" i="108" a="1"/>
  <c r="I96" i="108" a="1"/>
  <c r="R96" i="108" a="1"/>
  <c r="R96" i="108" s="1"/>
  <c r="L97" i="108" a="1"/>
  <c r="L97" i="108" s="1"/>
  <c r="I13" i="110"/>
  <c r="P10" i="110"/>
  <c r="L10" i="110"/>
  <c r="I11" i="110"/>
  <c r="I12" i="110"/>
  <c r="D24" i="110"/>
  <c r="R24" i="110"/>
  <c r="M25" i="110"/>
  <c r="H26" i="110"/>
  <c r="E27" i="110"/>
  <c r="C31" i="110"/>
  <c r="N31" i="110"/>
  <c r="C32" i="110"/>
  <c r="K32" i="110"/>
  <c r="C33" i="110"/>
  <c r="P33" i="110"/>
  <c r="AI83" i="108" a="1"/>
  <c r="AI83" i="108" s="1"/>
  <c r="AF83" i="108" a="1"/>
  <c r="AF83" i="108" s="1"/>
  <c r="AB83" i="108" a="1"/>
  <c r="AB83" i="108" s="1"/>
  <c r="W83" i="108" a="1"/>
  <c r="W83" i="108" s="1"/>
  <c r="AH82" i="108" a="1"/>
  <c r="AH82" i="108" s="1"/>
  <c r="Z82" i="108" a="1"/>
  <c r="Z82" i="108" s="1"/>
  <c r="U82" i="108" a="1"/>
  <c r="U82" i="108" s="1"/>
  <c r="AG81" i="108" a="1"/>
  <c r="AG81" i="108" s="1"/>
  <c r="X81" i="108" a="1"/>
  <c r="X81" i="108" s="1"/>
  <c r="AG80" i="108" a="1"/>
  <c r="AG80" i="108" s="1"/>
  <c r="X80" i="108" a="1"/>
  <c r="X80" i="108" s="1"/>
  <c r="AH78" i="108" a="1"/>
  <c r="AH78" i="108" s="1"/>
  <c r="Z80" i="108" a="1"/>
  <c r="Z80" i="108" s="1"/>
  <c r="AF80" i="108" a="1"/>
  <c r="AF80" i="108" s="1"/>
  <c r="Z81" i="108" a="1"/>
  <c r="Z81" i="108" s="1"/>
  <c r="AF81" i="108" a="1"/>
  <c r="AF81" i="108" s="1"/>
  <c r="W82" i="108" a="1"/>
  <c r="W82" i="108" s="1"/>
  <c r="AG82" i="108" a="1"/>
  <c r="AG82" i="108" s="1"/>
  <c r="X83" i="108" a="1"/>
  <c r="X83" i="108" s="1"/>
  <c r="AC83" i="108" a="1"/>
  <c r="AC83" i="108" s="1"/>
  <c r="AJ83" i="108" a="1"/>
  <c r="AJ83" i="108" s="1"/>
  <c r="AC97" i="108" a="1"/>
  <c r="AC97" i="108" s="1"/>
  <c r="AJ94" i="108" a="1"/>
  <c r="AJ94" i="108" s="1"/>
  <c r="V94" i="108" a="1"/>
  <c r="V94" i="108" s="1"/>
  <c r="AG20" i="110"/>
  <c r="Y19" i="110"/>
  <c r="AJ17" i="110"/>
  <c r="Y18" i="110"/>
  <c r="P27" i="110"/>
  <c r="M27" i="110"/>
  <c r="D27" i="110"/>
  <c r="J26" i="110"/>
  <c r="R25" i="110"/>
  <c r="H25" i="110"/>
  <c r="N24" i="110"/>
  <c r="E24" i="110"/>
  <c r="H24" i="110"/>
  <c r="D25" i="110"/>
  <c r="N25" i="110"/>
  <c r="M26" i="110"/>
  <c r="H27" i="110"/>
  <c r="L34" i="110"/>
  <c r="C34" i="110"/>
  <c r="K33" i="110"/>
  <c r="R34" i="110"/>
  <c r="F34" i="110"/>
  <c r="J33" i="110"/>
  <c r="N32" i="110"/>
  <c r="F32" i="110"/>
  <c r="K31" i="110"/>
  <c r="D31" i="110"/>
  <c r="F31" i="110"/>
  <c r="O31" i="110"/>
  <c r="D32" i="110"/>
  <c r="O32" i="110"/>
  <c r="D33" i="110"/>
  <c r="R33" i="110"/>
  <c r="R76" i="110"/>
  <c r="F76" i="110"/>
  <c r="P75" i="110"/>
  <c r="H74" i="110"/>
  <c r="N73" i="110"/>
  <c r="F73" i="110"/>
  <c r="P76" i="110"/>
  <c r="C76" i="110"/>
  <c r="K75" i="110"/>
  <c r="R74" i="110"/>
  <c r="C74" i="110"/>
  <c r="L73" i="110"/>
  <c r="P73" i="110"/>
  <c r="F75" i="110"/>
  <c r="H76" i="110"/>
  <c r="L101" i="109"/>
  <c r="M102" i="109"/>
  <c r="N103" i="109"/>
  <c r="R24" i="108"/>
  <c r="Q26" i="108"/>
  <c r="AE45" i="108"/>
  <c r="U46" i="108"/>
  <c r="AH46" i="108"/>
  <c r="W47" i="108"/>
  <c r="AI47" i="108"/>
  <c r="Z52" i="108"/>
  <c r="AI52" i="108"/>
  <c r="AC53" i="108"/>
  <c r="U54" i="108"/>
  <c r="AD54" i="108"/>
  <c r="W55" i="108"/>
  <c r="AH55" i="108"/>
  <c r="R74" i="108"/>
  <c r="M75" i="108"/>
  <c r="Q101" i="108" a="1"/>
  <c r="C103" i="108" a="1"/>
  <c r="AH10" i="110"/>
  <c r="AD11" i="110"/>
  <c r="V48" i="110"/>
  <c r="AF46" i="110"/>
  <c r="Y45" i="110"/>
  <c r="AG47" i="110"/>
  <c r="H54" i="110"/>
  <c r="J53" i="110"/>
  <c r="P52" i="110"/>
  <c r="E55" i="110"/>
  <c r="H62" i="110"/>
  <c r="L61" i="110"/>
  <c r="G60" i="110"/>
  <c r="K59" i="110"/>
  <c r="D62" i="110"/>
  <c r="K61" i="110"/>
  <c r="O60" i="110"/>
  <c r="F59" i="110"/>
  <c r="H61" i="110"/>
  <c r="N62" i="110"/>
  <c r="H75" i="110"/>
  <c r="L76" i="110"/>
  <c r="C80" i="110" a="1"/>
  <c r="P82" i="110" a="1"/>
  <c r="E87" i="110" a="1"/>
  <c r="E87" i="110" s="1"/>
  <c r="Q89" i="110" a="1"/>
  <c r="Q89" i="110" s="1"/>
  <c r="G73" i="110"/>
  <c r="K74" i="110"/>
  <c r="R75" i="110"/>
  <c r="K83" i="110" a="1"/>
  <c r="F82" i="110" a="1"/>
  <c r="F82" i="110" s="1"/>
  <c r="Q81" i="110" a="1"/>
  <c r="Q80" i="110" a="1"/>
  <c r="Q80" i="110" s="1"/>
  <c r="F83" i="110" a="1"/>
  <c r="F83" i="110" s="1"/>
  <c r="G81" i="110" a="1"/>
  <c r="L80" i="110" a="1"/>
  <c r="L80" i="110" s="1"/>
  <c r="H80" i="110" a="1"/>
  <c r="H80" i="110" s="1"/>
  <c r="C81" i="110" a="1"/>
  <c r="L87" i="110" a="1"/>
  <c r="H73" i="110"/>
  <c r="L74" i="110"/>
  <c r="R90" i="110" a="1"/>
  <c r="F90" i="110" a="1"/>
  <c r="R89" i="110" a="1"/>
  <c r="O88" i="110" a="1"/>
  <c r="O88" i="110" s="1"/>
  <c r="J88" i="110" a="1"/>
  <c r="G87" i="110" a="1"/>
  <c r="G87" i="110" s="1"/>
  <c r="K90" i="110" a="1"/>
  <c r="K90" i="110" s="1"/>
  <c r="P89" i="110" a="1"/>
  <c r="P89" i="110" s="1"/>
  <c r="I89" i="110" a="1"/>
  <c r="I89" i="110" s="1"/>
  <c r="D89" i="110" a="1"/>
  <c r="R88" i="110" a="1"/>
  <c r="M88" i="110" a="1"/>
  <c r="M88" i="110" s="1"/>
  <c r="G88" i="110" a="1"/>
  <c r="G88" i="110" s="1"/>
  <c r="P87" i="110" a="1"/>
  <c r="I87" i="110" a="1"/>
  <c r="I87" i="110" s="1"/>
  <c r="I90" i="110" a="1"/>
  <c r="I90" i="110" s="1"/>
  <c r="M89" i="110" a="1"/>
  <c r="M89" i="110" s="1"/>
  <c r="G89" i="110" a="1"/>
  <c r="G89" i="110" s="1"/>
  <c r="Q88" i="110" a="1"/>
  <c r="Q88" i="110" s="1"/>
  <c r="L88" i="110" a="1"/>
  <c r="L88" i="110" s="1"/>
  <c r="D88" i="110" a="1"/>
  <c r="O87" i="110" a="1"/>
  <c r="O87" i="110" s="1"/>
  <c r="H87" i="110" a="1"/>
  <c r="D87" i="110" a="1"/>
  <c r="D87" i="110" s="1"/>
  <c r="R87" i="110" a="1"/>
  <c r="E89" i="110" a="1"/>
  <c r="E89" i="110" s="1"/>
  <c r="O90" i="110" a="1"/>
  <c r="O90" i="110" s="1"/>
  <c r="AB80" i="110" a="1"/>
  <c r="AB80" i="110" s="1"/>
  <c r="AF80" i="110" a="1"/>
  <c r="Y81" i="110" a="1"/>
  <c r="AD81" i="110" a="1"/>
  <c r="AD81" i="110" s="1"/>
  <c r="AJ81" i="110" a="1"/>
  <c r="AJ81" i="110" s="1"/>
  <c r="V82" i="110" a="1"/>
  <c r="AA82" i="110" a="1"/>
  <c r="AE82" i="110" a="1"/>
  <c r="W83" i="110" a="1"/>
  <c r="W83" i="110" s="1"/>
  <c r="AI83" i="110" a="1"/>
  <c r="AJ88" i="110" a="1"/>
  <c r="W89" i="110" a="1"/>
  <c r="W89" i="110" s="1"/>
  <c r="C94" i="110" a="1"/>
  <c r="C94" i="110" s="1"/>
  <c r="H94" i="110" a="1"/>
  <c r="L94" i="110" a="1"/>
  <c r="Q94" i="110" a="1"/>
  <c r="Q94" i="110" s="1"/>
  <c r="AD94" i="110" a="1"/>
  <c r="AD94" i="110" s="1"/>
  <c r="H95" i="110" a="1"/>
  <c r="M95" i="110" a="1"/>
  <c r="M95" i="110" s="1"/>
  <c r="R95" i="110" a="1"/>
  <c r="AB95" i="110" a="1"/>
  <c r="AB95" i="110" s="1"/>
  <c r="D96" i="110" a="1"/>
  <c r="J96" i="110" a="1"/>
  <c r="O96" i="110" a="1"/>
  <c r="V96" i="110" a="1"/>
  <c r="V96" i="110" s="1"/>
  <c r="AG96" i="110" a="1"/>
  <c r="G97" i="110" a="1"/>
  <c r="L97" i="110" a="1"/>
  <c r="R97" i="110" a="1"/>
  <c r="R97" i="110" s="1"/>
  <c r="O101" i="110" a="1"/>
  <c r="AB101" i="110" a="1"/>
  <c r="J102" i="110" a="1"/>
  <c r="AA102" i="110" a="1"/>
  <c r="AA102" i="110" s="1"/>
  <c r="U103" i="110" a="1"/>
  <c r="AF103" i="110" a="1"/>
  <c r="AA104" i="110" a="1"/>
  <c r="AD38" i="110"/>
  <c r="AA39" i="110"/>
  <c r="AA40" i="110"/>
  <c r="X41" i="110"/>
  <c r="G45" i="110"/>
  <c r="K46" i="110"/>
  <c r="N47" i="110"/>
  <c r="AJ54" i="110"/>
  <c r="AE55" i="110"/>
  <c r="AE68" i="110"/>
  <c r="AE74" i="110" a="1"/>
  <c r="AH78" i="110" a="1"/>
  <c r="AH78" i="110" s="1"/>
  <c r="X80" i="110" a="1"/>
  <c r="X80" i="110" s="1"/>
  <c r="AC80" i="110" a="1"/>
  <c r="AH80" i="110" a="1"/>
  <c r="Z81" i="110" a="1"/>
  <c r="AF81" i="110" a="1"/>
  <c r="AF81" i="110" s="1"/>
  <c r="AB82" i="110" a="1"/>
  <c r="AF82" i="110" a="1"/>
  <c r="Y83" i="110" a="1"/>
  <c r="AD83" i="110" a="1"/>
  <c r="AD83" i="110" s="1"/>
  <c r="AD89" i="110" a="1"/>
  <c r="P92" i="110" a="1"/>
  <c r="P92" i="110" s="1"/>
  <c r="D94" i="110" a="1"/>
  <c r="I94" i="110" a="1"/>
  <c r="I94" i="110" s="1"/>
  <c r="M94" i="110" a="1"/>
  <c r="M94" i="110" s="1"/>
  <c r="X94" i="110" a="1"/>
  <c r="AH94" i="110" a="1"/>
  <c r="E95" i="110" a="1"/>
  <c r="E95" i="110" s="1"/>
  <c r="J95" i="110" a="1"/>
  <c r="N95" i="110" a="1"/>
  <c r="U95" i="110" a="1"/>
  <c r="AF95" i="110" a="1"/>
  <c r="F96" i="110" a="1"/>
  <c r="K96" i="110" a="1"/>
  <c r="P96" i="110" a="1"/>
  <c r="Z96" i="110" a="1"/>
  <c r="Z96" i="110" s="1"/>
  <c r="C97" i="110" a="1"/>
  <c r="H97" i="110" a="1"/>
  <c r="N97" i="110" a="1"/>
  <c r="V97" i="110" a="1"/>
  <c r="V97" i="110" s="1"/>
  <c r="U101" i="110" a="1"/>
  <c r="AF101" i="110" a="1"/>
  <c r="O102" i="110" a="1"/>
  <c r="AB102" i="110" a="1"/>
  <c r="AB102" i="110" s="1"/>
  <c r="W103" i="110" a="1"/>
  <c r="AG103" i="110" a="1"/>
  <c r="AB104" i="110" a="1"/>
  <c r="E94" i="110" a="1"/>
  <c r="E94" i="110" s="1"/>
  <c r="N94" i="110" a="1"/>
  <c r="Y94" i="110" a="1"/>
  <c r="AJ94" i="110" a="1"/>
  <c r="F95" i="110" a="1"/>
  <c r="F95" i="110" s="1"/>
  <c r="K95" i="110" a="1"/>
  <c r="K95" i="110" s="1"/>
  <c r="O95" i="110" a="1"/>
  <c r="O95" i="110" s="1"/>
  <c r="V95" i="110" a="1"/>
  <c r="AG95" i="110" a="1"/>
  <c r="AG95" i="110" s="1"/>
  <c r="G96" i="110" a="1"/>
  <c r="L96" i="110" a="1"/>
  <c r="R96" i="110" a="1"/>
  <c r="AB96" i="110" a="1"/>
  <c r="AB96" i="110" s="1"/>
  <c r="D97" i="110" a="1"/>
  <c r="J97" i="110" a="1"/>
  <c r="O97" i="110" a="1"/>
  <c r="AB97" i="110" a="1"/>
  <c r="AB97" i="110" s="1"/>
  <c r="E101" i="110" a="1"/>
  <c r="W101" i="110" a="1"/>
  <c r="AG101" i="110" a="1"/>
  <c r="U102" i="110" a="1"/>
  <c r="U102" i="110" s="1"/>
  <c r="AF102" i="110" a="1"/>
  <c r="AA103" i="110" a="1"/>
  <c r="U104" i="110" a="1"/>
  <c r="AF104" i="110" a="1"/>
  <c r="AF104" i="110" s="1"/>
  <c r="Z87" i="110" a="1"/>
  <c r="AD88" i="110" a="1"/>
  <c r="F94" i="110" a="1"/>
  <c r="K94" i="110" a="1"/>
  <c r="K94" i="110" s="1"/>
  <c r="P94" i="110" a="1"/>
  <c r="AC94" i="110" a="1"/>
  <c r="C95" i="110" a="1"/>
  <c r="C95" i="110" s="1"/>
  <c r="G95" i="110" a="1"/>
  <c r="G95" i="110" s="1"/>
  <c r="P95" i="110" a="1"/>
  <c r="Z95" i="110" a="1"/>
  <c r="C96" i="110" a="1"/>
  <c r="H96" i="110" a="1"/>
  <c r="H96" i="110" s="1"/>
  <c r="N96" i="110" a="1"/>
  <c r="U96" i="110" a="1"/>
  <c r="AF96" i="110" a="1"/>
  <c r="F97" i="110" a="1"/>
  <c r="F97" i="110" s="1"/>
  <c r="K97" i="110" a="1"/>
  <c r="AG97" i="110" a="1"/>
  <c r="J101" i="110" a="1"/>
  <c r="AA101" i="110" a="1"/>
  <c r="W102" i="110" a="1"/>
  <c r="AG102" i="110" a="1"/>
  <c r="AB103" i="110" a="1"/>
  <c r="W104" i="110" a="1"/>
  <c r="W104" i="110" s="1"/>
  <c r="T41" i="117"/>
  <c r="T42" i="117"/>
  <c r="T63" i="117"/>
  <c r="T66" i="117"/>
  <c r="T49" i="117"/>
  <c r="T50" i="117"/>
  <c r="T56" i="117"/>
  <c r="T57" i="117"/>
  <c r="D13" i="117"/>
  <c r="T39" i="117"/>
  <c r="T40" i="117"/>
  <c r="T64" i="117"/>
  <c r="T65" i="117"/>
  <c r="T47" i="117"/>
  <c r="T48" i="117"/>
  <c r="T55" i="117"/>
  <c r="T58" i="117"/>
  <c r="T37" i="115"/>
  <c r="T38" i="115"/>
  <c r="T62" i="115"/>
  <c r="T63" i="115"/>
  <c r="F11" i="115"/>
  <c r="T45" i="115"/>
  <c r="T46" i="115"/>
  <c r="T52" i="115"/>
  <c r="T53" i="115"/>
  <c r="T36" i="115"/>
  <c r="T39" i="115"/>
  <c r="T60" i="115"/>
  <c r="T61" i="115"/>
  <c r="T44" i="115"/>
  <c r="T47" i="115"/>
  <c r="T54" i="115"/>
  <c r="T55" i="115"/>
  <c r="H88" i="101"/>
  <c r="S89" i="101"/>
  <c r="E87" i="101"/>
  <c r="L88" i="101"/>
  <c r="F90" i="101"/>
  <c r="I87" i="101"/>
  <c r="C89" i="101"/>
  <c r="R90" i="101"/>
  <c r="M87" i="101"/>
  <c r="K89" i="101"/>
  <c r="D122" i="101"/>
  <c r="D88" i="101"/>
  <c r="G89" i="101"/>
  <c r="J90" i="101"/>
  <c r="D123" i="101"/>
  <c r="M15" i="101"/>
  <c r="D124" i="101"/>
  <c r="C28" i="101"/>
  <c r="E28" i="101" s="1"/>
  <c r="F101" i="101"/>
  <c r="K101" i="101"/>
  <c r="P101" i="101"/>
  <c r="F102" i="101"/>
  <c r="K102" i="101"/>
  <c r="P102" i="101"/>
  <c r="F103" i="101"/>
  <c r="K103" i="101"/>
  <c r="P103" i="101"/>
  <c r="F104" i="101"/>
  <c r="K104" i="101"/>
  <c r="P104" i="101"/>
  <c r="D108" i="101"/>
  <c r="I108" i="101"/>
  <c r="N108" i="101"/>
  <c r="D109" i="101"/>
  <c r="I109" i="101"/>
  <c r="N109" i="101"/>
  <c r="D110" i="101"/>
  <c r="I110" i="101"/>
  <c r="N110" i="101"/>
  <c r="D111" i="101"/>
  <c r="I111" i="101"/>
  <c r="N111" i="101"/>
  <c r="F115" i="101"/>
  <c r="K115" i="101"/>
  <c r="P115" i="101"/>
  <c r="F116" i="101"/>
  <c r="K116" i="101"/>
  <c r="P116" i="101"/>
  <c r="F117" i="101"/>
  <c r="K117" i="101"/>
  <c r="P117" i="101"/>
  <c r="F118" i="101"/>
  <c r="K118" i="101"/>
  <c r="P118" i="101"/>
  <c r="D125" i="101"/>
  <c r="I125" i="101"/>
  <c r="N125" i="101"/>
  <c r="Q87" i="101"/>
  <c r="P88" i="101"/>
  <c r="O89" i="101"/>
  <c r="N90" i="101"/>
  <c r="G101" i="101"/>
  <c r="L101" i="101"/>
  <c r="R101" i="101"/>
  <c r="G102" i="101"/>
  <c r="L102" i="101"/>
  <c r="R102" i="101"/>
  <c r="G103" i="101"/>
  <c r="L103" i="101"/>
  <c r="R103" i="101"/>
  <c r="G104" i="101"/>
  <c r="L104" i="101"/>
  <c r="R104" i="101"/>
  <c r="E108" i="101"/>
  <c r="J108" i="101"/>
  <c r="P108" i="101"/>
  <c r="E109" i="101"/>
  <c r="J109" i="101"/>
  <c r="P109" i="101"/>
  <c r="E110" i="101"/>
  <c r="J110" i="101"/>
  <c r="P110" i="101"/>
  <c r="E111" i="101"/>
  <c r="J111" i="101"/>
  <c r="P111" i="101"/>
  <c r="G115" i="101"/>
  <c r="L115" i="101"/>
  <c r="R115" i="101"/>
  <c r="G116" i="101"/>
  <c r="L116" i="101"/>
  <c r="R116" i="101"/>
  <c r="G117" i="101"/>
  <c r="L117" i="101"/>
  <c r="R117" i="101"/>
  <c r="G118" i="101"/>
  <c r="L118" i="101"/>
  <c r="R118" i="101"/>
  <c r="H122" i="101"/>
  <c r="H123" i="101"/>
  <c r="H124" i="101"/>
  <c r="E125" i="101"/>
  <c r="J125" i="101"/>
  <c r="P125" i="101"/>
  <c r="J15" i="101"/>
  <c r="J17" i="101" s="1"/>
  <c r="G28" i="101"/>
  <c r="C101" i="101"/>
  <c r="H101" i="101"/>
  <c r="N101" i="101"/>
  <c r="C102" i="101"/>
  <c r="H102" i="101"/>
  <c r="N102" i="101"/>
  <c r="C103" i="101"/>
  <c r="H103" i="101"/>
  <c r="N103" i="101"/>
  <c r="C104" i="101"/>
  <c r="H104" i="101"/>
  <c r="N104" i="101"/>
  <c r="F108" i="101"/>
  <c r="L108" i="101"/>
  <c r="Q108" i="101"/>
  <c r="F109" i="101"/>
  <c r="L109" i="101"/>
  <c r="Q109" i="101"/>
  <c r="F110" i="101"/>
  <c r="L110" i="101"/>
  <c r="Q110" i="101"/>
  <c r="F111" i="101"/>
  <c r="L111" i="101"/>
  <c r="Q111" i="101"/>
  <c r="C115" i="101"/>
  <c r="H115" i="101"/>
  <c r="N115" i="101"/>
  <c r="C116" i="101"/>
  <c r="H116" i="101"/>
  <c r="N116" i="101"/>
  <c r="C117" i="101"/>
  <c r="H117" i="101"/>
  <c r="N117" i="101"/>
  <c r="C118" i="101"/>
  <c r="H118" i="101"/>
  <c r="N118" i="101"/>
  <c r="L122" i="101"/>
  <c r="L123" i="101"/>
  <c r="L124" i="101"/>
  <c r="F125" i="101"/>
  <c r="L125" i="101"/>
  <c r="Q125" i="101"/>
  <c r="I28" i="101"/>
  <c r="K28" i="101" s="1"/>
  <c r="K30" i="101" s="1"/>
  <c r="D101" i="101"/>
  <c r="J101" i="101"/>
  <c r="O101" i="101"/>
  <c r="D102" i="101"/>
  <c r="J102" i="101"/>
  <c r="O102" i="101"/>
  <c r="D103" i="101"/>
  <c r="J103" i="101"/>
  <c r="O103" i="101"/>
  <c r="D104" i="101"/>
  <c r="J104" i="101"/>
  <c r="O104" i="101"/>
  <c r="H108" i="101"/>
  <c r="M108" i="101"/>
  <c r="R108" i="101"/>
  <c r="H109" i="101"/>
  <c r="M109" i="101"/>
  <c r="R109" i="101"/>
  <c r="H110" i="101"/>
  <c r="M110" i="101"/>
  <c r="R110" i="101"/>
  <c r="H111" i="101"/>
  <c r="M111" i="101"/>
  <c r="R111" i="101"/>
  <c r="D115" i="101"/>
  <c r="J115" i="101"/>
  <c r="O115" i="101"/>
  <c r="D116" i="101"/>
  <c r="J116" i="101"/>
  <c r="O116" i="101"/>
  <c r="D117" i="101"/>
  <c r="J117" i="101"/>
  <c r="O117" i="101"/>
  <c r="D118" i="101"/>
  <c r="J118" i="101"/>
  <c r="O118" i="101"/>
  <c r="P122" i="101"/>
  <c r="P123" i="101"/>
  <c r="P124" i="101"/>
  <c r="H125" i="101"/>
  <c r="M125" i="101"/>
  <c r="R125" i="101"/>
  <c r="Z53" i="102"/>
  <c r="AJ53" i="102"/>
  <c r="D61" i="102"/>
  <c r="R61" i="102"/>
  <c r="U10" i="105"/>
  <c r="AC10" i="105"/>
  <c r="Z11" i="105"/>
  <c r="AJ11" i="105"/>
  <c r="U101" i="105"/>
  <c r="AH101" i="105"/>
  <c r="P20" i="102"/>
  <c r="N20" i="102"/>
  <c r="F20" i="102"/>
  <c r="R19" i="102"/>
  <c r="J19" i="102"/>
  <c r="N18" i="102"/>
  <c r="F18" i="102"/>
  <c r="R17" i="102"/>
  <c r="J17" i="102"/>
  <c r="Q20" i="102"/>
  <c r="E20" i="102"/>
  <c r="M19" i="102"/>
  <c r="R18" i="102"/>
  <c r="I18" i="102"/>
  <c r="N17" i="102"/>
  <c r="E17" i="102"/>
  <c r="M17" i="102"/>
  <c r="M20" i="102"/>
  <c r="Z38" i="102"/>
  <c r="AJ38" i="102"/>
  <c r="AB41" i="102"/>
  <c r="R48" i="102"/>
  <c r="K48" i="102"/>
  <c r="D48" i="102"/>
  <c r="L47" i="102"/>
  <c r="F47" i="102"/>
  <c r="O46" i="102"/>
  <c r="G46" i="102"/>
  <c r="P45" i="102"/>
  <c r="J45" i="102"/>
  <c r="J48" i="102"/>
  <c r="R47" i="102"/>
  <c r="J47" i="102"/>
  <c r="R46" i="102"/>
  <c r="J46" i="102"/>
  <c r="R45" i="102"/>
  <c r="G45" i="102"/>
  <c r="P43" i="102"/>
  <c r="K45" i="102"/>
  <c r="AC53" i="102"/>
  <c r="U55" i="102"/>
  <c r="AC55" i="102"/>
  <c r="AD62" i="102"/>
  <c r="X62" i="102"/>
  <c r="AJ61" i="102"/>
  <c r="AC61" i="102"/>
  <c r="V61" i="102"/>
  <c r="AJ60" i="102"/>
  <c r="AC60" i="102"/>
  <c r="V60" i="102"/>
  <c r="AH59" i="102"/>
  <c r="AB59" i="102"/>
  <c r="AH57" i="102"/>
  <c r="AH62" i="102"/>
  <c r="Y62" i="102"/>
  <c r="AG61" i="102"/>
  <c r="X61" i="102"/>
  <c r="AG60" i="102"/>
  <c r="X60" i="102"/>
  <c r="AD59" i="102"/>
  <c r="V59" i="102"/>
  <c r="L59" i="102"/>
  <c r="AC59" i="102"/>
  <c r="L60" i="102"/>
  <c r="AB60" i="102"/>
  <c r="F61" i="102"/>
  <c r="Y61" i="102"/>
  <c r="F62" i="102"/>
  <c r="V62" i="102"/>
  <c r="AJ62" i="102"/>
  <c r="X12" i="105"/>
  <c r="AH12" i="105"/>
  <c r="AH43" i="105"/>
  <c r="AB66" i="105"/>
  <c r="AB67" i="105"/>
  <c r="AC68" i="105"/>
  <c r="AC69" i="105"/>
  <c r="AH99" i="105"/>
  <c r="AB38" i="102"/>
  <c r="AC39" i="102"/>
  <c r="AC40" i="102"/>
  <c r="F17" i="102"/>
  <c r="W17" i="102"/>
  <c r="E18" i="102"/>
  <c r="W18" i="102"/>
  <c r="F19" i="102"/>
  <c r="W19" i="102"/>
  <c r="I20" i="102"/>
  <c r="R24" i="102"/>
  <c r="D26" i="102"/>
  <c r="AI34" i="102"/>
  <c r="AJ34" i="102"/>
  <c r="AD34" i="102"/>
  <c r="Y34" i="102"/>
  <c r="AF33" i="102"/>
  <c r="Z33" i="102"/>
  <c r="U33" i="102"/>
  <c r="AG32" i="102"/>
  <c r="AB32" i="102"/>
  <c r="V32" i="102"/>
  <c r="AH31" i="102"/>
  <c r="AC31" i="102"/>
  <c r="X31" i="102"/>
  <c r="AH29" i="102"/>
  <c r="AH34" i="102"/>
  <c r="AB34" i="102"/>
  <c r="U34" i="102"/>
  <c r="AH33" i="102"/>
  <c r="AB33" i="102"/>
  <c r="AH32" i="102"/>
  <c r="Z32" i="102"/>
  <c r="AG31" i="102"/>
  <c r="Z31" i="102"/>
  <c r="L31" i="102"/>
  <c r="Y31" i="102"/>
  <c r="AJ31" i="102"/>
  <c r="L32" i="102"/>
  <c r="Y32" i="102"/>
  <c r="AJ32" i="102"/>
  <c r="O33" i="102"/>
  <c r="Y33" i="102"/>
  <c r="AJ33" i="102"/>
  <c r="Z34" i="102"/>
  <c r="R41" i="102"/>
  <c r="K41" i="102"/>
  <c r="D41" i="102"/>
  <c r="L40" i="102"/>
  <c r="F40" i="102"/>
  <c r="O39" i="102"/>
  <c r="G39" i="102"/>
  <c r="P38" i="102"/>
  <c r="J38" i="102"/>
  <c r="O41" i="102"/>
  <c r="F41" i="102"/>
  <c r="O40" i="102"/>
  <c r="D40" i="102"/>
  <c r="L39" i="102"/>
  <c r="D39" i="102"/>
  <c r="L38" i="102"/>
  <c r="D38" i="102"/>
  <c r="G38" i="102"/>
  <c r="U38" i="102"/>
  <c r="AF38" i="102"/>
  <c r="J39" i="102"/>
  <c r="U39" i="102"/>
  <c r="AF39" i="102"/>
  <c r="J40" i="102"/>
  <c r="V40" i="102"/>
  <c r="AG40" i="102"/>
  <c r="J41" i="102"/>
  <c r="V41" i="102"/>
  <c r="AG41" i="102"/>
  <c r="D45" i="102"/>
  <c r="O45" i="102"/>
  <c r="AB45" i="102"/>
  <c r="D46" i="102"/>
  <c r="P46" i="102"/>
  <c r="AC46" i="102"/>
  <c r="D47" i="102"/>
  <c r="P47" i="102"/>
  <c r="AC47" i="102"/>
  <c r="F48" i="102"/>
  <c r="P48" i="102"/>
  <c r="P50" i="102"/>
  <c r="K52" i="102"/>
  <c r="Y52" i="102"/>
  <c r="AG52" i="102"/>
  <c r="K53" i="102"/>
  <c r="Y53" i="102"/>
  <c r="AH53" i="102"/>
  <c r="K54" i="102"/>
  <c r="Y54" i="102"/>
  <c r="AH54" i="102"/>
  <c r="Z55" i="102"/>
  <c r="F59" i="102"/>
  <c r="X59" i="102"/>
  <c r="AJ59" i="102"/>
  <c r="P60" i="102"/>
  <c r="AH60" i="102"/>
  <c r="P61" i="102"/>
  <c r="AD61" i="102"/>
  <c r="AC62" i="102"/>
  <c r="AI76" i="102"/>
  <c r="AF76" i="102"/>
  <c r="Z76" i="102"/>
  <c r="U76" i="102"/>
  <c r="AG75" i="102"/>
  <c r="AB75" i="102"/>
  <c r="V75" i="102"/>
  <c r="AH74" i="102"/>
  <c r="AC74" i="102"/>
  <c r="X74" i="102"/>
  <c r="AJ73" i="102"/>
  <c r="AD73" i="102"/>
  <c r="Y73" i="102"/>
  <c r="AD76" i="102"/>
  <c r="X76" i="102"/>
  <c r="AD75" i="102"/>
  <c r="X75" i="102"/>
  <c r="AD74" i="102"/>
  <c r="V74" i="102"/>
  <c r="AC73" i="102"/>
  <c r="V73" i="102"/>
  <c r="AH71" i="102"/>
  <c r="X73" i="102"/>
  <c r="AG73" i="102"/>
  <c r="AB74" i="102"/>
  <c r="Y75" i="102"/>
  <c r="AH75" i="102"/>
  <c r="AC76" i="102"/>
  <c r="Z101" i="102"/>
  <c r="AH101" i="102"/>
  <c r="U102" i="102"/>
  <c r="AF102" i="102"/>
  <c r="Z103" i="102"/>
  <c r="AJ103" i="102"/>
  <c r="V104" i="102"/>
  <c r="AB10" i="105"/>
  <c r="V11" i="105"/>
  <c r="AG11" i="105"/>
  <c r="AC12" i="105"/>
  <c r="X13" i="105"/>
  <c r="AI20" i="105"/>
  <c r="AF20" i="105"/>
  <c r="Z20" i="105"/>
  <c r="U20" i="105"/>
  <c r="AG19" i="105"/>
  <c r="AB19" i="105"/>
  <c r="V19" i="105"/>
  <c r="AH18" i="105"/>
  <c r="AC18" i="105"/>
  <c r="X18" i="105"/>
  <c r="AJ17" i="105"/>
  <c r="AD17" i="105"/>
  <c r="Y17" i="105"/>
  <c r="AH20" i="105"/>
  <c r="AB20" i="105"/>
  <c r="AH19" i="105"/>
  <c r="Z19" i="105"/>
  <c r="AG18" i="105"/>
  <c r="Z18" i="105"/>
  <c r="AG17" i="105"/>
  <c r="Z17" i="105"/>
  <c r="AG20" i="105"/>
  <c r="Y20" i="105"/>
  <c r="AF19" i="105"/>
  <c r="Y19" i="105"/>
  <c r="AF18" i="105"/>
  <c r="U17" i="105"/>
  <c r="AC17" i="105"/>
  <c r="Y18" i="105"/>
  <c r="X19" i="105"/>
  <c r="X20" i="105"/>
  <c r="AB38" i="105"/>
  <c r="AB39" i="105"/>
  <c r="AC40" i="105"/>
  <c r="AC45" i="105"/>
  <c r="AD46" i="105"/>
  <c r="AD47" i="105"/>
  <c r="U66" i="105"/>
  <c r="AH66" i="105"/>
  <c r="U67" i="105"/>
  <c r="AJ67" i="105"/>
  <c r="U68" i="105"/>
  <c r="AJ68" i="105"/>
  <c r="V69" i="105"/>
  <c r="AH71" i="105"/>
  <c r="V73" i="105"/>
  <c r="V74" i="105"/>
  <c r="X75" i="105"/>
  <c r="AB94" i="105"/>
  <c r="AB95" i="105"/>
  <c r="AC96" i="105"/>
  <c r="AC101" i="105"/>
  <c r="AD102" i="105"/>
  <c r="AD103" i="105"/>
  <c r="AD104" i="105"/>
  <c r="H29" i="81"/>
  <c r="AI55" i="102"/>
  <c r="AJ55" i="102"/>
  <c r="AD55" i="102"/>
  <c r="Y55" i="102"/>
  <c r="AF54" i="102"/>
  <c r="Z54" i="102"/>
  <c r="U54" i="102"/>
  <c r="AG53" i="102"/>
  <c r="AB53" i="102"/>
  <c r="V53" i="102"/>
  <c r="AH52" i="102"/>
  <c r="AC52" i="102"/>
  <c r="X52" i="102"/>
  <c r="AH50" i="102"/>
  <c r="AF55" i="102"/>
  <c r="X55" i="102"/>
  <c r="AD54" i="102"/>
  <c r="X54" i="102"/>
  <c r="AD53" i="102"/>
  <c r="X53" i="102"/>
  <c r="AD52" i="102"/>
  <c r="V52" i="102"/>
  <c r="AB55" i="102"/>
  <c r="L62" i="102"/>
  <c r="K61" i="102"/>
  <c r="J60" i="102"/>
  <c r="R59" i="102"/>
  <c r="J59" i="102"/>
  <c r="J62" i="102"/>
  <c r="J61" i="102"/>
  <c r="G60" i="102"/>
  <c r="G59" i="102"/>
  <c r="P57" i="102"/>
  <c r="K59" i="102"/>
  <c r="AI13" i="105"/>
  <c r="AF13" i="105"/>
  <c r="Z13" i="105"/>
  <c r="U13" i="105"/>
  <c r="AG12" i="105"/>
  <c r="AB12" i="105"/>
  <c r="V12" i="105"/>
  <c r="AH11" i="105"/>
  <c r="AC11" i="105"/>
  <c r="X11" i="105"/>
  <c r="AJ10" i="105"/>
  <c r="AD10" i="105"/>
  <c r="Y10" i="105"/>
  <c r="AG13" i="105"/>
  <c r="Y13" i="105"/>
  <c r="AF12" i="105"/>
  <c r="Y12" i="105"/>
  <c r="AF11" i="105"/>
  <c r="Y11" i="105"/>
  <c r="AF10" i="105"/>
  <c r="X10" i="105"/>
  <c r="AI48" i="105"/>
  <c r="AF48" i="105"/>
  <c r="Z48" i="105"/>
  <c r="U48" i="105"/>
  <c r="AG47" i="105"/>
  <c r="AB47" i="105"/>
  <c r="V47" i="105"/>
  <c r="AH46" i="105"/>
  <c r="AC46" i="105"/>
  <c r="X46" i="105"/>
  <c r="AJ45" i="105"/>
  <c r="AD45" i="105"/>
  <c r="Y45" i="105"/>
  <c r="AG48" i="105"/>
  <c r="Y48" i="105"/>
  <c r="AF47" i="105"/>
  <c r="Y47" i="105"/>
  <c r="AF46" i="105"/>
  <c r="Y46" i="105"/>
  <c r="AF45" i="105"/>
  <c r="X45" i="105"/>
  <c r="AH48" i="105"/>
  <c r="AB48" i="105"/>
  <c r="AH47" i="105"/>
  <c r="Z47" i="105"/>
  <c r="AG46" i="105"/>
  <c r="Z46" i="105"/>
  <c r="AG45" i="105"/>
  <c r="Z45" i="105"/>
  <c r="U47" i="105"/>
  <c r="AJ47" i="105"/>
  <c r="AI69" i="105"/>
  <c r="AF69" i="105"/>
  <c r="Z69" i="105"/>
  <c r="U69" i="105"/>
  <c r="AG68" i="105"/>
  <c r="AB68" i="105"/>
  <c r="V68" i="105"/>
  <c r="AH67" i="105"/>
  <c r="AC67" i="105"/>
  <c r="X67" i="105"/>
  <c r="AJ66" i="105"/>
  <c r="AD66" i="105"/>
  <c r="Y66" i="105"/>
  <c r="AD69" i="105"/>
  <c r="X69" i="105"/>
  <c r="AD68" i="105"/>
  <c r="X68" i="105"/>
  <c r="AD67" i="105"/>
  <c r="V67" i="105"/>
  <c r="AC66" i="105"/>
  <c r="V66" i="105"/>
  <c r="AG69" i="105"/>
  <c r="Y69" i="105"/>
  <c r="AF68" i="105"/>
  <c r="Y68" i="105"/>
  <c r="AF67" i="105"/>
  <c r="Y67" i="105"/>
  <c r="AF66" i="105"/>
  <c r="X66" i="105"/>
  <c r="AH64" i="105"/>
  <c r="Z66" i="105"/>
  <c r="Z67" i="105"/>
  <c r="Z68" i="105"/>
  <c r="AB69" i="105"/>
  <c r="V104" i="105"/>
  <c r="Z52" i="102"/>
  <c r="AJ52" i="102"/>
  <c r="F60" i="102"/>
  <c r="U45" i="105"/>
  <c r="AH45" i="105"/>
  <c r="V48" i="105"/>
  <c r="AJ48" i="105"/>
  <c r="AI104" i="105"/>
  <c r="AF104" i="105"/>
  <c r="Z104" i="105"/>
  <c r="U104" i="105"/>
  <c r="AG103" i="105"/>
  <c r="AB103" i="105"/>
  <c r="V103" i="105"/>
  <c r="AH102" i="105"/>
  <c r="AC102" i="105"/>
  <c r="X102" i="105"/>
  <c r="AJ101" i="105"/>
  <c r="AD101" i="105"/>
  <c r="Y101" i="105"/>
  <c r="AG104" i="105"/>
  <c r="Y104" i="105"/>
  <c r="AF103" i="105"/>
  <c r="Y103" i="105"/>
  <c r="AF102" i="105"/>
  <c r="Y102" i="105"/>
  <c r="AF101" i="105"/>
  <c r="X101" i="105"/>
  <c r="AH104" i="105"/>
  <c r="AB104" i="105"/>
  <c r="AH103" i="105"/>
  <c r="Z103" i="105"/>
  <c r="AG102" i="105"/>
  <c r="Z102" i="105"/>
  <c r="AG101" i="105"/>
  <c r="Z101" i="105"/>
  <c r="U102" i="105"/>
  <c r="AJ102" i="105"/>
  <c r="U103" i="105"/>
  <c r="H17" i="81"/>
  <c r="D17" i="81"/>
  <c r="M18" i="102"/>
  <c r="Z39" i="102"/>
  <c r="K47" i="102"/>
  <c r="AB52" i="102"/>
  <c r="V10" i="105"/>
  <c r="AG10" i="105"/>
  <c r="AC13" i="105"/>
  <c r="V46" i="105"/>
  <c r="X47" i="105"/>
  <c r="X103" i="105"/>
  <c r="X104" i="105"/>
  <c r="F38" i="81"/>
  <c r="L38" i="81"/>
  <c r="M38" i="81" s="1"/>
  <c r="D38" i="81"/>
  <c r="C38" i="81"/>
  <c r="G38" i="81"/>
  <c r="AB54" i="102"/>
  <c r="AJ54" i="102"/>
  <c r="P62" i="102"/>
  <c r="U12" i="105"/>
  <c r="AD12" i="105"/>
  <c r="AB13" i="105"/>
  <c r="AJ13" i="105"/>
  <c r="U46" i="105"/>
  <c r="AJ46" i="105"/>
  <c r="AJ103" i="105"/>
  <c r="N19" i="102"/>
  <c r="AI41" i="102"/>
  <c r="AJ41" i="102"/>
  <c r="AD41" i="102"/>
  <c r="Y41" i="102"/>
  <c r="AF40" i="102"/>
  <c r="Z40" i="102"/>
  <c r="U40" i="102"/>
  <c r="AG39" i="102"/>
  <c r="AB39" i="102"/>
  <c r="V39" i="102"/>
  <c r="AH38" i="102"/>
  <c r="AC38" i="102"/>
  <c r="X38" i="102"/>
  <c r="AH36" i="102"/>
  <c r="AF41" i="102"/>
  <c r="X41" i="102"/>
  <c r="AD40" i="102"/>
  <c r="X40" i="102"/>
  <c r="AD39" i="102"/>
  <c r="X39" i="102"/>
  <c r="AD38" i="102"/>
  <c r="V38" i="102"/>
  <c r="AB40" i="102"/>
  <c r="AJ40" i="102"/>
  <c r="K46" i="102"/>
  <c r="L48" i="102"/>
  <c r="AC54" i="102"/>
  <c r="AH8" i="105"/>
  <c r="AB11" i="105"/>
  <c r="V45" i="105"/>
  <c r="X48" i="105"/>
  <c r="V101" i="105"/>
  <c r="V102" i="105"/>
  <c r="AF13" i="102"/>
  <c r="W13" i="102"/>
  <c r="W11" i="102"/>
  <c r="AJ20" i="102"/>
  <c r="X20" i="102"/>
  <c r="AE19" i="102"/>
  <c r="AJ18" i="102"/>
  <c r="X18" i="102"/>
  <c r="AE17" i="102"/>
  <c r="AH15" i="102"/>
  <c r="AE20" i="102"/>
  <c r="X19" i="102"/>
  <c r="AF18" i="102"/>
  <c r="AB17" i="102"/>
  <c r="Q17" i="102"/>
  <c r="AJ17" i="102"/>
  <c r="Q18" i="102"/>
  <c r="E19" i="102"/>
  <c r="Q19" i="102"/>
  <c r="AJ19" i="102"/>
  <c r="R20" i="102"/>
  <c r="P27" i="102"/>
  <c r="F27" i="102"/>
  <c r="K26" i="102"/>
  <c r="P25" i="102"/>
  <c r="F25" i="102"/>
  <c r="N24" i="102"/>
  <c r="F24" i="102"/>
  <c r="J27" i="102"/>
  <c r="J26" i="102"/>
  <c r="K25" i="102"/>
  <c r="Q24" i="102"/>
  <c r="E24" i="102"/>
  <c r="M24" i="102"/>
  <c r="O25" i="102"/>
  <c r="P26" i="102"/>
  <c r="R34" i="102"/>
  <c r="K34" i="102"/>
  <c r="D34" i="102"/>
  <c r="L33" i="102"/>
  <c r="F33" i="102"/>
  <c r="O32" i="102"/>
  <c r="G32" i="102"/>
  <c r="P31" i="102"/>
  <c r="J31" i="102"/>
  <c r="J34" i="102"/>
  <c r="R33" i="102"/>
  <c r="J33" i="102"/>
  <c r="R32" i="102"/>
  <c r="J32" i="102"/>
  <c r="R31" i="102"/>
  <c r="G31" i="102"/>
  <c r="P29" i="102"/>
  <c r="K31" i="102"/>
  <c r="K32" i="102"/>
  <c r="K33" i="102"/>
  <c r="L34" i="102"/>
  <c r="U41" i="102"/>
  <c r="AC41" i="102"/>
  <c r="AI48" i="102"/>
  <c r="AJ48" i="102"/>
  <c r="AD48" i="102"/>
  <c r="Y48" i="102"/>
  <c r="AF47" i="102"/>
  <c r="Z47" i="102"/>
  <c r="U47" i="102"/>
  <c r="AG46" i="102"/>
  <c r="AB46" i="102"/>
  <c r="V46" i="102"/>
  <c r="AH45" i="102"/>
  <c r="AC45" i="102"/>
  <c r="X45" i="102"/>
  <c r="AH43" i="102"/>
  <c r="AH48" i="102"/>
  <c r="AB48" i="102"/>
  <c r="U48" i="102"/>
  <c r="AH47" i="102"/>
  <c r="AB47" i="102"/>
  <c r="AH46" i="102"/>
  <c r="Z46" i="102"/>
  <c r="AG45" i="102"/>
  <c r="Z45" i="102"/>
  <c r="L45" i="102"/>
  <c r="Y45" i="102"/>
  <c r="AJ45" i="102"/>
  <c r="L46" i="102"/>
  <c r="Y46" i="102"/>
  <c r="AJ46" i="102"/>
  <c r="O47" i="102"/>
  <c r="Y47" i="102"/>
  <c r="AJ47" i="102"/>
  <c r="O48" i="102"/>
  <c r="Z48" i="102"/>
  <c r="R55" i="102"/>
  <c r="K55" i="102"/>
  <c r="D55" i="102"/>
  <c r="L54" i="102"/>
  <c r="F54" i="102"/>
  <c r="O53" i="102"/>
  <c r="G53" i="102"/>
  <c r="P52" i="102"/>
  <c r="J52" i="102"/>
  <c r="O55" i="102"/>
  <c r="F55" i="102"/>
  <c r="O54" i="102"/>
  <c r="D54" i="102"/>
  <c r="L53" i="102"/>
  <c r="D53" i="102"/>
  <c r="L52" i="102"/>
  <c r="D52" i="102"/>
  <c r="G52" i="102"/>
  <c r="U52" i="102"/>
  <c r="AF52" i="102"/>
  <c r="J53" i="102"/>
  <c r="U53" i="102"/>
  <c r="AF53" i="102"/>
  <c r="J54" i="102"/>
  <c r="V54" i="102"/>
  <c r="AG54" i="102"/>
  <c r="J55" i="102"/>
  <c r="V55" i="102"/>
  <c r="AG55" i="102"/>
  <c r="D59" i="102"/>
  <c r="P59" i="102"/>
  <c r="AG59" i="102"/>
  <c r="O60" i="102"/>
  <c r="AD60" i="102"/>
  <c r="L61" i="102"/>
  <c r="AB61" i="102"/>
  <c r="G62" i="102"/>
  <c r="AB62" i="102"/>
  <c r="AI104" i="102"/>
  <c r="AF104" i="102"/>
  <c r="Z104" i="102"/>
  <c r="U104" i="102"/>
  <c r="AG103" i="102"/>
  <c r="AB103" i="102"/>
  <c r="V103" i="102"/>
  <c r="AH102" i="102"/>
  <c r="AC102" i="102"/>
  <c r="X102" i="102"/>
  <c r="AJ101" i="102"/>
  <c r="AD101" i="102"/>
  <c r="Y101" i="102"/>
  <c r="AD104" i="102"/>
  <c r="X104" i="102"/>
  <c r="AD103" i="102"/>
  <c r="X103" i="102"/>
  <c r="AD102" i="102"/>
  <c r="V102" i="102"/>
  <c r="AC101" i="102"/>
  <c r="V101" i="102"/>
  <c r="AH99" i="102"/>
  <c r="X101" i="102"/>
  <c r="AG101" i="102"/>
  <c r="AB102" i="102"/>
  <c r="Y103" i="102"/>
  <c r="AH103" i="102"/>
  <c r="AC104" i="102"/>
  <c r="Z10" i="105"/>
  <c r="AH10" i="105"/>
  <c r="U11" i="105"/>
  <c r="AD11" i="105"/>
  <c r="Z12" i="105"/>
  <c r="AJ12" i="105"/>
  <c r="V13" i="105"/>
  <c r="AD13" i="105"/>
  <c r="AI41" i="105"/>
  <c r="AF41" i="105"/>
  <c r="Z41" i="105"/>
  <c r="U41" i="105"/>
  <c r="AG40" i="105"/>
  <c r="AB40" i="105"/>
  <c r="V40" i="105"/>
  <c r="AH39" i="105"/>
  <c r="AC39" i="105"/>
  <c r="X39" i="105"/>
  <c r="AJ38" i="105"/>
  <c r="AD38" i="105"/>
  <c r="Y38" i="105"/>
  <c r="AH36" i="105"/>
  <c r="AG41" i="105"/>
  <c r="Y41" i="105"/>
  <c r="AF40" i="105"/>
  <c r="Y40" i="105"/>
  <c r="AF39" i="105"/>
  <c r="Y39" i="105"/>
  <c r="AF38" i="105"/>
  <c r="X38" i="105"/>
  <c r="AD41" i="105"/>
  <c r="X41" i="105"/>
  <c r="AD40" i="105"/>
  <c r="X40" i="105"/>
  <c r="AD39" i="105"/>
  <c r="V39" i="105"/>
  <c r="AC38" i="105"/>
  <c r="V38" i="105"/>
  <c r="Z38" i="105"/>
  <c r="Z39" i="105"/>
  <c r="Z40" i="105"/>
  <c r="AB41" i="105"/>
  <c r="AB45" i="105"/>
  <c r="AB46" i="105"/>
  <c r="AC47" i="105"/>
  <c r="AC48" i="105"/>
  <c r="AG66" i="105"/>
  <c r="AG67" i="105"/>
  <c r="AH68" i="105"/>
  <c r="AH69" i="105"/>
  <c r="AI76" i="105"/>
  <c r="AF76" i="105"/>
  <c r="Z76" i="105"/>
  <c r="U76" i="105"/>
  <c r="AG75" i="105"/>
  <c r="AB75" i="105"/>
  <c r="V75" i="105"/>
  <c r="AH74" i="105"/>
  <c r="AC74" i="105"/>
  <c r="X74" i="105"/>
  <c r="AJ73" i="105"/>
  <c r="AD73" i="105"/>
  <c r="Y73" i="105"/>
  <c r="AH76" i="105"/>
  <c r="AB76" i="105"/>
  <c r="AH75" i="105"/>
  <c r="Z75" i="105"/>
  <c r="AG74" i="105"/>
  <c r="Z74" i="105"/>
  <c r="AG73" i="105"/>
  <c r="Z73" i="105"/>
  <c r="AG76" i="105"/>
  <c r="Y76" i="105"/>
  <c r="AF75" i="105"/>
  <c r="Y75" i="105"/>
  <c r="AF74" i="105"/>
  <c r="Y74" i="105"/>
  <c r="AF73" i="105"/>
  <c r="X73" i="105"/>
  <c r="U73" i="105"/>
  <c r="AH73" i="105"/>
  <c r="U74" i="105"/>
  <c r="AJ74" i="105"/>
  <c r="U75" i="105"/>
  <c r="AJ75" i="105"/>
  <c r="V76" i="105"/>
  <c r="AJ76" i="105"/>
  <c r="AI97" i="105"/>
  <c r="AF97" i="105"/>
  <c r="Z97" i="105"/>
  <c r="U97" i="105"/>
  <c r="AG96" i="105"/>
  <c r="AB96" i="105"/>
  <c r="V96" i="105"/>
  <c r="AH95" i="105"/>
  <c r="AC95" i="105"/>
  <c r="X95" i="105"/>
  <c r="AJ94" i="105"/>
  <c r="AD94" i="105"/>
  <c r="Y94" i="105"/>
  <c r="AD97" i="105"/>
  <c r="X97" i="105"/>
  <c r="AD96" i="105"/>
  <c r="X96" i="105"/>
  <c r="AD95" i="105"/>
  <c r="V95" i="105"/>
  <c r="AC94" i="105"/>
  <c r="V94" i="105"/>
  <c r="AG97" i="105"/>
  <c r="Y97" i="105"/>
  <c r="AF96" i="105"/>
  <c r="Y96" i="105"/>
  <c r="AF95" i="105"/>
  <c r="Y95" i="105"/>
  <c r="AF94" i="105"/>
  <c r="X94" i="105"/>
  <c r="AH92" i="105"/>
  <c r="Z94" i="105"/>
  <c r="Z95" i="105"/>
  <c r="Z96" i="105"/>
  <c r="AB97" i="105"/>
  <c r="AB101" i="105"/>
  <c r="AB102" i="105"/>
  <c r="AC103" i="105"/>
  <c r="AC104" i="105"/>
  <c r="I38" i="81"/>
  <c r="U31" i="105"/>
  <c r="AB31" i="105"/>
  <c r="AH31" i="105"/>
  <c r="U33" i="105"/>
  <c r="AC33" i="105"/>
  <c r="AJ33" i="105"/>
  <c r="AI62" i="105"/>
  <c r="AF62" i="105"/>
  <c r="Z62" i="105"/>
  <c r="U62" i="105"/>
  <c r="AG61" i="105"/>
  <c r="AB61" i="105"/>
  <c r="V61" i="105"/>
  <c r="AH60" i="105"/>
  <c r="AC60" i="105"/>
  <c r="X60" i="105"/>
  <c r="AJ59" i="105"/>
  <c r="AD59" i="105"/>
  <c r="Y59" i="105"/>
  <c r="U60" i="105"/>
  <c r="AB60" i="105"/>
  <c r="AJ60" i="105"/>
  <c r="V62" i="105"/>
  <c r="AC62" i="105"/>
  <c r="AJ62" i="105"/>
  <c r="AI90" i="105"/>
  <c r="AF90" i="105"/>
  <c r="Z90" i="105"/>
  <c r="U90" i="105"/>
  <c r="AG89" i="105"/>
  <c r="AB89" i="105"/>
  <c r="V89" i="105"/>
  <c r="AH88" i="105"/>
  <c r="AC88" i="105"/>
  <c r="X88" i="105"/>
  <c r="AJ87" i="105"/>
  <c r="AD87" i="105"/>
  <c r="Y87" i="105"/>
  <c r="U87" i="105"/>
  <c r="AB87" i="105"/>
  <c r="AH87" i="105"/>
  <c r="U88" i="105"/>
  <c r="AB88" i="105"/>
  <c r="AJ88" i="105"/>
  <c r="U89" i="105"/>
  <c r="AC89" i="105"/>
  <c r="AJ89" i="105"/>
  <c r="V90" i="105"/>
  <c r="AC90" i="105"/>
  <c r="AJ90" i="105"/>
  <c r="AI97" i="102"/>
  <c r="AF97" i="102"/>
  <c r="Z97" i="102"/>
  <c r="U97" i="102"/>
  <c r="AG96" i="102"/>
  <c r="AB96" i="102"/>
  <c r="V96" i="102"/>
  <c r="AH95" i="102"/>
  <c r="AC95" i="102"/>
  <c r="X95" i="102"/>
  <c r="AJ94" i="102"/>
  <c r="AD94" i="102"/>
  <c r="Y94" i="102"/>
  <c r="AF90" i="102"/>
  <c r="Z90" i="102"/>
  <c r="U90" i="102"/>
  <c r="AG89" i="102"/>
  <c r="AB89" i="102"/>
  <c r="V89" i="102"/>
  <c r="AH88" i="102"/>
  <c r="AC88" i="102"/>
  <c r="X88" i="102"/>
  <c r="AJ87" i="102"/>
  <c r="AD87" i="102"/>
  <c r="Y87" i="102"/>
  <c r="AF83" i="102"/>
  <c r="Z83" i="102"/>
  <c r="U83" i="102"/>
  <c r="AG82" i="102"/>
  <c r="AB82" i="102"/>
  <c r="V82" i="102"/>
  <c r="AH81" i="102"/>
  <c r="AC81" i="102"/>
  <c r="X81" i="102"/>
  <c r="AJ80" i="102"/>
  <c r="AD80" i="102"/>
  <c r="Y80" i="102"/>
  <c r="AF69" i="102"/>
  <c r="Z69" i="102"/>
  <c r="U69" i="102"/>
  <c r="AG68" i="102"/>
  <c r="AB68" i="102"/>
  <c r="V68" i="102"/>
  <c r="AH67" i="102"/>
  <c r="AC67" i="102"/>
  <c r="X67" i="102"/>
  <c r="AJ66" i="102"/>
  <c r="AD66" i="102"/>
  <c r="Y66" i="102"/>
  <c r="U66" i="102"/>
  <c r="AB66" i="102"/>
  <c r="AH66" i="102"/>
  <c r="U67" i="102"/>
  <c r="AB67" i="102"/>
  <c r="AJ67" i="102"/>
  <c r="U68" i="102"/>
  <c r="AC68" i="102"/>
  <c r="AJ68" i="102"/>
  <c r="V69" i="102"/>
  <c r="AC69" i="102"/>
  <c r="AJ69" i="102"/>
  <c r="X80" i="102"/>
  <c r="AF80" i="102"/>
  <c r="Y81" i="102"/>
  <c r="AF81" i="102"/>
  <c r="Y82" i="102"/>
  <c r="AF82" i="102"/>
  <c r="Y83" i="102"/>
  <c r="AG83" i="102"/>
  <c r="Z87" i="102"/>
  <c r="AG87" i="102"/>
  <c r="Z88" i="102"/>
  <c r="AG88" i="102"/>
  <c r="Z89" i="102"/>
  <c r="AH89" i="102"/>
  <c r="AB90" i="102"/>
  <c r="AH90" i="102"/>
  <c r="U94" i="102"/>
  <c r="AB94" i="102"/>
  <c r="AH94" i="102"/>
  <c r="U95" i="102"/>
  <c r="AB95" i="102"/>
  <c r="AJ95" i="102"/>
  <c r="U96" i="102"/>
  <c r="AC96" i="102"/>
  <c r="AJ96" i="102"/>
  <c r="V97" i="102"/>
  <c r="AC97" i="102"/>
  <c r="AJ97" i="102"/>
  <c r="AI27" i="105"/>
  <c r="AF27" i="105"/>
  <c r="Z27" i="105"/>
  <c r="U27" i="105"/>
  <c r="AG26" i="105"/>
  <c r="AB26" i="105"/>
  <c r="V26" i="105"/>
  <c r="AH25" i="105"/>
  <c r="AC25" i="105"/>
  <c r="X25" i="105"/>
  <c r="AJ24" i="105"/>
  <c r="AD24" i="105"/>
  <c r="Y24" i="105"/>
  <c r="U24" i="105"/>
  <c r="AB24" i="105"/>
  <c r="AH24" i="105"/>
  <c r="U25" i="105"/>
  <c r="AB25" i="105"/>
  <c r="AJ25" i="105"/>
  <c r="U26" i="105"/>
  <c r="AC26" i="105"/>
  <c r="AJ26" i="105"/>
  <c r="V27" i="105"/>
  <c r="AC27" i="105"/>
  <c r="AJ27" i="105"/>
  <c r="AH29" i="105"/>
  <c r="V31" i="105"/>
  <c r="AC31" i="105"/>
  <c r="V32" i="105"/>
  <c r="AD32" i="105"/>
  <c r="X33" i="105"/>
  <c r="AD33" i="105"/>
  <c r="X34" i="105"/>
  <c r="AI55" i="105"/>
  <c r="AF55" i="105"/>
  <c r="Z55" i="105"/>
  <c r="U55" i="105"/>
  <c r="AG54" i="105"/>
  <c r="AB54" i="105"/>
  <c r="V54" i="105"/>
  <c r="AH53" i="105"/>
  <c r="AC53" i="105"/>
  <c r="X53" i="105"/>
  <c r="AJ52" i="105"/>
  <c r="AD52" i="105"/>
  <c r="Y52" i="105"/>
  <c r="U52" i="105"/>
  <c r="AB52" i="105"/>
  <c r="AH52" i="105"/>
  <c r="U53" i="105"/>
  <c r="AB53" i="105"/>
  <c r="AJ53" i="105"/>
  <c r="U54" i="105"/>
  <c r="AC54" i="105"/>
  <c r="AJ54" i="105"/>
  <c r="V55" i="105"/>
  <c r="AC55" i="105"/>
  <c r="AJ55" i="105"/>
  <c r="AH57" i="105"/>
  <c r="V59" i="105"/>
  <c r="AC59" i="105"/>
  <c r="V60" i="105"/>
  <c r="AD60" i="105"/>
  <c r="X61" i="105"/>
  <c r="AD61" i="105"/>
  <c r="X62" i="105"/>
  <c r="AD62" i="105"/>
  <c r="AI83" i="105"/>
  <c r="AF83" i="105"/>
  <c r="Z83" i="105"/>
  <c r="U83" i="105"/>
  <c r="AG82" i="105"/>
  <c r="AB82" i="105"/>
  <c r="V82" i="105"/>
  <c r="AH81" i="105"/>
  <c r="AC81" i="105"/>
  <c r="X81" i="105"/>
  <c r="AJ80" i="105"/>
  <c r="AD80" i="105"/>
  <c r="Y80" i="105"/>
  <c r="U80" i="105"/>
  <c r="AB80" i="105"/>
  <c r="AH80" i="105"/>
  <c r="U81" i="105"/>
  <c r="AB81" i="105"/>
  <c r="AJ81" i="105"/>
  <c r="U82" i="105"/>
  <c r="AC82" i="105"/>
  <c r="AJ82" i="105"/>
  <c r="V83" i="105"/>
  <c r="AC83" i="105"/>
  <c r="AJ83" i="105"/>
  <c r="AH85" i="105"/>
  <c r="V87" i="105"/>
  <c r="AC87" i="105"/>
  <c r="V88" i="105"/>
  <c r="AD88" i="105"/>
  <c r="X89" i="105"/>
  <c r="AD89" i="105"/>
  <c r="X90" i="105"/>
  <c r="AD90" i="105"/>
  <c r="D33" i="81"/>
  <c r="C39" i="81"/>
  <c r="E39" i="81" s="1"/>
  <c r="F42" i="81"/>
  <c r="J42" i="81" s="1"/>
  <c r="L42" i="81"/>
  <c r="D42" i="81"/>
  <c r="E42" i="81" s="1"/>
  <c r="K42" i="81"/>
  <c r="F46" i="81"/>
  <c r="G46" i="81"/>
  <c r="L46" i="81"/>
  <c r="M46" i="81" s="1"/>
  <c r="D46" i="81"/>
  <c r="E46" i="81" s="1"/>
  <c r="F54" i="81"/>
  <c r="G54" i="81"/>
  <c r="L54" i="81"/>
  <c r="D54" i="81"/>
  <c r="K54" i="81"/>
  <c r="C54" i="81"/>
  <c r="F43" i="81"/>
  <c r="G43" i="81"/>
  <c r="K43" i="81"/>
  <c r="F45" i="81"/>
  <c r="L45" i="81"/>
  <c r="D45" i="81"/>
  <c r="K45" i="81"/>
  <c r="C45" i="81"/>
  <c r="F50" i="81"/>
  <c r="G50" i="81"/>
  <c r="L50" i="81"/>
  <c r="D50" i="81"/>
  <c r="K50" i="81"/>
  <c r="C50" i="81"/>
  <c r="C43" i="81"/>
  <c r="L43" i="81"/>
  <c r="G45" i="81"/>
  <c r="E47" i="81"/>
  <c r="I50" i="81"/>
  <c r="AI34" i="105"/>
  <c r="AF34" i="105"/>
  <c r="Z34" i="105"/>
  <c r="U34" i="105"/>
  <c r="AG33" i="105"/>
  <c r="AB33" i="105"/>
  <c r="V33" i="105"/>
  <c r="AH32" i="105"/>
  <c r="AC32" i="105"/>
  <c r="X32" i="105"/>
  <c r="AJ31" i="105"/>
  <c r="AD31" i="105"/>
  <c r="Y31" i="105"/>
  <c r="U32" i="105"/>
  <c r="AB32" i="105"/>
  <c r="AJ32" i="105"/>
  <c r="V34" i="105"/>
  <c r="AC34" i="105"/>
  <c r="AJ34" i="105"/>
  <c r="U59" i="105"/>
  <c r="AB59" i="105"/>
  <c r="AH59" i="105"/>
  <c r="U61" i="105"/>
  <c r="AC61" i="105"/>
  <c r="AJ61" i="105"/>
  <c r="F39" i="81"/>
  <c r="G39" i="81"/>
  <c r="K39" i="81"/>
  <c r="M39" i="81" s="1"/>
  <c r="F41" i="81"/>
  <c r="K41" i="81"/>
  <c r="C41" i="81"/>
  <c r="E41" i="81" s="1"/>
  <c r="L41" i="81"/>
  <c r="D43" i="81"/>
  <c r="I45" i="81"/>
  <c r="G58" i="81"/>
  <c r="H58" i="81" s="1"/>
  <c r="L58" i="81"/>
  <c r="G62" i="81"/>
  <c r="H62" i="81" s="1"/>
  <c r="L62" i="81"/>
  <c r="J69" i="81"/>
  <c r="J84" i="81"/>
  <c r="K84" i="81" s="1"/>
  <c r="Z10" i="107"/>
  <c r="AH10" i="107"/>
  <c r="AC11" i="107"/>
  <c r="V12" i="107"/>
  <c r="AF12" i="107"/>
  <c r="Z13" i="107"/>
  <c r="AI27" i="107"/>
  <c r="AG27" i="107"/>
  <c r="AB27" i="107"/>
  <c r="V27" i="107"/>
  <c r="AG26" i="107"/>
  <c r="AB26" i="107"/>
  <c r="V26" i="107"/>
  <c r="AG25" i="107"/>
  <c r="AB25" i="107"/>
  <c r="V25" i="107"/>
  <c r="AG24" i="107"/>
  <c r="AB24" i="107"/>
  <c r="V24" i="107"/>
  <c r="AJ27" i="107"/>
  <c r="AC27" i="107"/>
  <c r="U27" i="107"/>
  <c r="AD26" i="107"/>
  <c r="X26" i="107"/>
  <c r="AF25" i="107"/>
  <c r="Y25" i="107"/>
  <c r="AH24" i="107"/>
  <c r="Z24" i="107"/>
  <c r="AH22" i="107"/>
  <c r="AC24" i="107"/>
  <c r="U25" i="107"/>
  <c r="AD25" i="107"/>
  <c r="Y26" i="107"/>
  <c r="AH26" i="107"/>
  <c r="Z27" i="107"/>
  <c r="AI41" i="107"/>
  <c r="AJ41" i="107"/>
  <c r="AD41" i="107"/>
  <c r="Y41" i="107"/>
  <c r="AJ40" i="107"/>
  <c r="AD40" i="107"/>
  <c r="Y40" i="107"/>
  <c r="AJ39" i="107"/>
  <c r="AD39" i="107"/>
  <c r="Y39" i="107"/>
  <c r="AJ38" i="107"/>
  <c r="AD38" i="107"/>
  <c r="Y38" i="107"/>
  <c r="AH36" i="107"/>
  <c r="AG41" i="107"/>
  <c r="Z41" i="107"/>
  <c r="AH40" i="107"/>
  <c r="AB40" i="107"/>
  <c r="U40" i="107"/>
  <c r="AC39" i="107"/>
  <c r="V39" i="107"/>
  <c r="AF38" i="107"/>
  <c r="X38" i="107"/>
  <c r="AB38" i="107"/>
  <c r="U39" i="107"/>
  <c r="AF39" i="107"/>
  <c r="X40" i="107"/>
  <c r="AG40" i="107"/>
  <c r="AB41" i="107"/>
  <c r="Y45" i="107"/>
  <c r="AJ45" i="107"/>
  <c r="AC46" i="107"/>
  <c r="V47" i="107"/>
  <c r="AG47" i="107"/>
  <c r="Y48" i="107"/>
  <c r="AF83" i="107"/>
  <c r="Z83" i="107"/>
  <c r="AH82" i="107"/>
  <c r="AA82" i="107"/>
  <c r="AJ81" i="107"/>
  <c r="AB81" i="107"/>
  <c r="V81" i="107"/>
  <c r="AE80" i="107"/>
  <c r="W80" i="107"/>
  <c r="AB83" i="107"/>
  <c r="AJ82" i="107"/>
  <c r="Z82" i="107"/>
  <c r="AF81" i="107"/>
  <c r="W81" i="107"/>
  <c r="AB80" i="107"/>
  <c r="AH78" i="107"/>
  <c r="AH83" i="107"/>
  <c r="W83" i="107"/>
  <c r="AE82" i="107"/>
  <c r="V82" i="107"/>
  <c r="AA81" i="107"/>
  <c r="AH80" i="107"/>
  <c r="Z80" i="107"/>
  <c r="AJ80" i="107"/>
  <c r="W82" i="107"/>
  <c r="AA83" i="107"/>
  <c r="AF90" i="107"/>
  <c r="Z90" i="107"/>
  <c r="AH89" i="107"/>
  <c r="AA89" i="107"/>
  <c r="AJ88" i="107"/>
  <c r="AB88" i="107"/>
  <c r="V88" i="107"/>
  <c r="AE87" i="107"/>
  <c r="W87" i="107"/>
  <c r="AH90" i="107"/>
  <c r="W90" i="107"/>
  <c r="AF89" i="107"/>
  <c r="W89" i="107"/>
  <c r="AF88" i="107"/>
  <c r="W88" i="107"/>
  <c r="AF87" i="107"/>
  <c r="V87" i="107"/>
  <c r="AB90" i="107"/>
  <c r="AB89" i="107"/>
  <c r="AA88" i="107"/>
  <c r="AJ87" i="107"/>
  <c r="AA87" i="107"/>
  <c r="AH85" i="107"/>
  <c r="AH87" i="107"/>
  <c r="AH88" i="107"/>
  <c r="AJ89" i="107"/>
  <c r="AJ90" i="107"/>
  <c r="Z95" i="107"/>
  <c r="AE97" i="107"/>
  <c r="Z101" i="107"/>
  <c r="AH102" i="107"/>
  <c r="E51" i="81"/>
  <c r="C62" i="81"/>
  <c r="D69" i="81"/>
  <c r="J71" i="81"/>
  <c r="J77" i="81"/>
  <c r="C84" i="81"/>
  <c r="C88" i="81"/>
  <c r="J92" i="81"/>
  <c r="K92" i="81" s="1"/>
  <c r="D94" i="81"/>
  <c r="AI13" i="107"/>
  <c r="AJ13" i="107"/>
  <c r="AD13" i="107"/>
  <c r="Y13" i="107"/>
  <c r="AJ12" i="107"/>
  <c r="AD12" i="107"/>
  <c r="Y12" i="107"/>
  <c r="AJ11" i="107"/>
  <c r="AD11" i="107"/>
  <c r="Y11" i="107"/>
  <c r="AJ10" i="107"/>
  <c r="AD10" i="107"/>
  <c r="Y10" i="107"/>
  <c r="AH8" i="107"/>
  <c r="AF13" i="107"/>
  <c r="X13" i="107"/>
  <c r="AG12" i="107"/>
  <c r="Z12" i="107"/>
  <c r="AH11" i="107"/>
  <c r="AB11" i="107"/>
  <c r="U11" i="107"/>
  <c r="AC10" i="107"/>
  <c r="V10" i="107"/>
  <c r="AB10" i="107"/>
  <c r="V11" i="107"/>
  <c r="AF11" i="107"/>
  <c r="X12" i="107"/>
  <c r="AH12" i="107"/>
  <c r="AB13" i="107"/>
  <c r="AI48" i="107"/>
  <c r="AF48" i="107"/>
  <c r="Z48" i="107"/>
  <c r="U48" i="107"/>
  <c r="AF47" i="107"/>
  <c r="Z47" i="107"/>
  <c r="U47" i="107"/>
  <c r="AF46" i="107"/>
  <c r="Z46" i="107"/>
  <c r="U46" i="107"/>
  <c r="AF45" i="107"/>
  <c r="Z45" i="107"/>
  <c r="U45" i="107"/>
  <c r="AJ48" i="107"/>
  <c r="AC48" i="107"/>
  <c r="V48" i="107"/>
  <c r="AD47" i="107"/>
  <c r="X47" i="107"/>
  <c r="AG46" i="107"/>
  <c r="Y46" i="107"/>
  <c r="AH45" i="107"/>
  <c r="AB45" i="107"/>
  <c r="AH43" i="107"/>
  <c r="AC45" i="107"/>
  <c r="V46" i="107"/>
  <c r="AD46" i="107"/>
  <c r="Y47" i="107"/>
  <c r="AH47" i="107"/>
  <c r="AB48" i="107"/>
  <c r="V80" i="107"/>
  <c r="Z81" i="107"/>
  <c r="AB82" i="107"/>
  <c r="AE83" i="107"/>
  <c r="V89" i="107"/>
  <c r="V90" i="107"/>
  <c r="AH101" i="107"/>
  <c r="M47" i="81"/>
  <c r="I49" i="81"/>
  <c r="M51" i="81"/>
  <c r="I53" i="81"/>
  <c r="C58" i="81"/>
  <c r="I10" i="102"/>
  <c r="Q10" i="102"/>
  <c r="E11" i="102"/>
  <c r="M11" i="102"/>
  <c r="I12" i="102"/>
  <c r="Q12" i="102"/>
  <c r="E13" i="102"/>
  <c r="M13" i="102"/>
  <c r="D66" i="102"/>
  <c r="K66" i="102"/>
  <c r="R66" i="102"/>
  <c r="J67" i="102"/>
  <c r="P67" i="102"/>
  <c r="G68" i="102"/>
  <c r="O68" i="102"/>
  <c r="F69" i="102"/>
  <c r="D73" i="102"/>
  <c r="K73" i="102"/>
  <c r="R73" i="102"/>
  <c r="J74" i="102"/>
  <c r="P74" i="102"/>
  <c r="G75" i="102"/>
  <c r="O75" i="102"/>
  <c r="F76" i="102"/>
  <c r="L76" i="102"/>
  <c r="D80" i="102"/>
  <c r="K80" i="102"/>
  <c r="R80" i="102"/>
  <c r="J81" i="102"/>
  <c r="P81" i="102"/>
  <c r="G82" i="102"/>
  <c r="O82" i="102"/>
  <c r="F83" i="102"/>
  <c r="D87" i="102"/>
  <c r="K87" i="102"/>
  <c r="R87" i="102"/>
  <c r="J88" i="102"/>
  <c r="P88" i="102"/>
  <c r="G89" i="102"/>
  <c r="O89" i="102"/>
  <c r="F90" i="102"/>
  <c r="D94" i="102"/>
  <c r="K94" i="102"/>
  <c r="R94" i="102"/>
  <c r="J95" i="102"/>
  <c r="P95" i="102"/>
  <c r="G96" i="102"/>
  <c r="O96" i="102"/>
  <c r="F97" i="102"/>
  <c r="D101" i="102"/>
  <c r="K101" i="102"/>
  <c r="R101" i="102"/>
  <c r="J102" i="102"/>
  <c r="P102" i="102"/>
  <c r="G103" i="102"/>
  <c r="O103" i="102"/>
  <c r="F104" i="102"/>
  <c r="D10" i="105"/>
  <c r="K10" i="105"/>
  <c r="R10" i="105"/>
  <c r="J11" i="105"/>
  <c r="P11" i="105"/>
  <c r="G12" i="105"/>
  <c r="O12" i="105"/>
  <c r="F13" i="105"/>
  <c r="D17" i="105"/>
  <c r="K17" i="105"/>
  <c r="R17" i="105"/>
  <c r="J18" i="105"/>
  <c r="P18" i="105"/>
  <c r="G19" i="105"/>
  <c r="O19" i="105"/>
  <c r="F20" i="105"/>
  <c r="D24" i="105"/>
  <c r="K24" i="105"/>
  <c r="R24" i="105"/>
  <c r="J25" i="105"/>
  <c r="P25" i="105"/>
  <c r="G26" i="105"/>
  <c r="O26" i="105"/>
  <c r="F27" i="105"/>
  <c r="D31" i="105"/>
  <c r="K31" i="105"/>
  <c r="R31" i="105"/>
  <c r="J32" i="105"/>
  <c r="P32" i="105"/>
  <c r="G33" i="105"/>
  <c r="O33" i="105"/>
  <c r="F34" i="105"/>
  <c r="D38" i="105"/>
  <c r="K38" i="105"/>
  <c r="R38" i="105"/>
  <c r="J39" i="105"/>
  <c r="P39" i="105"/>
  <c r="G40" i="105"/>
  <c r="O40" i="105"/>
  <c r="F41" i="105"/>
  <c r="D45" i="105"/>
  <c r="K45" i="105"/>
  <c r="R45" i="105"/>
  <c r="J46" i="105"/>
  <c r="P46" i="105"/>
  <c r="G47" i="105"/>
  <c r="O47" i="105"/>
  <c r="F48" i="105"/>
  <c r="D52" i="105"/>
  <c r="K52" i="105"/>
  <c r="R52" i="105"/>
  <c r="J53" i="105"/>
  <c r="P53" i="105"/>
  <c r="G54" i="105"/>
  <c r="O54" i="105"/>
  <c r="F55" i="105"/>
  <c r="D59" i="105"/>
  <c r="K59" i="105"/>
  <c r="R59" i="105"/>
  <c r="J60" i="105"/>
  <c r="P60" i="105"/>
  <c r="G61" i="105"/>
  <c r="O61" i="105"/>
  <c r="F62" i="105"/>
  <c r="D66" i="105"/>
  <c r="K66" i="105"/>
  <c r="R66" i="105"/>
  <c r="J67" i="105"/>
  <c r="P67" i="105"/>
  <c r="G68" i="105"/>
  <c r="O68" i="105"/>
  <c r="F69" i="105"/>
  <c r="D73" i="105"/>
  <c r="K73" i="105"/>
  <c r="R73" i="105"/>
  <c r="J74" i="105"/>
  <c r="P74" i="105"/>
  <c r="G75" i="105"/>
  <c r="O75" i="105"/>
  <c r="F76" i="105"/>
  <c r="D80" i="105"/>
  <c r="K80" i="105"/>
  <c r="R80" i="105"/>
  <c r="J81" i="105"/>
  <c r="P81" i="105"/>
  <c r="G82" i="105"/>
  <c r="O82" i="105"/>
  <c r="F83" i="105"/>
  <c r="D87" i="105"/>
  <c r="K87" i="105"/>
  <c r="R87" i="105"/>
  <c r="J88" i="105"/>
  <c r="P88" i="105"/>
  <c r="G89" i="105"/>
  <c r="O89" i="105"/>
  <c r="F90" i="105"/>
  <c r="D94" i="105"/>
  <c r="K94" i="105"/>
  <c r="R94" i="105"/>
  <c r="J95" i="105"/>
  <c r="P95" i="105"/>
  <c r="G96" i="105"/>
  <c r="O96" i="105"/>
  <c r="F97" i="105"/>
  <c r="D101" i="105"/>
  <c r="K101" i="105"/>
  <c r="R101" i="105"/>
  <c r="J102" i="105"/>
  <c r="P102" i="105"/>
  <c r="G103" i="105"/>
  <c r="O103" i="105"/>
  <c r="F104" i="105"/>
  <c r="I40" i="81"/>
  <c r="I44" i="81"/>
  <c r="G47" i="81"/>
  <c r="I48" i="81"/>
  <c r="C49" i="81"/>
  <c r="K49" i="81"/>
  <c r="G51" i="81"/>
  <c r="H51" i="81" s="1"/>
  <c r="I52" i="81"/>
  <c r="C53" i="81"/>
  <c r="K53" i="81"/>
  <c r="G55" i="81"/>
  <c r="H55" i="81" s="1"/>
  <c r="L56" i="81"/>
  <c r="G57" i="81"/>
  <c r="H57" i="81" s="1"/>
  <c r="L57" i="81"/>
  <c r="D58" i="81"/>
  <c r="E58" i="81" s="1"/>
  <c r="I58" i="81"/>
  <c r="C59" i="81"/>
  <c r="I59" i="81"/>
  <c r="J59" i="81" s="1"/>
  <c r="G60" i="81"/>
  <c r="H60" i="81" s="1"/>
  <c r="L60" i="81"/>
  <c r="M60" i="81" s="1"/>
  <c r="G61" i="81"/>
  <c r="H61" i="81" s="1"/>
  <c r="L61" i="81"/>
  <c r="M61" i="81" s="1"/>
  <c r="D62" i="81"/>
  <c r="I62" i="81"/>
  <c r="C63" i="81"/>
  <c r="I63" i="81"/>
  <c r="J63" i="81" s="1"/>
  <c r="G64" i="81"/>
  <c r="H64" i="81" s="1"/>
  <c r="L64" i="81"/>
  <c r="M64" i="81" s="1"/>
  <c r="J68" i="81"/>
  <c r="K68" i="81" s="1"/>
  <c r="F69" i="81"/>
  <c r="D70" i="81"/>
  <c r="D73" i="81"/>
  <c r="F76" i="81"/>
  <c r="D77" i="81"/>
  <c r="J79" i="81"/>
  <c r="D84" i="81"/>
  <c r="E84" i="81" s="1"/>
  <c r="F88" i="81"/>
  <c r="C92" i="81"/>
  <c r="I93" i="81"/>
  <c r="K93" i="81" s="1"/>
  <c r="J94" i="81"/>
  <c r="K94" i="81" s="1"/>
  <c r="E105" i="81"/>
  <c r="E113" i="81"/>
  <c r="E121" i="81"/>
  <c r="U10" i="107"/>
  <c r="AF10" i="107"/>
  <c r="X11" i="107"/>
  <c r="AG11" i="107"/>
  <c r="AB12" i="107"/>
  <c r="U13" i="107"/>
  <c r="AC13" i="107"/>
  <c r="X24" i="107"/>
  <c r="AF24" i="107"/>
  <c r="Z25" i="107"/>
  <c r="AJ25" i="107"/>
  <c r="AC26" i="107"/>
  <c r="X27" i="107"/>
  <c r="AF27" i="107"/>
  <c r="V38" i="107"/>
  <c r="AG38" i="107"/>
  <c r="Z39" i="107"/>
  <c r="AH39" i="107"/>
  <c r="AC40" i="107"/>
  <c r="V41" i="107"/>
  <c r="AF41" i="107"/>
  <c r="V45" i="107"/>
  <c r="AD45" i="107"/>
  <c r="X46" i="107"/>
  <c r="AH46" i="107"/>
  <c r="AB47" i="107"/>
  <c r="AJ47" i="107"/>
  <c r="AD48" i="107"/>
  <c r="AI55" i="107"/>
  <c r="AG55" i="107"/>
  <c r="AB55" i="107"/>
  <c r="V55" i="107"/>
  <c r="AG54" i="107"/>
  <c r="AB54" i="107"/>
  <c r="V54" i="107"/>
  <c r="AG53" i="107"/>
  <c r="AB53" i="107"/>
  <c r="V53" i="107"/>
  <c r="AG52" i="107"/>
  <c r="AB52" i="107"/>
  <c r="V52" i="107"/>
  <c r="AH55" i="107"/>
  <c r="Z55" i="107"/>
  <c r="AJ54" i="107"/>
  <c r="AC54" i="107"/>
  <c r="U54" i="107"/>
  <c r="AD53" i="107"/>
  <c r="X53" i="107"/>
  <c r="AF52" i="107"/>
  <c r="Y52" i="107"/>
  <c r="AD55" i="107"/>
  <c r="X55" i="107"/>
  <c r="AF54" i="107"/>
  <c r="Y54" i="107"/>
  <c r="AH53" i="107"/>
  <c r="Z53" i="107"/>
  <c r="AJ52" i="107"/>
  <c r="AC52" i="107"/>
  <c r="U52" i="107"/>
  <c r="AD52" i="107"/>
  <c r="AC53" i="107"/>
  <c r="Z54" i="107"/>
  <c r="Y55" i="107"/>
  <c r="AA80" i="107"/>
  <c r="AE81" i="107"/>
  <c r="AF82" i="107"/>
  <c r="AJ83" i="107"/>
  <c r="Z87" i="107"/>
  <c r="Z88" i="107"/>
  <c r="Z89" i="107"/>
  <c r="AA90" i="107"/>
  <c r="AF97" i="107"/>
  <c r="Z97" i="107"/>
  <c r="AH96" i="107"/>
  <c r="AA96" i="107"/>
  <c r="AJ95" i="107"/>
  <c r="AB95" i="107"/>
  <c r="V95" i="107"/>
  <c r="AE94" i="107"/>
  <c r="W94" i="107"/>
  <c r="AB97" i="107"/>
  <c r="AB96" i="107"/>
  <c r="AA95" i="107"/>
  <c r="AJ94" i="107"/>
  <c r="AA94" i="107"/>
  <c r="AH92" i="107"/>
  <c r="AJ97" i="107"/>
  <c r="AA97" i="107"/>
  <c r="AJ96" i="107"/>
  <c r="Z96" i="107"/>
  <c r="AH97" i="107"/>
  <c r="W97" i="107"/>
  <c r="AF96" i="107"/>
  <c r="W96" i="107"/>
  <c r="AF95" i="107"/>
  <c r="W95" i="107"/>
  <c r="AF94" i="107"/>
  <c r="V94" i="107"/>
  <c r="Z94" i="107"/>
  <c r="AH95" i="107"/>
  <c r="V96" i="107"/>
  <c r="AF104" i="107"/>
  <c r="Z104" i="107"/>
  <c r="AH103" i="107"/>
  <c r="AA103" i="107"/>
  <c r="AJ102" i="107"/>
  <c r="AB102" i="107"/>
  <c r="V102" i="107"/>
  <c r="AE101" i="107"/>
  <c r="W101" i="107"/>
  <c r="AH104" i="107"/>
  <c r="W104" i="107"/>
  <c r="AF103" i="107"/>
  <c r="W103" i="107"/>
  <c r="AF102" i="107"/>
  <c r="W102" i="107"/>
  <c r="AF101" i="107"/>
  <c r="V101" i="107"/>
  <c r="AE104" i="107"/>
  <c r="V104" i="107"/>
  <c r="AE103" i="107"/>
  <c r="V103" i="107"/>
  <c r="AE102" i="107"/>
  <c r="AB101" i="107"/>
  <c r="AB104" i="107"/>
  <c r="AB103" i="107"/>
  <c r="AA102" i="107"/>
  <c r="AJ101" i="107"/>
  <c r="AA101" i="107"/>
  <c r="AH99" i="107"/>
  <c r="AJ104" i="107"/>
  <c r="AA104" i="107"/>
  <c r="AJ103" i="107"/>
  <c r="I47" i="81"/>
  <c r="J47" i="81" s="1"/>
  <c r="D49" i="81"/>
  <c r="L49" i="81"/>
  <c r="I51" i="81"/>
  <c r="J51" i="81" s="1"/>
  <c r="D53" i="81"/>
  <c r="L53" i="81"/>
  <c r="I55" i="81"/>
  <c r="J55" i="81" s="1"/>
  <c r="G56" i="81"/>
  <c r="H56" i="81" s="1"/>
  <c r="K58" i="81"/>
  <c r="M58" i="81" s="1"/>
  <c r="D59" i="81"/>
  <c r="K59" i="81"/>
  <c r="M59" i="81" s="1"/>
  <c r="K62" i="81"/>
  <c r="D63" i="81"/>
  <c r="K63" i="81"/>
  <c r="M63" i="81" s="1"/>
  <c r="J70" i="81"/>
  <c r="K70" i="81" s="1"/>
  <c r="J76" i="81"/>
  <c r="K76" i="81" s="1"/>
  <c r="F84" i="81"/>
  <c r="D92" i="81"/>
  <c r="E92" i="81" s="1"/>
  <c r="X10" i="107"/>
  <c r="AG10" i="107"/>
  <c r="Z11" i="107"/>
  <c r="U12" i="107"/>
  <c r="AC12" i="107"/>
  <c r="V13" i="107"/>
  <c r="AG13" i="107"/>
  <c r="X45" i="107"/>
  <c r="AG45" i="107"/>
  <c r="AB46" i="107"/>
  <c r="AJ46" i="107"/>
  <c r="AC47" i="107"/>
  <c r="X48" i="107"/>
  <c r="AG48" i="107"/>
  <c r="AF80" i="107"/>
  <c r="AH81" i="107"/>
  <c r="V83" i="107"/>
  <c r="AB87" i="107"/>
  <c r="AE88" i="107"/>
  <c r="AE89" i="107"/>
  <c r="AE90" i="107"/>
  <c r="AB94" i="107"/>
  <c r="AE96" i="107"/>
  <c r="V97" i="107"/>
  <c r="Z102" i="107"/>
  <c r="Q20" i="109"/>
  <c r="P20" i="109"/>
  <c r="K20" i="109"/>
  <c r="F20" i="109"/>
  <c r="R19" i="109"/>
  <c r="M19" i="109"/>
  <c r="H19" i="109"/>
  <c r="N18" i="109"/>
  <c r="H18" i="109"/>
  <c r="C18" i="109"/>
  <c r="P17" i="109"/>
  <c r="J17" i="109"/>
  <c r="E17" i="109"/>
  <c r="P15" i="109"/>
  <c r="F17" i="109"/>
  <c r="M17" i="109"/>
  <c r="D18" i="109"/>
  <c r="K18" i="109"/>
  <c r="R18" i="109"/>
  <c r="D19" i="109"/>
  <c r="J19" i="109"/>
  <c r="Q19" i="109"/>
  <c r="H20" i="109"/>
  <c r="O20" i="109"/>
  <c r="AI20" i="107"/>
  <c r="AF20" i="107"/>
  <c r="Z20" i="107"/>
  <c r="U20" i="107"/>
  <c r="AF19" i="107"/>
  <c r="Z19" i="107"/>
  <c r="U19" i="107"/>
  <c r="AF18" i="107"/>
  <c r="Z18" i="107"/>
  <c r="U18" i="107"/>
  <c r="AF17" i="107"/>
  <c r="Z17" i="107"/>
  <c r="U17" i="107"/>
  <c r="Y17" i="107"/>
  <c r="AG17" i="107"/>
  <c r="X18" i="107"/>
  <c r="AD18" i="107"/>
  <c r="V19" i="107"/>
  <c r="AC19" i="107"/>
  <c r="AJ19" i="107"/>
  <c r="AB20" i="107"/>
  <c r="AH20" i="107"/>
  <c r="AI69" i="107"/>
  <c r="AJ69" i="107"/>
  <c r="AD69" i="107"/>
  <c r="Y69" i="107"/>
  <c r="AJ68" i="107"/>
  <c r="AD68" i="107"/>
  <c r="Y68" i="107"/>
  <c r="AJ67" i="107"/>
  <c r="AD67" i="107"/>
  <c r="Y67" i="107"/>
  <c r="AJ66" i="107"/>
  <c r="AD66" i="107"/>
  <c r="Y66" i="107"/>
  <c r="AH64" i="107"/>
  <c r="Z66" i="107"/>
  <c r="AG66" i="107"/>
  <c r="X67" i="107"/>
  <c r="AF67" i="107"/>
  <c r="V68" i="107"/>
  <c r="AC68" i="107"/>
  <c r="U69" i="107"/>
  <c r="AB69" i="107"/>
  <c r="AH69" i="107"/>
  <c r="V73" i="107"/>
  <c r="AC73" i="107"/>
  <c r="AJ73" i="107"/>
  <c r="AB74" i="107"/>
  <c r="AH74" i="107"/>
  <c r="Y75" i="107"/>
  <c r="AG75" i="107"/>
  <c r="X76" i="107"/>
  <c r="I87" i="107"/>
  <c r="Q87" i="107"/>
  <c r="J88" i="107"/>
  <c r="Q88" i="107"/>
  <c r="D89" i="107"/>
  <c r="J89" i="107"/>
  <c r="Q89" i="107"/>
  <c r="D90" i="107"/>
  <c r="J90" i="107"/>
  <c r="O97" i="107"/>
  <c r="Q97" i="107"/>
  <c r="L97" i="107"/>
  <c r="F97" i="107"/>
  <c r="R96" i="107"/>
  <c r="M96" i="107"/>
  <c r="H96" i="107"/>
  <c r="N95" i="107"/>
  <c r="I95" i="107"/>
  <c r="D95" i="107"/>
  <c r="P94" i="107"/>
  <c r="J94" i="107"/>
  <c r="E94" i="107"/>
  <c r="P92" i="107"/>
  <c r="F94" i="107"/>
  <c r="M94" i="107"/>
  <c r="F95" i="107"/>
  <c r="M95" i="107"/>
  <c r="F96" i="107"/>
  <c r="N96" i="107"/>
  <c r="H97" i="107"/>
  <c r="N97" i="107"/>
  <c r="I101" i="107"/>
  <c r="Q101" i="107"/>
  <c r="J102" i="107"/>
  <c r="Q102" i="107"/>
  <c r="D103" i="107"/>
  <c r="J103" i="107"/>
  <c r="Q103" i="107"/>
  <c r="D104" i="107"/>
  <c r="J104" i="107"/>
  <c r="Q13" i="109"/>
  <c r="P13" i="109"/>
  <c r="K13" i="109"/>
  <c r="F13" i="109"/>
  <c r="P12" i="109"/>
  <c r="J12" i="109"/>
  <c r="E12" i="109"/>
  <c r="O11" i="109"/>
  <c r="J11" i="109"/>
  <c r="D11" i="109"/>
  <c r="P10" i="109"/>
  <c r="J10" i="109"/>
  <c r="E10" i="109"/>
  <c r="P8" i="109"/>
  <c r="F10" i="109"/>
  <c r="M10" i="109"/>
  <c r="V10" i="109"/>
  <c r="AF10" i="109"/>
  <c r="G11" i="109"/>
  <c r="N11" i="109"/>
  <c r="Y11" i="109"/>
  <c r="AH11" i="109"/>
  <c r="I12" i="109"/>
  <c r="Q12" i="109"/>
  <c r="AA12" i="109"/>
  <c r="D13" i="109"/>
  <c r="L13" i="109"/>
  <c r="U13" i="109"/>
  <c r="AG20" i="109"/>
  <c r="Z20" i="109"/>
  <c r="AD19" i="109"/>
  <c r="AG18" i="109"/>
  <c r="V18" i="109"/>
  <c r="Z17" i="109"/>
  <c r="AH20" i="109"/>
  <c r="X20" i="109"/>
  <c r="H17" i="109"/>
  <c r="N17" i="109"/>
  <c r="AB17" i="109"/>
  <c r="F18" i="109"/>
  <c r="L18" i="109"/>
  <c r="Y18" i="109"/>
  <c r="E19" i="109"/>
  <c r="L19" i="109"/>
  <c r="V19" i="109"/>
  <c r="C20" i="109"/>
  <c r="J20" i="109"/>
  <c r="R20" i="109"/>
  <c r="W24" i="109"/>
  <c r="AG25" i="109"/>
  <c r="Q34" i="109"/>
  <c r="O34" i="109"/>
  <c r="J34" i="109"/>
  <c r="D34" i="109"/>
  <c r="N33" i="109"/>
  <c r="I33" i="109"/>
  <c r="D33" i="109"/>
  <c r="O32" i="109"/>
  <c r="J32" i="109"/>
  <c r="D32" i="109"/>
  <c r="Q31" i="109"/>
  <c r="L31" i="109"/>
  <c r="F31" i="109"/>
  <c r="N34" i="109"/>
  <c r="H34" i="109"/>
  <c r="C34" i="109"/>
  <c r="R33" i="109"/>
  <c r="M33" i="109"/>
  <c r="H33" i="109"/>
  <c r="N32" i="109"/>
  <c r="H32" i="109"/>
  <c r="C32" i="109"/>
  <c r="P31" i="109"/>
  <c r="J31" i="109"/>
  <c r="E31" i="109"/>
  <c r="P29" i="109"/>
  <c r="H31" i="109"/>
  <c r="R31" i="109"/>
  <c r="L32" i="109"/>
  <c r="F33" i="109"/>
  <c r="Q33" i="109"/>
  <c r="G34" i="109"/>
  <c r="R34" i="109"/>
  <c r="Q48" i="109"/>
  <c r="O48" i="109"/>
  <c r="J48" i="109"/>
  <c r="D48" i="109"/>
  <c r="R47" i="109"/>
  <c r="M47" i="109"/>
  <c r="H47" i="109"/>
  <c r="N46" i="109"/>
  <c r="H46" i="109"/>
  <c r="C46" i="109"/>
  <c r="R45" i="109"/>
  <c r="M45" i="109"/>
  <c r="H45" i="109"/>
  <c r="R48" i="109"/>
  <c r="K48" i="109"/>
  <c r="C48" i="109"/>
  <c r="P47" i="109"/>
  <c r="I47" i="109"/>
  <c r="P46" i="109"/>
  <c r="J46" i="109"/>
  <c r="P45" i="109"/>
  <c r="I45" i="109"/>
  <c r="P48" i="109"/>
  <c r="H48" i="109"/>
  <c r="N47" i="109"/>
  <c r="F47" i="109"/>
  <c r="O46" i="109"/>
  <c r="G46" i="109"/>
  <c r="N45" i="109"/>
  <c r="F45" i="109"/>
  <c r="P43" i="109"/>
  <c r="J45" i="109"/>
  <c r="L46" i="109"/>
  <c r="D47" i="109"/>
  <c r="Q47" i="109"/>
  <c r="G48" i="109"/>
  <c r="Q55" i="109"/>
  <c r="N55" i="109"/>
  <c r="H55" i="109"/>
  <c r="C55" i="109"/>
  <c r="N54" i="109"/>
  <c r="I54" i="109"/>
  <c r="D54" i="109"/>
  <c r="N53" i="109"/>
  <c r="H53" i="109"/>
  <c r="C53" i="109"/>
  <c r="N52" i="109"/>
  <c r="I52" i="109"/>
  <c r="D52" i="109"/>
  <c r="R55" i="109"/>
  <c r="K55" i="109"/>
  <c r="D55" i="109"/>
  <c r="M54" i="109"/>
  <c r="F54" i="109"/>
  <c r="O53" i="109"/>
  <c r="G53" i="109"/>
  <c r="Q52" i="109"/>
  <c r="J52" i="109"/>
  <c r="P55" i="109"/>
  <c r="J55" i="109"/>
  <c r="R54" i="109"/>
  <c r="L54" i="109"/>
  <c r="E54" i="109"/>
  <c r="L53" i="109"/>
  <c r="F53" i="109"/>
  <c r="P52" i="109"/>
  <c r="H52" i="109"/>
  <c r="P50" i="109"/>
  <c r="L52" i="109"/>
  <c r="J53" i="109"/>
  <c r="H54" i="109"/>
  <c r="F55" i="109"/>
  <c r="Q76" i="109"/>
  <c r="R76" i="109"/>
  <c r="L76" i="109"/>
  <c r="G76" i="109"/>
  <c r="R75" i="109"/>
  <c r="M75" i="109"/>
  <c r="H75" i="109"/>
  <c r="R74" i="109"/>
  <c r="L74" i="109"/>
  <c r="G74" i="109"/>
  <c r="R73" i="109"/>
  <c r="M73" i="109"/>
  <c r="H73" i="109"/>
  <c r="P76" i="109"/>
  <c r="J76" i="109"/>
  <c r="C76" i="109"/>
  <c r="L75" i="109"/>
  <c r="E75" i="109"/>
  <c r="N74" i="109"/>
  <c r="F74" i="109"/>
  <c r="P73" i="109"/>
  <c r="I73" i="109"/>
  <c r="O76" i="109"/>
  <c r="H76" i="109"/>
  <c r="Q75" i="109"/>
  <c r="J75" i="109"/>
  <c r="D75" i="109"/>
  <c r="K74" i="109"/>
  <c r="D74" i="109"/>
  <c r="N73" i="109"/>
  <c r="F73" i="109"/>
  <c r="P71" i="109"/>
  <c r="J73" i="109"/>
  <c r="H74" i="109"/>
  <c r="F75" i="109"/>
  <c r="D76" i="109"/>
  <c r="Q83" i="109"/>
  <c r="N83" i="109"/>
  <c r="H83" i="109"/>
  <c r="C83" i="109"/>
  <c r="N82" i="109"/>
  <c r="I82" i="109"/>
  <c r="D82" i="109"/>
  <c r="N81" i="109"/>
  <c r="H81" i="109"/>
  <c r="C81" i="109"/>
  <c r="N80" i="109"/>
  <c r="I80" i="109"/>
  <c r="D80" i="109"/>
  <c r="L83" i="109"/>
  <c r="F83" i="109"/>
  <c r="P82" i="109"/>
  <c r="H82" i="109"/>
  <c r="P81" i="109"/>
  <c r="J81" i="109"/>
  <c r="R80" i="109"/>
  <c r="L80" i="109"/>
  <c r="E80" i="109"/>
  <c r="R83" i="109"/>
  <c r="K83" i="109"/>
  <c r="D83" i="109"/>
  <c r="M82" i="109"/>
  <c r="F82" i="109"/>
  <c r="O81" i="109"/>
  <c r="G81" i="109"/>
  <c r="Q80" i="109"/>
  <c r="J80" i="109"/>
  <c r="H80" i="109"/>
  <c r="F81" i="109"/>
  <c r="E82" i="109"/>
  <c r="R82" i="109"/>
  <c r="P83" i="109"/>
  <c r="AF13" i="109"/>
  <c r="X13" i="109"/>
  <c r="AE12" i="109"/>
  <c r="X12" i="109"/>
  <c r="AD11" i="109"/>
  <c r="X11" i="109"/>
  <c r="AE10" i="109"/>
  <c r="W10" i="109"/>
  <c r="Z10" i="109"/>
  <c r="AH10" i="109"/>
  <c r="AB11" i="109"/>
  <c r="AD12" i="109"/>
  <c r="V13" i="109"/>
  <c r="AG13" i="109"/>
  <c r="I17" i="109"/>
  <c r="Q17" i="109"/>
  <c r="G18" i="109"/>
  <c r="O18" i="109"/>
  <c r="F19" i="109"/>
  <c r="N19" i="109"/>
  <c r="D20" i="109"/>
  <c r="L20" i="109"/>
  <c r="AG41" i="109"/>
  <c r="AE40" i="109"/>
  <c r="W40" i="109"/>
  <c r="AD38" i="109"/>
  <c r="X39" i="109"/>
  <c r="AI76" i="107"/>
  <c r="AF76" i="107"/>
  <c r="Z76" i="107"/>
  <c r="U76" i="107"/>
  <c r="AF75" i="107"/>
  <c r="Z75" i="107"/>
  <c r="U75" i="107"/>
  <c r="AF74" i="107"/>
  <c r="Z74" i="107"/>
  <c r="U74" i="107"/>
  <c r="AF73" i="107"/>
  <c r="Z73" i="107"/>
  <c r="U73" i="107"/>
  <c r="Y73" i="107"/>
  <c r="AG73" i="107"/>
  <c r="X74" i="107"/>
  <c r="AD74" i="107"/>
  <c r="V75" i="107"/>
  <c r="AC75" i="107"/>
  <c r="AJ75" i="107"/>
  <c r="AB76" i="107"/>
  <c r="AH76" i="107"/>
  <c r="O90" i="107"/>
  <c r="Q90" i="107"/>
  <c r="L90" i="107"/>
  <c r="F90" i="107"/>
  <c r="R89" i="107"/>
  <c r="M89" i="107"/>
  <c r="H89" i="107"/>
  <c r="N88" i="107"/>
  <c r="I88" i="107"/>
  <c r="D88" i="107"/>
  <c r="P87" i="107"/>
  <c r="J87" i="107"/>
  <c r="E87" i="107"/>
  <c r="P85" i="107"/>
  <c r="F87" i="107"/>
  <c r="M87" i="107"/>
  <c r="F88" i="107"/>
  <c r="M88" i="107"/>
  <c r="F89" i="107"/>
  <c r="N89" i="107"/>
  <c r="H90" i="107"/>
  <c r="N90" i="107"/>
  <c r="O104" i="107"/>
  <c r="Q104" i="107"/>
  <c r="L104" i="107"/>
  <c r="F104" i="107"/>
  <c r="R103" i="107"/>
  <c r="M103" i="107"/>
  <c r="H103" i="107"/>
  <c r="N102" i="107"/>
  <c r="I102" i="107"/>
  <c r="D102" i="107"/>
  <c r="P101" i="107"/>
  <c r="J101" i="107"/>
  <c r="E101" i="107"/>
  <c r="P99" i="107"/>
  <c r="F101" i="107"/>
  <c r="M101" i="107"/>
  <c r="F102" i="107"/>
  <c r="M102" i="107"/>
  <c r="F103" i="107"/>
  <c r="N103" i="107"/>
  <c r="H104" i="107"/>
  <c r="N104" i="107"/>
  <c r="AF8" i="109"/>
  <c r="AA10" i="109"/>
  <c r="AC11" i="109"/>
  <c r="V12" i="109"/>
  <c r="AF12" i="109"/>
  <c r="Z13" i="109"/>
  <c r="AH13" i="109"/>
  <c r="D17" i="109"/>
  <c r="L17" i="109"/>
  <c r="R17" i="109"/>
  <c r="J18" i="109"/>
  <c r="P18" i="109"/>
  <c r="I19" i="109"/>
  <c r="P19" i="109"/>
  <c r="G20" i="109"/>
  <c r="N20" i="109"/>
  <c r="AD27" i="109"/>
  <c r="AF26" i="109"/>
  <c r="V26" i="109"/>
  <c r="AC25" i="109"/>
  <c r="V25" i="109"/>
  <c r="AB24" i="109"/>
  <c r="V24" i="109"/>
  <c r="AB27" i="109"/>
  <c r="AD26" i="109"/>
  <c r="AH25" i="109"/>
  <c r="AB25" i="109"/>
  <c r="AH24" i="109"/>
  <c r="AA24" i="109"/>
  <c r="AF22" i="109"/>
  <c r="AE24" i="109"/>
  <c r="Y25" i="109"/>
  <c r="X26" i="109"/>
  <c r="X27" i="109"/>
  <c r="AD39" i="109"/>
  <c r="Q41" i="109"/>
  <c r="R41" i="109"/>
  <c r="L41" i="109"/>
  <c r="G41" i="109"/>
  <c r="P40" i="109"/>
  <c r="J40" i="109"/>
  <c r="E40" i="109"/>
  <c r="R39" i="109"/>
  <c r="L39" i="109"/>
  <c r="G39" i="109"/>
  <c r="E38" i="109"/>
  <c r="J38" i="109"/>
  <c r="P38" i="109"/>
  <c r="H39" i="109"/>
  <c r="O39" i="109"/>
  <c r="D40" i="109"/>
  <c r="L40" i="109"/>
  <c r="R40" i="109"/>
  <c r="F41" i="109"/>
  <c r="N41" i="109"/>
  <c r="Q97" i="109"/>
  <c r="R97" i="109"/>
  <c r="L97" i="109"/>
  <c r="G97" i="109"/>
  <c r="R96" i="109"/>
  <c r="M96" i="109"/>
  <c r="H96" i="109"/>
  <c r="R95" i="109"/>
  <c r="L95" i="109"/>
  <c r="G95" i="109"/>
  <c r="Q94" i="109"/>
  <c r="L94" i="109"/>
  <c r="F94" i="109"/>
  <c r="P92" i="109"/>
  <c r="H94" i="109"/>
  <c r="N94" i="109"/>
  <c r="H95" i="109"/>
  <c r="O95" i="109"/>
  <c r="F96" i="109"/>
  <c r="N96" i="109"/>
  <c r="D97" i="109"/>
  <c r="K97" i="109"/>
  <c r="N104" i="109"/>
  <c r="G104" i="109"/>
  <c r="Q103" i="109"/>
  <c r="I103" i="109"/>
  <c r="R102" i="109"/>
  <c r="K102" i="109"/>
  <c r="D102" i="109"/>
  <c r="O101" i="109"/>
  <c r="J101" i="109"/>
  <c r="D101" i="109"/>
  <c r="G101" i="109"/>
  <c r="N101" i="109"/>
  <c r="F102" i="109"/>
  <c r="N102" i="109"/>
  <c r="G103" i="109"/>
  <c r="R103" i="109"/>
  <c r="K104" i="109"/>
  <c r="P15" i="108" a="1"/>
  <c r="P15" i="108" s="1"/>
  <c r="D17" i="108"/>
  <c r="Q17" i="108"/>
  <c r="I18" i="108"/>
  <c r="N19" i="108"/>
  <c r="F20" i="108"/>
  <c r="P20" i="108"/>
  <c r="AH27" i="108"/>
  <c r="AG27" i="108"/>
  <c r="AB27" i="108"/>
  <c r="W27" i="108"/>
  <c r="AF26" i="108"/>
  <c r="AA26" i="108"/>
  <c r="U26" i="108"/>
  <c r="AI25" i="108"/>
  <c r="AC25" i="108"/>
  <c r="X25" i="108"/>
  <c r="AG24" i="108"/>
  <c r="AB24" i="108"/>
  <c r="W24" i="108"/>
  <c r="I24" i="108"/>
  <c r="U24" i="108"/>
  <c r="AC24" i="108"/>
  <c r="AJ24" i="108"/>
  <c r="N25" i="108"/>
  <c r="Y25" i="108"/>
  <c r="AF25" i="108"/>
  <c r="G26" i="108"/>
  <c r="W26" i="108"/>
  <c r="AC26" i="108"/>
  <c r="AJ26" i="108"/>
  <c r="N27" i="108"/>
  <c r="Y27" i="108"/>
  <c r="AF27" i="108"/>
  <c r="AH34" i="108"/>
  <c r="W34" i="108"/>
  <c r="AG33" i="108"/>
  <c r="W33" i="108"/>
  <c r="AD32" i="108"/>
  <c r="V32" i="108"/>
  <c r="AD31" i="108"/>
  <c r="K31" i="108"/>
  <c r="AA31" i="108"/>
  <c r="K32" i="108"/>
  <c r="AA32" i="108"/>
  <c r="D33" i="108"/>
  <c r="Y33" i="108"/>
  <c r="D34" i="108"/>
  <c r="V34" i="108"/>
  <c r="AI34" i="108"/>
  <c r="U38" i="108"/>
  <c r="AB38" i="108"/>
  <c r="AI38" i="108"/>
  <c r="U39" i="108"/>
  <c r="AB39" i="108"/>
  <c r="AJ39" i="108"/>
  <c r="X40" i="108"/>
  <c r="AI40" i="108"/>
  <c r="X41" i="108"/>
  <c r="AI41" i="108"/>
  <c r="K47" i="108"/>
  <c r="Q53" i="108"/>
  <c r="C54" i="108"/>
  <c r="AH57" i="108" a="1"/>
  <c r="AH57" i="108" s="1"/>
  <c r="AC59" i="108"/>
  <c r="U60" i="108"/>
  <c r="AE60" i="108"/>
  <c r="X61" i="108"/>
  <c r="AF61" i="108"/>
  <c r="W62" i="108"/>
  <c r="AG62" i="108"/>
  <c r="D66" i="108"/>
  <c r="Z66" i="108"/>
  <c r="O67" i="108"/>
  <c r="AI67" i="108"/>
  <c r="Z68" i="108"/>
  <c r="O69" i="108"/>
  <c r="AE69" i="108"/>
  <c r="H80" i="108" a="1"/>
  <c r="H80" i="108" s="1"/>
  <c r="M80" i="108" a="1"/>
  <c r="M80" i="108" s="1"/>
  <c r="H81" i="108" a="1"/>
  <c r="H81" i="108" s="1"/>
  <c r="M81" i="108" a="1"/>
  <c r="M81" i="108" s="1"/>
  <c r="H82" i="108" a="1"/>
  <c r="H82" i="108" s="1"/>
  <c r="M82" i="108" a="1"/>
  <c r="M82" i="108" s="1"/>
  <c r="P90" i="108" a="1"/>
  <c r="P90" i="108" s="1"/>
  <c r="L90" i="108" a="1"/>
  <c r="L90" i="108" s="1"/>
  <c r="H90" i="108" a="1"/>
  <c r="H90" i="108" s="1"/>
  <c r="D90" i="108" a="1"/>
  <c r="D90" i="108" s="1"/>
  <c r="P89" i="108" a="1"/>
  <c r="P89" i="108" s="1"/>
  <c r="L89" i="108" a="1"/>
  <c r="L89" i="108" s="1"/>
  <c r="H89" i="108" a="1"/>
  <c r="H89" i="108" s="1"/>
  <c r="D89" i="108" a="1"/>
  <c r="D89" i="108" s="1"/>
  <c r="N88" i="108" a="1"/>
  <c r="N88" i="108" s="1"/>
  <c r="K88" i="108" a="1"/>
  <c r="K88" i="108" s="1"/>
  <c r="F88" i="108" a="1"/>
  <c r="F88" i="108" s="1"/>
  <c r="C88" i="108" a="1"/>
  <c r="C88" i="108" s="1"/>
  <c r="N87" i="108" a="1"/>
  <c r="N87" i="108" s="1"/>
  <c r="K87" i="108" a="1"/>
  <c r="K87" i="108" s="1"/>
  <c r="F87" i="108" a="1"/>
  <c r="F87" i="108" s="1"/>
  <c r="C87" i="108" a="1"/>
  <c r="C87" i="108" s="1"/>
  <c r="N90" i="108" a="1"/>
  <c r="N90" i="108" s="1"/>
  <c r="I90" i="108" a="1"/>
  <c r="I90" i="108" s="1"/>
  <c r="C90" i="108" a="1"/>
  <c r="C90" i="108" s="1"/>
  <c r="N89" i="108" a="1"/>
  <c r="N89" i="108" s="1"/>
  <c r="I89" i="108" a="1"/>
  <c r="I89" i="108" s="1"/>
  <c r="C89" i="108" a="1"/>
  <c r="C89" i="108" s="1"/>
  <c r="O88" i="108" a="1"/>
  <c r="O88" i="108" s="1"/>
  <c r="L88" i="108" a="1"/>
  <c r="L88" i="108" s="1"/>
  <c r="H88" i="108" a="1"/>
  <c r="H88" i="108" s="1"/>
  <c r="O90" i="108" a="1"/>
  <c r="O90" i="108" s="1"/>
  <c r="G90" i="108" a="1"/>
  <c r="G90" i="108" s="1"/>
  <c r="Q89" i="108" a="1"/>
  <c r="Q89" i="108" s="1"/>
  <c r="J89" i="108" a="1"/>
  <c r="J89" i="108" s="1"/>
  <c r="R88" i="108" a="1"/>
  <c r="R88" i="108" s="1"/>
  <c r="M88" i="108" a="1"/>
  <c r="M88" i="108" s="1"/>
  <c r="I88" i="108" a="1"/>
  <c r="I88" i="108" s="1"/>
  <c r="D88" i="108" a="1"/>
  <c r="D88" i="108" s="1"/>
  <c r="O87" i="108" a="1"/>
  <c r="O87" i="108" s="1"/>
  <c r="L87" i="108" a="1"/>
  <c r="L87" i="108" s="1"/>
  <c r="H87" i="108" a="1"/>
  <c r="H87" i="108" s="1"/>
  <c r="M90" i="108" a="1"/>
  <c r="M90" i="108" s="1"/>
  <c r="F90" i="108" a="1"/>
  <c r="F90" i="108" s="1"/>
  <c r="O89" i="108" a="1"/>
  <c r="O89" i="108" s="1"/>
  <c r="G89" i="108" a="1"/>
  <c r="G89" i="108" s="1"/>
  <c r="Q88" i="108" a="1"/>
  <c r="Q88" i="108" s="1"/>
  <c r="G88" i="108" a="1"/>
  <c r="G88" i="108" s="1"/>
  <c r="R87" i="108" a="1"/>
  <c r="R87" i="108" s="1"/>
  <c r="G87" i="108" a="1"/>
  <c r="G87" i="108" s="1"/>
  <c r="D87" i="108" a="1"/>
  <c r="D87" i="108" s="1"/>
  <c r="R90" i="108" a="1"/>
  <c r="R90" i="108" s="1"/>
  <c r="K90" i="108" a="1"/>
  <c r="K90" i="108" s="1"/>
  <c r="E90" i="108" a="1"/>
  <c r="E90" i="108" s="1"/>
  <c r="M89" i="108" a="1"/>
  <c r="M89" i="108" s="1"/>
  <c r="F89" i="108" a="1"/>
  <c r="F89" i="108" s="1"/>
  <c r="P88" i="108" a="1"/>
  <c r="P88" i="108" s="1"/>
  <c r="Q87" i="108" a="1"/>
  <c r="Q87" i="108" s="1"/>
  <c r="M87" i="108" a="1"/>
  <c r="M87" i="108" s="1"/>
  <c r="J87" i="108" a="1"/>
  <c r="J87" i="108" s="1"/>
  <c r="P85" i="108" a="1"/>
  <c r="P85" i="108" s="1"/>
  <c r="I87" i="108" a="1"/>
  <c r="I87" i="108" s="1"/>
  <c r="E88" i="108" a="1"/>
  <c r="E88" i="108" s="1"/>
  <c r="J90" i="108" a="1"/>
  <c r="J90" i="108" s="1"/>
  <c r="X31" i="107"/>
  <c r="AC31" i="107"/>
  <c r="AH31" i="107"/>
  <c r="X32" i="107"/>
  <c r="AC32" i="107"/>
  <c r="AH32" i="107"/>
  <c r="X33" i="107"/>
  <c r="AC33" i="107"/>
  <c r="AH33" i="107"/>
  <c r="X34" i="107"/>
  <c r="AC34" i="107"/>
  <c r="AH34" i="107"/>
  <c r="X59" i="107"/>
  <c r="AC59" i="107"/>
  <c r="AH59" i="107"/>
  <c r="X60" i="107"/>
  <c r="AC60" i="107"/>
  <c r="AH60" i="107"/>
  <c r="X61" i="107"/>
  <c r="AC61" i="107"/>
  <c r="AH61" i="107"/>
  <c r="X62" i="107"/>
  <c r="AC62" i="107"/>
  <c r="AH62" i="107"/>
  <c r="D24" i="109"/>
  <c r="I24" i="109"/>
  <c r="N24" i="109"/>
  <c r="C25" i="109"/>
  <c r="H25" i="109"/>
  <c r="N25" i="109"/>
  <c r="D26" i="109"/>
  <c r="I26" i="109"/>
  <c r="N26" i="109"/>
  <c r="G27" i="109"/>
  <c r="L27" i="109"/>
  <c r="R27" i="109"/>
  <c r="AA31" i="109"/>
  <c r="X32" i="109"/>
  <c r="X33" i="109"/>
  <c r="P36" i="109"/>
  <c r="F38" i="109"/>
  <c r="L38" i="109"/>
  <c r="Q38" i="109"/>
  <c r="C39" i="109"/>
  <c r="J39" i="109"/>
  <c r="P39" i="109"/>
  <c r="F40" i="109"/>
  <c r="M40" i="109"/>
  <c r="H41" i="109"/>
  <c r="O41" i="109"/>
  <c r="AD48" i="109"/>
  <c r="AF48" i="109"/>
  <c r="AH46" i="109"/>
  <c r="U46" i="109"/>
  <c r="AF43" i="109"/>
  <c r="AE45" i="109"/>
  <c r="AF46" i="109"/>
  <c r="Q69" i="109"/>
  <c r="P69" i="109"/>
  <c r="K69" i="109"/>
  <c r="F69" i="109"/>
  <c r="Q68" i="109"/>
  <c r="L68" i="109"/>
  <c r="F68" i="109"/>
  <c r="P67" i="109"/>
  <c r="K67" i="109"/>
  <c r="F67" i="109"/>
  <c r="Q66" i="109"/>
  <c r="L66" i="109"/>
  <c r="F66" i="109"/>
  <c r="P64" i="109"/>
  <c r="H66" i="109"/>
  <c r="N66" i="109"/>
  <c r="D67" i="109"/>
  <c r="L67" i="109"/>
  <c r="D68" i="109"/>
  <c r="J68" i="109"/>
  <c r="R68" i="109"/>
  <c r="H69" i="109"/>
  <c r="O69" i="109"/>
  <c r="AH97" i="109"/>
  <c r="AF94" i="109"/>
  <c r="I94" i="109"/>
  <c r="P94" i="109"/>
  <c r="C95" i="109"/>
  <c r="J95" i="109"/>
  <c r="P95" i="109"/>
  <c r="I96" i="109"/>
  <c r="P96" i="109"/>
  <c r="F97" i="109"/>
  <c r="N97" i="109"/>
  <c r="P99" i="109"/>
  <c r="H101" i="109"/>
  <c r="P101" i="109"/>
  <c r="G102" i="109"/>
  <c r="Q102" i="109"/>
  <c r="K103" i="109"/>
  <c r="C104" i="109"/>
  <c r="M104" i="109"/>
  <c r="G17" i="108"/>
  <c r="J18" i="108"/>
  <c r="C19" i="108"/>
  <c r="Q19" i="108"/>
  <c r="G20" i="108"/>
  <c r="K24" i="108"/>
  <c r="X24" i="108"/>
  <c r="AE24" i="108"/>
  <c r="C25" i="108"/>
  <c r="R25" i="108"/>
  <c r="AA25" i="108"/>
  <c r="AG25" i="108"/>
  <c r="M26" i="108"/>
  <c r="X26" i="108"/>
  <c r="AE26" i="108"/>
  <c r="F27" i="108"/>
  <c r="AA27" i="108"/>
  <c r="AI27" i="108"/>
  <c r="O31" i="108"/>
  <c r="AG31" i="108"/>
  <c r="O32" i="108"/>
  <c r="AC32" i="108"/>
  <c r="K33" i="108"/>
  <c r="AA33" i="108"/>
  <c r="G34" i="108"/>
  <c r="AA34" i="108"/>
  <c r="R41" i="108"/>
  <c r="J41" i="108"/>
  <c r="C41" i="108"/>
  <c r="M40" i="108"/>
  <c r="O41" i="108"/>
  <c r="G41" i="108"/>
  <c r="O40" i="108"/>
  <c r="G40" i="108"/>
  <c r="O39" i="108"/>
  <c r="I39" i="108"/>
  <c r="R38" i="108"/>
  <c r="J38" i="108"/>
  <c r="C38" i="108"/>
  <c r="P36" i="108" a="1"/>
  <c r="P36" i="108" s="1"/>
  <c r="AH36" i="108" a="1"/>
  <c r="AH36" i="108" s="1"/>
  <c r="M38" i="108"/>
  <c r="W38" i="108"/>
  <c r="AC38" i="108"/>
  <c r="C39" i="108"/>
  <c r="M39" i="108"/>
  <c r="W39" i="108"/>
  <c r="AE39" i="108"/>
  <c r="C40" i="108"/>
  <c r="N40" i="108"/>
  <c r="AB40" i="108"/>
  <c r="AJ40" i="108"/>
  <c r="N41" i="108"/>
  <c r="AB41" i="108"/>
  <c r="O48" i="108"/>
  <c r="P48" i="108"/>
  <c r="E48" i="108"/>
  <c r="M47" i="108"/>
  <c r="C47" i="108"/>
  <c r="K46" i="108"/>
  <c r="H45" i="108"/>
  <c r="C48" i="108"/>
  <c r="P47" i="108"/>
  <c r="M46" i="108"/>
  <c r="K45" i="108"/>
  <c r="C45" i="108"/>
  <c r="C46" i="108"/>
  <c r="M48" i="108"/>
  <c r="Q54" i="108"/>
  <c r="W59" i="108"/>
  <c r="AF59" i="108"/>
  <c r="W60" i="108"/>
  <c r="AG60" i="108"/>
  <c r="Y61" i="108"/>
  <c r="AI61" i="108"/>
  <c r="AA62" i="108"/>
  <c r="H66" i="108"/>
  <c r="AG66" i="108"/>
  <c r="V67" i="108"/>
  <c r="AE68" i="108"/>
  <c r="U69" i="108"/>
  <c r="M76" i="108"/>
  <c r="R76" i="108"/>
  <c r="E76" i="108"/>
  <c r="F75" i="108"/>
  <c r="G74" i="108"/>
  <c r="J73" i="108"/>
  <c r="K76" i="108"/>
  <c r="J75" i="108"/>
  <c r="E74" i="108"/>
  <c r="G76" i="108"/>
  <c r="K74" i="108"/>
  <c r="R83" i="108" a="1"/>
  <c r="R83" i="108" s="1"/>
  <c r="O83" i="108" a="1"/>
  <c r="O83" i="108" s="1"/>
  <c r="J83" i="108" a="1"/>
  <c r="J83" i="108" s="1"/>
  <c r="G83" i="108" a="1"/>
  <c r="G83" i="108" s="1"/>
  <c r="Q83" i="108" a="1"/>
  <c r="Q83" i="108" s="1"/>
  <c r="L83" i="108" a="1"/>
  <c r="L83" i="108" s="1"/>
  <c r="I83" i="108" a="1"/>
  <c r="I83" i="108" s="1"/>
  <c r="D83" i="108" a="1"/>
  <c r="D83" i="108" s="1"/>
  <c r="Q82" i="108" a="1"/>
  <c r="Q82" i="108" s="1"/>
  <c r="L82" i="108" a="1"/>
  <c r="L82" i="108" s="1"/>
  <c r="I82" i="108" a="1"/>
  <c r="I82" i="108" s="1"/>
  <c r="D82" i="108" a="1"/>
  <c r="D82" i="108" s="1"/>
  <c r="Q81" i="108" a="1"/>
  <c r="Q81" i="108" s="1"/>
  <c r="L81" i="108" a="1"/>
  <c r="L81" i="108" s="1"/>
  <c r="I81" i="108" a="1"/>
  <c r="I81" i="108" s="1"/>
  <c r="D81" i="108" a="1"/>
  <c r="D81" i="108" s="1"/>
  <c r="Q80" i="108" a="1"/>
  <c r="Q80" i="108" s="1"/>
  <c r="L80" i="108" a="1"/>
  <c r="L80" i="108" s="1"/>
  <c r="I80" i="108" a="1"/>
  <c r="I80" i="108" s="1"/>
  <c r="D80" i="108" a="1"/>
  <c r="D80" i="108" s="1"/>
  <c r="N83" i="108" a="1"/>
  <c r="N83" i="108" s="1"/>
  <c r="K83" i="108" a="1"/>
  <c r="K83" i="108" s="1"/>
  <c r="F83" i="108" a="1"/>
  <c r="F83" i="108" s="1"/>
  <c r="C83" i="108" a="1"/>
  <c r="C83" i="108" s="1"/>
  <c r="N82" i="108" a="1"/>
  <c r="N82" i="108" s="1"/>
  <c r="K82" i="108" a="1"/>
  <c r="K82" i="108" s="1"/>
  <c r="F82" i="108" a="1"/>
  <c r="F82" i="108" s="1"/>
  <c r="C82" i="108" a="1"/>
  <c r="C82" i="108" s="1"/>
  <c r="N81" i="108" a="1"/>
  <c r="N81" i="108" s="1"/>
  <c r="K81" i="108" a="1"/>
  <c r="K81" i="108" s="1"/>
  <c r="F81" i="108" a="1"/>
  <c r="F81" i="108" s="1"/>
  <c r="C81" i="108" a="1"/>
  <c r="C81" i="108" s="1"/>
  <c r="N80" i="108" a="1"/>
  <c r="N80" i="108" s="1"/>
  <c r="K80" i="108" a="1"/>
  <c r="K80" i="108" s="1"/>
  <c r="F80" i="108" a="1"/>
  <c r="F80" i="108" s="1"/>
  <c r="C80" i="108" a="1"/>
  <c r="C80" i="108" s="1"/>
  <c r="P78" i="108" a="1"/>
  <c r="P78" i="108" s="1"/>
  <c r="J80" i="108" a="1"/>
  <c r="J80" i="108" s="1"/>
  <c r="O80" i="108" a="1"/>
  <c r="O80" i="108" s="1"/>
  <c r="J81" i="108" a="1"/>
  <c r="J81" i="108" s="1"/>
  <c r="O81" i="108" a="1"/>
  <c r="O81" i="108" s="1"/>
  <c r="J82" i="108" a="1"/>
  <c r="J82" i="108" s="1"/>
  <c r="O82" i="108" a="1"/>
  <c r="O82" i="108" s="1"/>
  <c r="E83" i="108" a="1"/>
  <c r="E83" i="108" s="1"/>
  <c r="P83" i="108" a="1"/>
  <c r="P83" i="108" s="1"/>
  <c r="J88" i="108" a="1"/>
  <c r="J88" i="108" s="1"/>
  <c r="E89" i="108" a="1"/>
  <c r="E89" i="108" s="1"/>
  <c r="Q90" i="108" a="1"/>
  <c r="Q90" i="108" s="1"/>
  <c r="K17" i="108"/>
  <c r="P18" i="108"/>
  <c r="G19" i="108"/>
  <c r="R19" i="108"/>
  <c r="M27" i="108"/>
  <c r="C27" i="108"/>
  <c r="I26" i="108"/>
  <c r="Q25" i="108"/>
  <c r="G25" i="108"/>
  <c r="M24" i="108"/>
  <c r="C24" i="108"/>
  <c r="P22" i="108" a="1"/>
  <c r="P22" i="108" s="1"/>
  <c r="Q24" i="108"/>
  <c r="I25" i="108"/>
  <c r="N26" i="108"/>
  <c r="G27" i="108"/>
  <c r="Q32" i="108"/>
  <c r="O33" i="108"/>
  <c r="X38" i="108"/>
  <c r="AF38" i="108"/>
  <c r="Y39" i="108"/>
  <c r="AF39" i="108"/>
  <c r="AC40" i="108"/>
  <c r="U41" i="108"/>
  <c r="AH62" i="108"/>
  <c r="AJ62" i="108"/>
  <c r="AE62" i="108"/>
  <c r="Y62" i="108"/>
  <c r="AG61" i="108"/>
  <c r="AB61" i="108"/>
  <c r="W61" i="108"/>
  <c r="AI60" i="108"/>
  <c r="AC60" i="108"/>
  <c r="X60" i="108"/>
  <c r="AJ59" i="108"/>
  <c r="AE59" i="108"/>
  <c r="Y59" i="108"/>
  <c r="AF62" i="108"/>
  <c r="X62" i="108"/>
  <c r="AJ61" i="108"/>
  <c r="AC61" i="108"/>
  <c r="U61" i="108"/>
  <c r="AF60" i="108"/>
  <c r="Y60" i="108"/>
  <c r="AI59" i="108"/>
  <c r="AB59" i="108"/>
  <c r="U59" i="108"/>
  <c r="X59" i="108"/>
  <c r="AG59" i="108"/>
  <c r="AA60" i="108"/>
  <c r="AJ60" i="108"/>
  <c r="AA61" i="108"/>
  <c r="AB62" i="108"/>
  <c r="Q69" i="108"/>
  <c r="L69" i="108"/>
  <c r="H68" i="108"/>
  <c r="D67" i="108"/>
  <c r="O66" i="108"/>
  <c r="H69" i="108"/>
  <c r="L68" i="108"/>
  <c r="L67" i="108"/>
  <c r="L66" i="108"/>
  <c r="P64" i="108" a="1"/>
  <c r="P64" i="108" s="1"/>
  <c r="U66" i="108"/>
  <c r="AI66" i="108"/>
  <c r="Y67" i="108"/>
  <c r="O68" i="108"/>
  <c r="AI68" i="108"/>
  <c r="O76" i="108"/>
  <c r="E81" i="108" a="1"/>
  <c r="E81" i="108" s="1"/>
  <c r="P81" i="108" a="1"/>
  <c r="P81" i="108" s="1"/>
  <c r="E82" i="108" a="1"/>
  <c r="E82" i="108" s="1"/>
  <c r="P82" i="108" a="1"/>
  <c r="P82" i="108" s="1"/>
  <c r="H83" i="108" a="1"/>
  <c r="H83" i="108" s="1"/>
  <c r="P87" i="108" a="1"/>
  <c r="P87" i="108" s="1"/>
  <c r="K89" i="108" a="1"/>
  <c r="K89" i="108" s="1"/>
  <c r="J20" i="108"/>
  <c r="K19" i="108"/>
  <c r="M18" i="108"/>
  <c r="D18" i="108"/>
  <c r="O17" i="108"/>
  <c r="E17" i="108"/>
  <c r="L17" i="108"/>
  <c r="E18" i="108"/>
  <c r="R18" i="108"/>
  <c r="I19" i="108"/>
  <c r="O20" i="108"/>
  <c r="K27" i="108"/>
  <c r="K34" i="108"/>
  <c r="G33" i="108"/>
  <c r="G32" i="108"/>
  <c r="Q31" i="108"/>
  <c r="D31" i="108"/>
  <c r="P29" i="108" a="1"/>
  <c r="P29" i="108" s="1"/>
  <c r="G31" i="108"/>
  <c r="D32" i="108"/>
  <c r="Q33" i="108"/>
  <c r="Q34" i="108"/>
  <c r="AH41" i="108"/>
  <c r="AJ41" i="108"/>
  <c r="AE41" i="108"/>
  <c r="Y41" i="108"/>
  <c r="AF40" i="108"/>
  <c r="AA40" i="108"/>
  <c r="U40" i="108"/>
  <c r="AG41" i="108"/>
  <c r="AA41" i="108"/>
  <c r="AG40" i="108"/>
  <c r="Y40" i="108"/>
  <c r="AI39" i="108"/>
  <c r="AC39" i="108"/>
  <c r="X39" i="108"/>
  <c r="AJ38" i="108"/>
  <c r="AE38" i="108"/>
  <c r="Y38" i="108"/>
  <c r="AA38" i="108"/>
  <c r="AG38" i="108"/>
  <c r="AA39" i="108"/>
  <c r="AG39" i="108"/>
  <c r="W40" i="108"/>
  <c r="AE40" i="108"/>
  <c r="W41" i="108"/>
  <c r="AF41" i="108"/>
  <c r="K55" i="108"/>
  <c r="K54" i="108"/>
  <c r="K53" i="108"/>
  <c r="K52" i="108"/>
  <c r="Q55" i="108"/>
  <c r="C52" i="108"/>
  <c r="P50" i="108" a="1"/>
  <c r="P50" i="108" s="1"/>
  <c r="Q52" i="108"/>
  <c r="C53" i="108"/>
  <c r="AI69" i="108"/>
  <c r="Y69" i="108"/>
  <c r="AG68" i="108"/>
  <c r="Y68" i="108"/>
  <c r="AD67" i="108"/>
  <c r="U67" i="108"/>
  <c r="AA66" i="108"/>
  <c r="AH64" i="108" a="1"/>
  <c r="AH64" i="108" s="1"/>
  <c r="AA69" i="108"/>
  <c r="AA68" i="108"/>
  <c r="AA67" i="108"/>
  <c r="AE66" i="108"/>
  <c r="Y66" i="108"/>
  <c r="AE67" i="108"/>
  <c r="U68" i="108"/>
  <c r="AD69" i="108"/>
  <c r="G82" i="108" a="1"/>
  <c r="G82" i="108" s="1"/>
  <c r="R82" i="108" a="1"/>
  <c r="R82" i="108" s="1"/>
  <c r="E87" i="108" a="1"/>
  <c r="E87" i="108" s="1"/>
  <c r="R89" i="108" a="1"/>
  <c r="R89" i="108" s="1"/>
  <c r="AH92" i="108" a="1"/>
  <c r="AH92" i="108" s="1"/>
  <c r="X94" i="108" a="1"/>
  <c r="X94" i="108" s="1"/>
  <c r="AB94" i="108" a="1"/>
  <c r="AB94" i="108" s="1"/>
  <c r="AG94" i="108" a="1"/>
  <c r="AG94" i="108" s="1"/>
  <c r="Y95" i="108" a="1"/>
  <c r="Y95" i="108" s="1"/>
  <c r="AI95" i="108" a="1"/>
  <c r="AI95" i="108" s="1"/>
  <c r="AE96" i="108" a="1"/>
  <c r="AE96" i="108" s="1"/>
  <c r="V97" i="108" a="1"/>
  <c r="V97" i="108" s="1"/>
  <c r="N104" i="108"/>
  <c r="P104" i="108" a="1"/>
  <c r="P104" i="108" s="1"/>
  <c r="L104" i="108" a="1"/>
  <c r="L104" i="108" s="1"/>
  <c r="H104" i="108" a="1"/>
  <c r="H104" i="108" s="1"/>
  <c r="D104" i="108" a="1"/>
  <c r="D104" i="108" s="1"/>
  <c r="P103" i="108" a="1"/>
  <c r="P103" i="108" s="1"/>
  <c r="L103" i="108" a="1"/>
  <c r="L103" i="108" s="1"/>
  <c r="H103" i="108" a="1"/>
  <c r="H103" i="108" s="1"/>
  <c r="D103" i="108" a="1"/>
  <c r="D103" i="108" s="1"/>
  <c r="P102" i="108" a="1"/>
  <c r="P102" i="108" s="1"/>
  <c r="L102" i="108" a="1"/>
  <c r="L102" i="108" s="1"/>
  <c r="H102" i="108" a="1"/>
  <c r="H102" i="108" s="1"/>
  <c r="D102" i="108" a="1"/>
  <c r="D102" i="108" s="1"/>
  <c r="P101" i="108" a="1"/>
  <c r="P101" i="108" s="1"/>
  <c r="L101" i="108" a="1"/>
  <c r="L101" i="108" s="1"/>
  <c r="H101" i="108" a="1"/>
  <c r="H101" i="108" s="1"/>
  <c r="D101" i="108" a="1"/>
  <c r="D101" i="108" s="1"/>
  <c r="O104" i="108" a="1"/>
  <c r="O104" i="108" s="1"/>
  <c r="J104" i="108" a="1"/>
  <c r="J104" i="108" s="1"/>
  <c r="E104" i="108" a="1"/>
  <c r="E104" i="108" s="1"/>
  <c r="O103" i="108" a="1"/>
  <c r="O103" i="108" s="1"/>
  <c r="J103" i="108" a="1"/>
  <c r="J103" i="108" s="1"/>
  <c r="E103" i="108" a="1"/>
  <c r="E103" i="108" s="1"/>
  <c r="O102" i="108" a="1"/>
  <c r="O102" i="108" s="1"/>
  <c r="J102" i="108" a="1"/>
  <c r="J102" i="108" s="1"/>
  <c r="E102" i="108" a="1"/>
  <c r="E102" i="108" s="1"/>
  <c r="O101" i="108" a="1"/>
  <c r="O101" i="108" s="1"/>
  <c r="J101" i="108" a="1"/>
  <c r="J101" i="108" s="1"/>
  <c r="E101" i="108" a="1"/>
  <c r="E101" i="108" s="1"/>
  <c r="M104" i="108" a="1"/>
  <c r="M104" i="108" s="1"/>
  <c r="F104" i="108" a="1"/>
  <c r="F104" i="108" s="1"/>
  <c r="N103" i="108" a="1"/>
  <c r="N103" i="108" s="1"/>
  <c r="G103" i="108" a="1"/>
  <c r="G103" i="108" s="1"/>
  <c r="Q102" i="108" a="1"/>
  <c r="Q102" i="108" s="1"/>
  <c r="I102" i="108" a="1"/>
  <c r="I102" i="108" s="1"/>
  <c r="R101" i="108" a="1"/>
  <c r="R101" i="108" s="1"/>
  <c r="K101" i="108" a="1"/>
  <c r="K101" i="108" s="1"/>
  <c r="C101" i="108" a="1"/>
  <c r="C101" i="108" s="1"/>
  <c r="I101" i="108" a="1"/>
  <c r="I101" i="108" s="1"/>
  <c r="C102" i="108" a="1"/>
  <c r="C102" i="108" s="1"/>
  <c r="M102" i="108" a="1"/>
  <c r="M102" i="108" s="1"/>
  <c r="F103" i="108" a="1"/>
  <c r="F103" i="108" s="1"/>
  <c r="Q103" i="108" a="1"/>
  <c r="Q103" i="108" s="1"/>
  <c r="I104" i="108" a="1"/>
  <c r="I104" i="108" s="1"/>
  <c r="R104" i="108" a="1"/>
  <c r="R104" i="108" s="1"/>
  <c r="R17" i="110"/>
  <c r="J18" i="110"/>
  <c r="D19" i="110"/>
  <c r="E59" i="109"/>
  <c r="J59" i="109"/>
  <c r="P59" i="109"/>
  <c r="D60" i="109"/>
  <c r="J60" i="109"/>
  <c r="O60" i="109"/>
  <c r="E61" i="109"/>
  <c r="J61" i="109"/>
  <c r="P61" i="109"/>
  <c r="D62" i="109"/>
  <c r="J62" i="109"/>
  <c r="O62" i="109"/>
  <c r="E87" i="109"/>
  <c r="J87" i="109"/>
  <c r="P87" i="109"/>
  <c r="D88" i="109"/>
  <c r="J88" i="109"/>
  <c r="O88" i="109"/>
  <c r="E89" i="109"/>
  <c r="J89" i="109"/>
  <c r="P89" i="109"/>
  <c r="D90" i="109"/>
  <c r="J90" i="109"/>
  <c r="O90" i="109"/>
  <c r="AH10" i="108"/>
  <c r="AH11" i="108"/>
  <c r="AH12" i="108"/>
  <c r="AI18" i="108"/>
  <c r="AG19" i="108"/>
  <c r="AH48" i="108"/>
  <c r="Z48" i="108"/>
  <c r="AE47" i="108"/>
  <c r="Y47" i="108"/>
  <c r="AD46" i="108"/>
  <c r="W46" i="108"/>
  <c r="AI45" i="108"/>
  <c r="AC45" i="108"/>
  <c r="U45" i="108"/>
  <c r="Y45" i="108"/>
  <c r="AH45" i="108"/>
  <c r="Z46" i="108"/>
  <c r="AI46" i="108"/>
  <c r="AC47" i="108"/>
  <c r="U48" i="108"/>
  <c r="AD48" i="108"/>
  <c r="F62" i="108"/>
  <c r="Q62" i="108"/>
  <c r="I59" i="108"/>
  <c r="P57" i="108" a="1"/>
  <c r="P57" i="108" s="1"/>
  <c r="V80" i="108" a="1"/>
  <c r="V80" i="108" s="1"/>
  <c r="AA80" i="108" a="1"/>
  <c r="AA80" i="108" s="1"/>
  <c r="AD80" i="108" a="1"/>
  <c r="AD80" i="108" s="1"/>
  <c r="AI80" i="108" a="1"/>
  <c r="AI80" i="108" s="1"/>
  <c r="V81" i="108" a="1"/>
  <c r="V81" i="108" s="1"/>
  <c r="AA81" i="108" a="1"/>
  <c r="AA81" i="108" s="1"/>
  <c r="AD81" i="108" a="1"/>
  <c r="AD81" i="108" s="1"/>
  <c r="AI81" i="108" a="1"/>
  <c r="AI81" i="108" s="1"/>
  <c r="V82" i="108" a="1"/>
  <c r="V82" i="108" s="1"/>
  <c r="AA82" i="108" a="1"/>
  <c r="AA82" i="108" s="1"/>
  <c r="AD82" i="108" a="1"/>
  <c r="AD82" i="108" s="1"/>
  <c r="AI82" i="108" a="1"/>
  <c r="AI82" i="108" s="1"/>
  <c r="V83" i="108" a="1"/>
  <c r="V83" i="108" s="1"/>
  <c r="AA83" i="108" a="1"/>
  <c r="AA83" i="108" s="1"/>
  <c r="AD83" i="108" a="1"/>
  <c r="AD83" i="108" s="1"/>
  <c r="Y94" i="108" a="1"/>
  <c r="Y94" i="108" s="1"/>
  <c r="AI94" i="108" a="1"/>
  <c r="AI94" i="108" s="1"/>
  <c r="AE95" i="108" a="1"/>
  <c r="AE95" i="108" s="1"/>
  <c r="V96" i="108" a="1"/>
  <c r="V96" i="108" s="1"/>
  <c r="AF96" i="108" a="1"/>
  <c r="AF96" i="108" s="1"/>
  <c r="AJ96" i="108" a="1"/>
  <c r="AJ96" i="108" s="1"/>
  <c r="X97" i="108" a="1"/>
  <c r="X97" i="108" s="1"/>
  <c r="P99" i="108" a="1"/>
  <c r="P99" i="108" s="1"/>
  <c r="M101" i="108" a="1"/>
  <c r="M101" i="108" s="1"/>
  <c r="F102" i="108" a="1"/>
  <c r="F102" i="108" s="1"/>
  <c r="N102" i="108" a="1"/>
  <c r="N102" i="108" s="1"/>
  <c r="I103" i="108" a="1"/>
  <c r="I103" i="108" s="1"/>
  <c r="R103" i="108" a="1"/>
  <c r="R103" i="108" s="1"/>
  <c r="K104" i="108" a="1"/>
  <c r="K104" i="108" s="1"/>
  <c r="F17" i="110"/>
  <c r="R18" i="110"/>
  <c r="K19" i="110"/>
  <c r="AJ97" i="108" a="1"/>
  <c r="AJ97" i="108" s="1"/>
  <c r="AF97" i="108" a="1"/>
  <c r="AF97" i="108" s="1"/>
  <c r="AB97" i="108" a="1"/>
  <c r="AB97" i="108" s="1"/>
  <c r="AI97" i="108" a="1"/>
  <c r="AI97" i="108" s="1"/>
  <c r="AD97" i="108" a="1"/>
  <c r="AD97" i="108" s="1"/>
  <c r="Z97" i="108" a="1"/>
  <c r="Z97" i="108" s="1"/>
  <c r="U97" i="108" a="1"/>
  <c r="U97" i="108" s="1"/>
  <c r="AH96" i="108" a="1"/>
  <c r="AH96" i="108" s="1"/>
  <c r="AC96" i="108" a="1"/>
  <c r="AC96" i="108" s="1"/>
  <c r="Z96" i="108" a="1"/>
  <c r="Z96" i="108" s="1"/>
  <c r="U96" i="108" a="1"/>
  <c r="U96" i="108" s="1"/>
  <c r="AH95" i="108" a="1"/>
  <c r="AH95" i="108" s="1"/>
  <c r="AC95" i="108" a="1"/>
  <c r="AC95" i="108" s="1"/>
  <c r="Z95" i="108" a="1"/>
  <c r="Z95" i="108" s="1"/>
  <c r="U95" i="108" a="1"/>
  <c r="U95" i="108" s="1"/>
  <c r="AH94" i="108" a="1"/>
  <c r="AH94" i="108" s="1"/>
  <c r="AC94" i="108" a="1"/>
  <c r="AC94" i="108" s="1"/>
  <c r="Z94" i="108" a="1"/>
  <c r="Z94" i="108" s="1"/>
  <c r="U94" i="108" a="1"/>
  <c r="U94" i="108" s="1"/>
  <c r="AG97" i="108" a="1"/>
  <c r="AG97" i="108" s="1"/>
  <c r="AA97" i="108" a="1"/>
  <c r="AA97" i="108" s="1"/>
  <c r="W97" i="108" a="1"/>
  <c r="W97" i="108" s="1"/>
  <c r="AD96" i="108" a="1"/>
  <c r="AD96" i="108" s="1"/>
  <c r="AA96" i="108" a="1"/>
  <c r="AA96" i="108" s="1"/>
  <c r="W96" i="108" a="1"/>
  <c r="W96" i="108" s="1"/>
  <c r="AD95" i="108" a="1"/>
  <c r="AD95" i="108" s="1"/>
  <c r="AA95" i="108" a="1"/>
  <c r="AA95" i="108" s="1"/>
  <c r="W95" i="108" a="1"/>
  <c r="W95" i="108" s="1"/>
  <c r="AD94" i="108" a="1"/>
  <c r="AD94" i="108" s="1"/>
  <c r="AA94" i="108" a="1"/>
  <c r="AA94" i="108" s="1"/>
  <c r="W94" i="108" a="1"/>
  <c r="W94" i="108" s="1"/>
  <c r="AE94" i="108" a="1"/>
  <c r="AE94" i="108" s="1"/>
  <c r="V95" i="108" a="1"/>
  <c r="V95" i="108" s="1"/>
  <c r="AF95" i="108" a="1"/>
  <c r="AF95" i="108" s="1"/>
  <c r="AJ95" i="108" a="1"/>
  <c r="AJ95" i="108" s="1"/>
  <c r="X96" i="108" a="1"/>
  <c r="X96" i="108" s="1"/>
  <c r="AB96" i="108" a="1"/>
  <c r="AB96" i="108" s="1"/>
  <c r="AG96" i="108" a="1"/>
  <c r="AG96" i="108" s="1"/>
  <c r="Y97" i="108" a="1"/>
  <c r="Y97" i="108" s="1"/>
  <c r="AE97" i="108" a="1"/>
  <c r="AE97" i="108" s="1"/>
  <c r="Q20" i="110"/>
  <c r="O20" i="110"/>
  <c r="J20" i="110"/>
  <c r="D20" i="110"/>
  <c r="R19" i="110"/>
  <c r="L19" i="110"/>
  <c r="G19" i="110"/>
  <c r="P18" i="110"/>
  <c r="K18" i="110"/>
  <c r="F18" i="110"/>
  <c r="O17" i="110"/>
  <c r="J17" i="110"/>
  <c r="D17" i="110"/>
  <c r="P15" i="110" a="1"/>
  <c r="P15" i="110" s="1"/>
  <c r="L20" i="110"/>
  <c r="F20" i="110"/>
  <c r="O19" i="110"/>
  <c r="H19" i="110"/>
  <c r="L18" i="110"/>
  <c r="D18" i="110"/>
  <c r="P17" i="110"/>
  <c r="H17" i="110"/>
  <c r="K20" i="110"/>
  <c r="P19" i="110"/>
  <c r="F19" i="110"/>
  <c r="N18" i="110"/>
  <c r="C18" i="110"/>
  <c r="K17" i="110"/>
  <c r="R20" i="110"/>
  <c r="H20" i="110"/>
  <c r="N20" i="110"/>
  <c r="C20" i="110"/>
  <c r="J19" i="110"/>
  <c r="O18" i="110"/>
  <c r="G18" i="110"/>
  <c r="L17" i="110"/>
  <c r="C17" i="110"/>
  <c r="G17" i="110"/>
  <c r="N19" i="110"/>
  <c r="P20" i="110"/>
  <c r="X95" i="108" a="1"/>
  <c r="X95" i="108" s="1"/>
  <c r="AB95" i="108" a="1"/>
  <c r="AB95" i="108" s="1"/>
  <c r="AG95" i="108" a="1"/>
  <c r="AG95" i="108" s="1"/>
  <c r="Y96" i="108" a="1"/>
  <c r="Y96" i="108" s="1"/>
  <c r="AI96" i="108" a="1"/>
  <c r="AI96" i="108" s="1"/>
  <c r="AH97" i="108" a="1"/>
  <c r="AH97" i="108" s="1"/>
  <c r="AE26" i="110"/>
  <c r="AH25" i="110"/>
  <c r="AH24" i="110"/>
  <c r="AH22" i="110" a="1"/>
  <c r="AH22" i="110" s="1"/>
  <c r="AA25" i="110"/>
  <c r="AE24" i="110"/>
  <c r="AA27" i="110"/>
  <c r="W27" i="110"/>
  <c r="AA26" i="110"/>
  <c r="W24" i="110"/>
  <c r="AE25" i="110"/>
  <c r="W26" i="110"/>
  <c r="P97" i="108" a="1"/>
  <c r="P97" i="108" s="1"/>
  <c r="K97" i="108" a="1"/>
  <c r="K97" i="108" s="1"/>
  <c r="H97" i="108" a="1"/>
  <c r="H97" i="108" s="1"/>
  <c r="C97" i="108" a="1"/>
  <c r="C97" i="108" s="1"/>
  <c r="P96" i="108" a="1"/>
  <c r="P96" i="108" s="1"/>
  <c r="K96" i="108" a="1"/>
  <c r="K96" i="108" s="1"/>
  <c r="H96" i="108" a="1"/>
  <c r="H96" i="108" s="1"/>
  <c r="C96" i="108" a="1"/>
  <c r="C96" i="108" s="1"/>
  <c r="P95" i="108" a="1"/>
  <c r="P95" i="108" s="1"/>
  <c r="K95" i="108" a="1"/>
  <c r="K95" i="108" s="1"/>
  <c r="H95" i="108" a="1"/>
  <c r="H95" i="108" s="1"/>
  <c r="C95" i="108" a="1"/>
  <c r="C95" i="108" s="1"/>
  <c r="P94" i="108" a="1"/>
  <c r="P94" i="108" s="1"/>
  <c r="K94" i="108" a="1"/>
  <c r="K94" i="108" s="1"/>
  <c r="H94" i="108" a="1"/>
  <c r="H94" i="108" s="1"/>
  <c r="C94" i="108" a="1"/>
  <c r="C94" i="108" s="1"/>
  <c r="P92" i="108" a="1"/>
  <c r="P92" i="108" s="1"/>
  <c r="G94" i="108" a="1"/>
  <c r="G94" i="108" s="1"/>
  <c r="J94" i="108" a="1"/>
  <c r="J94" i="108" s="1"/>
  <c r="N94" i="108" a="1"/>
  <c r="N94" i="108" s="1"/>
  <c r="G95" i="108" a="1"/>
  <c r="G95" i="108" s="1"/>
  <c r="J95" i="108" a="1"/>
  <c r="J95" i="108" s="1"/>
  <c r="N95" i="108" a="1"/>
  <c r="N95" i="108" s="1"/>
  <c r="G96" i="108" a="1"/>
  <c r="G96" i="108" s="1"/>
  <c r="J96" i="108" a="1"/>
  <c r="J96" i="108" s="1"/>
  <c r="N96" i="108" a="1"/>
  <c r="N96" i="108" s="1"/>
  <c r="G97" i="108" a="1"/>
  <c r="G97" i="108" s="1"/>
  <c r="J97" i="108" a="1"/>
  <c r="J97" i="108" s="1"/>
  <c r="N97" i="108" a="1"/>
  <c r="N97" i="108" s="1"/>
  <c r="N13" i="110"/>
  <c r="E13" i="110"/>
  <c r="P12" i="110"/>
  <c r="E12" i="110"/>
  <c r="N11" i="110"/>
  <c r="E11" i="110"/>
  <c r="M10" i="110"/>
  <c r="G10" i="110"/>
  <c r="P8" i="110"/>
  <c r="L13" i="110"/>
  <c r="Q12" i="110"/>
  <c r="D12" i="110"/>
  <c r="F11" i="110"/>
  <c r="K10" i="110"/>
  <c r="H10" i="110"/>
  <c r="L11" i="110"/>
  <c r="F13" i="110"/>
  <c r="AB17" i="110"/>
  <c r="AG18" i="110"/>
  <c r="X19" i="110"/>
  <c r="AH33" i="110"/>
  <c r="N41" i="110"/>
  <c r="D39" i="110"/>
  <c r="I38" i="110"/>
  <c r="I40" i="110"/>
  <c r="N40" i="110"/>
  <c r="I41" i="110"/>
  <c r="D38" i="110"/>
  <c r="N39" i="110"/>
  <c r="P36" i="110" a="1"/>
  <c r="P36" i="110" s="1"/>
  <c r="N38" i="110"/>
  <c r="D40" i="110"/>
  <c r="L12" i="110"/>
  <c r="AD20" i="110"/>
  <c r="Y20" i="110"/>
  <c r="AD19" i="110"/>
  <c r="AJ18" i="110"/>
  <c r="AB18" i="110"/>
  <c r="AH17" i="110"/>
  <c r="X17" i="110"/>
  <c r="V20" i="110"/>
  <c r="AB19" i="110"/>
  <c r="AH18" i="110"/>
  <c r="V18" i="110"/>
  <c r="AC17" i="110"/>
  <c r="AH15" i="110" a="1"/>
  <c r="AH15" i="110" s="1"/>
  <c r="V17" i="110"/>
  <c r="AC18" i="110"/>
  <c r="AH19" i="110"/>
  <c r="AC20" i="110"/>
  <c r="AC34" i="110"/>
  <c r="X33" i="110"/>
  <c r="AH34" i="110"/>
  <c r="AC33" i="110"/>
  <c r="AF32" i="110"/>
  <c r="AH31" i="110"/>
  <c r="AH29" i="110" a="1"/>
  <c r="AH29" i="110" s="1"/>
  <c r="AJ32" i="110"/>
  <c r="AD31" i="110"/>
  <c r="AC32" i="110"/>
  <c r="D41" i="110"/>
  <c r="AF48" i="110"/>
  <c r="AJ48" i="110"/>
  <c r="Y48" i="110"/>
  <c r="AF47" i="110"/>
  <c r="Y47" i="110"/>
  <c r="AG46" i="110"/>
  <c r="Z46" i="110"/>
  <c r="AJ45" i="110"/>
  <c r="AB45" i="110"/>
  <c r="U45" i="110"/>
  <c r="AG48" i="110"/>
  <c r="AB47" i="110"/>
  <c r="AB46" i="110"/>
  <c r="Z45" i="110"/>
  <c r="AH43" i="110" a="1"/>
  <c r="AH43" i="110" s="1"/>
  <c r="V45" i="110"/>
  <c r="AG45" i="110"/>
  <c r="V46" i="110"/>
  <c r="AJ46" i="110"/>
  <c r="V47" i="110"/>
  <c r="AJ47" i="110"/>
  <c r="AB48" i="110"/>
  <c r="P64" i="110" a="1"/>
  <c r="P64" i="110" s="1"/>
  <c r="AA66" i="110"/>
  <c r="Z67" i="110"/>
  <c r="AJ67" i="110"/>
  <c r="AF68" i="110"/>
  <c r="AJ74" i="110" a="1"/>
  <c r="AJ74" i="110" s="1"/>
  <c r="AD75" i="110" a="1"/>
  <c r="AD75" i="110" s="1"/>
  <c r="AD48" i="110"/>
  <c r="AI69" i="110"/>
  <c r="AA69" i="110"/>
  <c r="AJ68" i="110"/>
  <c r="AD68" i="110"/>
  <c r="V68" i="110"/>
  <c r="AE67" i="110"/>
  <c r="X67" i="110"/>
  <c r="AF66" i="110"/>
  <c r="Z66" i="110"/>
  <c r="AD69" i="110"/>
  <c r="AI68" i="110"/>
  <c r="Z68" i="110"/>
  <c r="AF67" i="110"/>
  <c r="V67" i="110"/>
  <c r="AD66" i="110"/>
  <c r="AH64" i="110" a="1"/>
  <c r="AH64" i="110" s="1"/>
  <c r="AE66" i="110"/>
  <c r="AA67" i="110"/>
  <c r="X68" i="110"/>
  <c r="V69" i="110"/>
  <c r="AF69" i="110"/>
  <c r="AI76" i="110" a="1"/>
  <c r="AI76" i="110" s="1"/>
  <c r="AF76" i="110" a="1"/>
  <c r="AF76" i="110" s="1"/>
  <c r="Y76" i="110" a="1"/>
  <c r="Y76" i="110" s="1"/>
  <c r="V76" i="110" a="1"/>
  <c r="V76" i="110" s="1"/>
  <c r="AI75" i="110" a="1"/>
  <c r="AI75" i="110" s="1"/>
  <c r="AE75" i="110" a="1"/>
  <c r="AE75" i="110" s="1"/>
  <c r="AB75" i="110" a="1"/>
  <c r="AB75" i="110" s="1"/>
  <c r="U75" i="110" a="1"/>
  <c r="U75" i="110" s="1"/>
  <c r="AI74" i="110" a="1"/>
  <c r="AI74" i="110" s="1"/>
  <c r="AF74" i="110" a="1"/>
  <c r="AF74" i="110" s="1"/>
  <c r="Y74" i="110" a="1"/>
  <c r="Y74" i="110" s="1"/>
  <c r="V74" i="110" a="1"/>
  <c r="V74" i="110" s="1"/>
  <c r="AI73" i="110" a="1"/>
  <c r="AI73" i="110" s="1"/>
  <c r="AE73" i="110" a="1"/>
  <c r="AE73" i="110" s="1"/>
  <c r="AB73" i="110" a="1"/>
  <c r="AB73" i="110" s="1"/>
  <c r="Y73" i="110" a="1"/>
  <c r="Y73" i="110" s="1"/>
  <c r="V73" i="110" a="1"/>
  <c r="V73" i="110" s="1"/>
  <c r="AJ76" i="110" a="1"/>
  <c r="AJ76" i="110" s="1"/>
  <c r="AE76" i="110" a="1"/>
  <c r="AE76" i="110" s="1"/>
  <c r="AA76" i="110" a="1"/>
  <c r="AA76" i="110" s="1"/>
  <c r="AF75" i="110" a="1"/>
  <c r="AF75" i="110" s="1"/>
  <c r="AA75" i="110" a="1"/>
  <c r="AA75" i="110" s="1"/>
  <c r="W75" i="110" a="1"/>
  <c r="W75" i="110" s="1"/>
  <c r="AG74" i="110" a="1"/>
  <c r="AG74" i="110" s="1"/>
  <c r="AC74" i="110" a="1"/>
  <c r="AC74" i="110" s="1"/>
  <c r="X74" i="110" a="1"/>
  <c r="X74" i="110" s="1"/>
  <c r="AH73" i="110" a="1"/>
  <c r="AH73" i="110" s="1"/>
  <c r="AD73" i="110" a="1"/>
  <c r="AD73" i="110" s="1"/>
  <c r="Z73" i="110" a="1"/>
  <c r="Z73" i="110" s="1"/>
  <c r="U73" i="110" a="1"/>
  <c r="U73" i="110" s="1"/>
  <c r="AH76" i="110" a="1"/>
  <c r="AH76" i="110" s="1"/>
  <c r="AD76" i="110" a="1"/>
  <c r="AD76" i="110" s="1"/>
  <c r="Z76" i="110" a="1"/>
  <c r="Z76" i="110" s="1"/>
  <c r="U76" i="110" a="1"/>
  <c r="U76" i="110" s="1"/>
  <c r="AJ75" i="110" a="1"/>
  <c r="AJ75" i="110" s="1"/>
  <c r="Z75" i="110" a="1"/>
  <c r="Z75" i="110" s="1"/>
  <c r="V75" i="110" a="1"/>
  <c r="V75" i="110" s="1"/>
  <c r="AB74" i="110" a="1"/>
  <c r="AB74" i="110" s="1"/>
  <c r="W74" i="110" a="1"/>
  <c r="W74" i="110" s="1"/>
  <c r="AG73" i="110" a="1"/>
  <c r="AG73" i="110" s="1"/>
  <c r="AC73" i="110" a="1"/>
  <c r="AC73" i="110" s="1"/>
  <c r="X73" i="110" a="1"/>
  <c r="X73" i="110" s="1"/>
  <c r="AB76" i="110" a="1"/>
  <c r="AB76" i="110" s="1"/>
  <c r="W76" i="110" a="1"/>
  <c r="W76" i="110" s="1"/>
  <c r="AG75" i="110" a="1"/>
  <c r="AG75" i="110" s="1"/>
  <c r="AC75" i="110" a="1"/>
  <c r="AC75" i="110" s="1"/>
  <c r="X75" i="110" a="1"/>
  <c r="X75" i="110" s="1"/>
  <c r="AH74" i="110" a="1"/>
  <c r="AH74" i="110" s="1"/>
  <c r="AD74" i="110" a="1"/>
  <c r="AD74" i="110" s="1"/>
  <c r="Z74" i="110" a="1"/>
  <c r="Z74" i="110" s="1"/>
  <c r="U74" i="110" a="1"/>
  <c r="U74" i="110" s="1"/>
  <c r="AJ73" i="110" a="1"/>
  <c r="AJ73" i="110" s="1"/>
  <c r="W73" i="110" a="1"/>
  <c r="W73" i="110" s="1"/>
  <c r="AH75" i="110" a="1"/>
  <c r="AH75" i="110" s="1"/>
  <c r="AC76" i="110" a="1"/>
  <c r="AC76" i="110" s="1"/>
  <c r="Y52" i="108"/>
  <c r="AE52" i="108"/>
  <c r="Y53" i="108"/>
  <c r="AE53" i="108"/>
  <c r="Y54" i="108"/>
  <c r="AE54" i="108"/>
  <c r="Y55" i="108"/>
  <c r="U73" i="108" a="1"/>
  <c r="U73" i="108" s="1"/>
  <c r="W73" i="108" a="1"/>
  <c r="W73" i="108" s="1"/>
  <c r="Y73" i="108" a="1"/>
  <c r="Y73" i="108" s="1"/>
  <c r="AA73" i="108" a="1"/>
  <c r="AA73" i="108" s="1"/>
  <c r="AC73" i="108" a="1"/>
  <c r="AC73" i="108" s="1"/>
  <c r="AE73" i="108" a="1"/>
  <c r="AE73" i="108" s="1"/>
  <c r="AG73" i="108" a="1"/>
  <c r="AG73" i="108" s="1"/>
  <c r="AI73" i="108" a="1"/>
  <c r="AI73" i="108" s="1"/>
  <c r="V76" i="108" a="1"/>
  <c r="V76" i="108" s="1"/>
  <c r="X76" i="108" a="1"/>
  <c r="X76" i="108" s="1"/>
  <c r="Z76" i="108" a="1"/>
  <c r="Z76" i="108" s="1"/>
  <c r="AB76" i="108" a="1"/>
  <c r="AB76" i="108" s="1"/>
  <c r="AD76" i="108" a="1"/>
  <c r="AD76" i="108" s="1"/>
  <c r="AF76" i="108" a="1"/>
  <c r="AF76" i="108" s="1"/>
  <c r="AH76" i="108" a="1"/>
  <c r="AH76" i="108" s="1"/>
  <c r="U87" i="108" a="1"/>
  <c r="U87" i="108" s="1"/>
  <c r="W87" i="108" a="1"/>
  <c r="W87" i="108" s="1"/>
  <c r="Y87" i="108" a="1"/>
  <c r="Y87" i="108" s="1"/>
  <c r="AA87" i="108" a="1"/>
  <c r="AA87" i="108" s="1"/>
  <c r="AC87" i="108" a="1"/>
  <c r="AC87" i="108" s="1"/>
  <c r="AE87" i="108" a="1"/>
  <c r="AE87" i="108" s="1"/>
  <c r="AG87" i="108" a="1"/>
  <c r="AG87" i="108" s="1"/>
  <c r="AI87" i="108" a="1"/>
  <c r="AI87" i="108" s="1"/>
  <c r="U88" i="108" a="1"/>
  <c r="U88" i="108" s="1"/>
  <c r="W88" i="108" a="1"/>
  <c r="W88" i="108" s="1"/>
  <c r="Y88" i="108" a="1"/>
  <c r="Y88" i="108" s="1"/>
  <c r="AA88" i="108" a="1"/>
  <c r="AA88" i="108" s="1"/>
  <c r="AC88" i="108" a="1"/>
  <c r="AC88" i="108" s="1"/>
  <c r="AE88" i="108" a="1"/>
  <c r="AE88" i="108" s="1"/>
  <c r="AG88" i="108" a="1"/>
  <c r="AG88" i="108" s="1"/>
  <c r="AI88" i="108" a="1"/>
  <c r="AI88" i="108" s="1"/>
  <c r="U89" i="108" a="1"/>
  <c r="U89" i="108" s="1"/>
  <c r="W89" i="108" a="1"/>
  <c r="W89" i="108" s="1"/>
  <c r="Y89" i="108" a="1"/>
  <c r="Y89" i="108" s="1"/>
  <c r="AA89" i="108" a="1"/>
  <c r="AA89" i="108" s="1"/>
  <c r="AC89" i="108" a="1"/>
  <c r="AC89" i="108" s="1"/>
  <c r="AE89" i="108" a="1"/>
  <c r="AE89" i="108" s="1"/>
  <c r="AG89" i="108" a="1"/>
  <c r="AG89" i="108" s="1"/>
  <c r="AI89" i="108" a="1"/>
  <c r="AI89" i="108" s="1"/>
  <c r="U90" i="108" a="1"/>
  <c r="U90" i="108" s="1"/>
  <c r="W90" i="108" a="1"/>
  <c r="W90" i="108" s="1"/>
  <c r="Y90" i="108" a="1"/>
  <c r="Y90" i="108" s="1"/>
  <c r="AA90" i="108" a="1"/>
  <c r="AA90" i="108" s="1"/>
  <c r="AC90" i="108" a="1"/>
  <c r="AC90" i="108" s="1"/>
  <c r="AE90" i="108" a="1"/>
  <c r="AE90" i="108" s="1"/>
  <c r="AG90" i="108" a="1"/>
  <c r="AG90" i="108" s="1"/>
  <c r="AF13" i="110"/>
  <c r="AA12" i="110"/>
  <c r="AB11" i="110"/>
  <c r="X10" i="110"/>
  <c r="V10" i="110"/>
  <c r="V11" i="110"/>
  <c r="AH12" i="110"/>
  <c r="AI13" i="110"/>
  <c r="Q48" i="110"/>
  <c r="O48" i="110"/>
  <c r="J48" i="110"/>
  <c r="D48" i="110"/>
  <c r="P47" i="110"/>
  <c r="K47" i="110"/>
  <c r="F47" i="110"/>
  <c r="R46" i="110"/>
  <c r="L46" i="110"/>
  <c r="G46" i="110"/>
  <c r="N45" i="110"/>
  <c r="H45" i="110"/>
  <c r="C45" i="110"/>
  <c r="R48" i="110"/>
  <c r="K48" i="110"/>
  <c r="C48" i="110"/>
  <c r="R47" i="110"/>
  <c r="J47" i="110"/>
  <c r="C47" i="110"/>
  <c r="P46" i="110"/>
  <c r="J46" i="110"/>
  <c r="C46" i="110"/>
  <c r="P45" i="110"/>
  <c r="J45" i="110"/>
  <c r="F45" i="110"/>
  <c r="O45" i="110"/>
  <c r="AD45" i="110"/>
  <c r="F46" i="110"/>
  <c r="O46" i="110"/>
  <c r="AD46" i="110"/>
  <c r="G47" i="110"/>
  <c r="O47" i="110"/>
  <c r="AD47" i="110"/>
  <c r="G48" i="110"/>
  <c r="P48" i="110"/>
  <c r="J55" i="110"/>
  <c r="M54" i="110"/>
  <c r="P53" i="110"/>
  <c r="E53" i="110"/>
  <c r="J52" i="110"/>
  <c r="H55" i="110"/>
  <c r="R54" i="110"/>
  <c r="E54" i="110"/>
  <c r="M53" i="110"/>
  <c r="M52" i="110"/>
  <c r="R52" i="110"/>
  <c r="H53" i="110"/>
  <c r="P55" i="110"/>
  <c r="Q62" i="110"/>
  <c r="R62" i="110"/>
  <c r="L62" i="110"/>
  <c r="G62" i="110"/>
  <c r="O61" i="110"/>
  <c r="J61" i="110"/>
  <c r="D61" i="110"/>
  <c r="P60" i="110"/>
  <c r="K60" i="110"/>
  <c r="F60" i="110"/>
  <c r="N59" i="110"/>
  <c r="H59" i="110"/>
  <c r="C59" i="110"/>
  <c r="P62" i="110"/>
  <c r="J62" i="110"/>
  <c r="C62" i="110"/>
  <c r="N61" i="110"/>
  <c r="G61" i="110"/>
  <c r="R60" i="110"/>
  <c r="J60" i="110"/>
  <c r="C60" i="110"/>
  <c r="O59" i="110"/>
  <c r="G59" i="110"/>
  <c r="D59" i="110"/>
  <c r="L59" i="110"/>
  <c r="D60" i="110"/>
  <c r="N60" i="110"/>
  <c r="F61" i="110"/>
  <c r="P61" i="110"/>
  <c r="F62" i="110"/>
  <c r="O62" i="110"/>
  <c r="V66" i="110"/>
  <c r="AI66" i="110"/>
  <c r="AD67" i="110"/>
  <c r="AA68" i="110"/>
  <c r="X69" i="110"/>
  <c r="AJ69" i="110"/>
  <c r="AH71" i="110" a="1"/>
  <c r="AH71" i="110" s="1"/>
  <c r="AA73" i="110" a="1"/>
  <c r="AA73" i="110" s="1"/>
  <c r="AA74" i="110" a="1"/>
  <c r="AA74" i="110" s="1"/>
  <c r="AG76" i="110" a="1"/>
  <c r="AG76" i="110" s="1"/>
  <c r="P83" i="110" a="1"/>
  <c r="P83" i="110" s="1"/>
  <c r="L83" i="110" a="1"/>
  <c r="L83" i="110" s="1"/>
  <c r="I83" i="110" a="1"/>
  <c r="I83" i="110" s="1"/>
  <c r="N82" i="110" a="1"/>
  <c r="N82" i="110" s="1"/>
  <c r="K82" i="110" a="1"/>
  <c r="K82" i="110" s="1"/>
  <c r="G82" i="110" a="1"/>
  <c r="G82" i="110" s="1"/>
  <c r="D82" i="110" a="1"/>
  <c r="D82" i="110" s="1"/>
  <c r="P81" i="110" a="1"/>
  <c r="P81" i="110" s="1"/>
  <c r="L81" i="110" a="1"/>
  <c r="L81" i="110" s="1"/>
  <c r="I81" i="110" a="1"/>
  <c r="I81" i="110" s="1"/>
  <c r="N80" i="110" a="1"/>
  <c r="N80" i="110" s="1"/>
  <c r="K80" i="110" a="1"/>
  <c r="K80" i="110" s="1"/>
  <c r="G80" i="110" a="1"/>
  <c r="G80" i="110" s="1"/>
  <c r="D80" i="110" a="1"/>
  <c r="D80" i="110" s="1"/>
  <c r="F80" i="110" a="1"/>
  <c r="F80" i="110" s="1"/>
  <c r="P80" i="110" a="1"/>
  <c r="P80" i="110" s="1"/>
  <c r="F81" i="110" a="1"/>
  <c r="F81" i="110" s="1"/>
  <c r="K81" i="110" a="1"/>
  <c r="K81" i="110" s="1"/>
  <c r="O81" i="110" a="1"/>
  <c r="O81" i="110" s="1"/>
  <c r="J82" i="110" a="1"/>
  <c r="J82" i="110" s="1"/>
  <c r="O82" i="110" a="1"/>
  <c r="O82" i="110" s="1"/>
  <c r="E83" i="110" a="1"/>
  <c r="E83" i="110" s="1"/>
  <c r="J83" i="110" a="1"/>
  <c r="J83" i="110" s="1"/>
  <c r="N83" i="110" a="1"/>
  <c r="N83" i="110" s="1"/>
  <c r="R83" i="110" a="1"/>
  <c r="R83" i="110" s="1"/>
  <c r="AH85" i="110" a="1"/>
  <c r="AH85" i="110" s="1"/>
  <c r="X87" i="110" a="1"/>
  <c r="X87" i="110" s="1"/>
  <c r="AD87" i="110" a="1"/>
  <c r="AD87" i="110" s="1"/>
  <c r="AI87" i="110" a="1"/>
  <c r="AI87" i="110" s="1"/>
  <c r="W88" i="110" a="1"/>
  <c r="W88" i="110" s="1"/>
  <c r="AC88" i="110" a="1"/>
  <c r="AC88" i="110" s="1"/>
  <c r="AH88" i="110" a="1"/>
  <c r="AH88" i="110" s="1"/>
  <c r="AB89" i="110" a="1"/>
  <c r="AB89" i="110" s="1"/>
  <c r="AI89" i="110" a="1"/>
  <c r="AI89" i="110" s="1"/>
  <c r="AE90" i="110" a="1"/>
  <c r="AE90" i="110" s="1"/>
  <c r="Z90" i="110" a="1"/>
  <c r="Z90" i="110" s="1"/>
  <c r="AG90" i="110" a="1"/>
  <c r="AG90" i="110" s="1"/>
  <c r="I24" i="110"/>
  <c r="P24" i="110"/>
  <c r="I25" i="110"/>
  <c r="P25" i="110"/>
  <c r="I26" i="110"/>
  <c r="P26" i="110"/>
  <c r="I27" i="110"/>
  <c r="Q34" i="110"/>
  <c r="O34" i="110"/>
  <c r="J34" i="110"/>
  <c r="D34" i="110"/>
  <c r="N33" i="110"/>
  <c r="H33" i="110"/>
  <c r="G31" i="110"/>
  <c r="L31" i="110"/>
  <c r="R31" i="110"/>
  <c r="G32" i="110"/>
  <c r="L32" i="110"/>
  <c r="R32" i="110"/>
  <c r="F33" i="110"/>
  <c r="L33" i="110"/>
  <c r="G34" i="110"/>
  <c r="N34" i="110"/>
  <c r="AF61" i="110"/>
  <c r="U59" i="110"/>
  <c r="N76" i="110"/>
  <c r="G76" i="110"/>
  <c r="N75" i="110"/>
  <c r="G75" i="110"/>
  <c r="N74" i="110"/>
  <c r="G74" i="110"/>
  <c r="O73" i="110"/>
  <c r="J73" i="110"/>
  <c r="D73" i="110"/>
  <c r="P71" i="110" a="1"/>
  <c r="P71" i="110" s="1"/>
  <c r="C73" i="110"/>
  <c r="K73" i="110"/>
  <c r="R73" i="110"/>
  <c r="F74" i="110"/>
  <c r="P74" i="110"/>
  <c r="C75" i="110"/>
  <c r="L75" i="110"/>
  <c r="K76" i="110"/>
  <c r="E80" i="110" a="1"/>
  <c r="E80" i="110" s="1"/>
  <c r="I80" i="110" a="1"/>
  <c r="I80" i="110" s="1"/>
  <c r="M80" i="110" a="1"/>
  <c r="M80" i="110" s="1"/>
  <c r="R80" i="110" a="1"/>
  <c r="R80" i="110" s="1"/>
  <c r="D81" i="110" a="1"/>
  <c r="D81" i="110" s="1"/>
  <c r="H81" i="110" a="1"/>
  <c r="H81" i="110" s="1"/>
  <c r="M81" i="110" a="1"/>
  <c r="M81" i="110" s="1"/>
  <c r="C82" i="110" a="1"/>
  <c r="C82" i="110" s="1"/>
  <c r="H82" i="110" a="1"/>
  <c r="H82" i="110" s="1"/>
  <c r="L82" i="110" a="1"/>
  <c r="L82" i="110" s="1"/>
  <c r="Q82" i="110" a="1"/>
  <c r="Q82" i="110" s="1"/>
  <c r="C83" i="110" a="1"/>
  <c r="C83" i="110" s="1"/>
  <c r="G83" i="110" a="1"/>
  <c r="G83" i="110" s="1"/>
  <c r="Q83" i="110" a="1"/>
  <c r="Q83" i="110" s="1"/>
  <c r="U87" i="110" a="1"/>
  <c r="U87" i="110" s="1"/>
  <c r="AG87" i="110" a="1"/>
  <c r="AG87" i="110" s="1"/>
  <c r="Z88" i="110" a="1"/>
  <c r="Z88" i="110" s="1"/>
  <c r="AF88" i="110" a="1"/>
  <c r="AF88" i="110" s="1"/>
  <c r="X89" i="110" a="1"/>
  <c r="X89" i="110" s="1"/>
  <c r="J80" i="110" a="1"/>
  <c r="J80" i="110" s="1"/>
  <c r="O80" i="110" a="1"/>
  <c r="O80" i="110" s="1"/>
  <c r="E81" i="110" a="1"/>
  <c r="E81" i="110" s="1"/>
  <c r="J81" i="110" a="1"/>
  <c r="J81" i="110" s="1"/>
  <c r="N81" i="110" a="1"/>
  <c r="N81" i="110" s="1"/>
  <c r="R81" i="110" a="1"/>
  <c r="R81" i="110" s="1"/>
  <c r="E82" i="110" a="1"/>
  <c r="E82" i="110" s="1"/>
  <c r="I82" i="110" a="1"/>
  <c r="I82" i="110" s="1"/>
  <c r="M82" i="110" a="1"/>
  <c r="M82" i="110" s="1"/>
  <c r="R82" i="110" a="1"/>
  <c r="R82" i="110" s="1"/>
  <c r="D83" i="110" a="1"/>
  <c r="D83" i="110" s="1"/>
  <c r="H83" i="110" a="1"/>
  <c r="H83" i="110" s="1"/>
  <c r="M83" i="110" a="1"/>
  <c r="M83" i="110" s="1"/>
  <c r="AH90" i="110" a="1"/>
  <c r="AH90" i="110" s="1"/>
  <c r="AA90" i="110" a="1"/>
  <c r="AA90" i="110" s="1"/>
  <c r="X90" i="110" a="1"/>
  <c r="X90" i="110" s="1"/>
  <c r="U90" i="110" a="1"/>
  <c r="U90" i="110" s="1"/>
  <c r="AH89" i="110" a="1"/>
  <c r="AH89" i="110" s="1"/>
  <c r="AA89" i="110" a="1"/>
  <c r="AA89" i="110" s="1"/>
  <c r="AJ90" i="110" a="1"/>
  <c r="AJ90" i="110" s="1"/>
  <c r="AF90" i="110" a="1"/>
  <c r="AF90" i="110" s="1"/>
  <c r="AB90" i="110" a="1"/>
  <c r="AB90" i="110" s="1"/>
  <c r="W90" i="110" a="1"/>
  <c r="W90" i="110" s="1"/>
  <c r="AG89" i="110" a="1"/>
  <c r="AG89" i="110" s="1"/>
  <c r="AC89" i="110" a="1"/>
  <c r="AC89" i="110" s="1"/>
  <c r="Y89" i="110" a="1"/>
  <c r="Y89" i="110" s="1"/>
  <c r="V89" i="110" a="1"/>
  <c r="V89" i="110" s="1"/>
  <c r="AE88" i="110" a="1"/>
  <c r="AE88" i="110" s="1"/>
  <c r="AB88" i="110" a="1"/>
  <c r="AB88" i="110" s="1"/>
  <c r="Y88" i="110" a="1"/>
  <c r="Y88" i="110" s="1"/>
  <c r="V88" i="110" a="1"/>
  <c r="V88" i="110" s="1"/>
  <c r="AE87" i="110" a="1"/>
  <c r="AE87" i="110" s="1"/>
  <c r="AB87" i="110" a="1"/>
  <c r="AB87" i="110" s="1"/>
  <c r="Y87" i="110" a="1"/>
  <c r="Y87" i="110" s="1"/>
  <c r="V87" i="110" a="1"/>
  <c r="V87" i="110" s="1"/>
  <c r="AI90" i="110" a="1"/>
  <c r="AI90" i="110" s="1"/>
  <c r="AD90" i="110" a="1"/>
  <c r="AD90" i="110" s="1"/>
  <c r="Y90" i="110" a="1"/>
  <c r="Y90" i="110" s="1"/>
  <c r="AJ89" i="110" a="1"/>
  <c r="AJ89" i="110" s="1"/>
  <c r="AE89" i="110" a="1"/>
  <c r="AE89" i="110" s="1"/>
  <c r="Z89" i="110" a="1"/>
  <c r="Z89" i="110" s="1"/>
  <c r="U89" i="110" a="1"/>
  <c r="U89" i="110" s="1"/>
  <c r="AI88" i="110" a="1"/>
  <c r="AI88" i="110" s="1"/>
  <c r="AJ87" i="110" a="1"/>
  <c r="AJ87" i="110" s="1"/>
  <c r="AF87" i="110" a="1"/>
  <c r="AF87" i="110" s="1"/>
  <c r="AA87" i="110" a="1"/>
  <c r="AA87" i="110" s="1"/>
  <c r="W87" i="110" a="1"/>
  <c r="W87" i="110" s="1"/>
  <c r="AC87" i="110" a="1"/>
  <c r="AC87" i="110" s="1"/>
  <c r="AH87" i="110" a="1"/>
  <c r="AH87" i="110" s="1"/>
  <c r="U88" i="110" a="1"/>
  <c r="U88" i="110" s="1"/>
  <c r="AA88" i="110" a="1"/>
  <c r="AA88" i="110" s="1"/>
  <c r="AG88" i="110" a="1"/>
  <c r="AG88" i="110" s="1"/>
  <c r="V90" i="110" a="1"/>
  <c r="V90" i="110" s="1"/>
  <c r="AC90" i="110" a="1"/>
  <c r="AC90" i="110" s="1"/>
  <c r="AA38" i="110"/>
  <c r="X39" i="110"/>
  <c r="AI39" i="110"/>
  <c r="V40" i="110"/>
  <c r="AF40" i="110"/>
  <c r="Z52" i="110"/>
  <c r="AJ53" i="110"/>
  <c r="AE54" i="110"/>
  <c r="Z55" i="110"/>
  <c r="AF83" i="110" a="1"/>
  <c r="AF83" i="110" s="1"/>
  <c r="AC83" i="110" a="1"/>
  <c r="AC83" i="110" s="1"/>
  <c r="W80" i="110" a="1"/>
  <c r="W80" i="110" s="1"/>
  <c r="Z80" i="110" a="1"/>
  <c r="Z80" i="110" s="1"/>
  <c r="AG80" i="110" a="1"/>
  <c r="AG80" i="110" s="1"/>
  <c r="AJ80" i="110" a="1"/>
  <c r="AJ80" i="110" s="1"/>
  <c r="U81" i="110" a="1"/>
  <c r="U81" i="110" s="1"/>
  <c r="X81" i="110" a="1"/>
  <c r="X81" i="110" s="1"/>
  <c r="AB81" i="110" a="1"/>
  <c r="AB81" i="110" s="1"/>
  <c r="AE81" i="110" a="1"/>
  <c r="AE81" i="110" s="1"/>
  <c r="AI81" i="110" a="1"/>
  <c r="AI81" i="110" s="1"/>
  <c r="W82" i="110" a="1"/>
  <c r="W82" i="110" s="1"/>
  <c r="Z82" i="110" a="1"/>
  <c r="Z82" i="110" s="1"/>
  <c r="AG82" i="110" a="1"/>
  <c r="AG82" i="110" s="1"/>
  <c r="AJ82" i="110" a="1"/>
  <c r="AJ82" i="110" s="1"/>
  <c r="U83" i="110" a="1"/>
  <c r="U83" i="110" s="1"/>
  <c r="X83" i="110" a="1"/>
  <c r="X83" i="110" s="1"/>
  <c r="AB83" i="110" a="1"/>
  <c r="AB83" i="110" s="1"/>
  <c r="AG83" i="110" a="1"/>
  <c r="AG83" i="110" s="1"/>
  <c r="R90" i="110"/>
  <c r="P90" i="110" a="1"/>
  <c r="P90" i="110" s="1"/>
  <c r="M90" i="110" a="1"/>
  <c r="M90" i="110" s="1"/>
  <c r="H90" i="110" a="1"/>
  <c r="H90" i="110" s="1"/>
  <c r="E90" i="110" a="1"/>
  <c r="E90" i="110" s="1"/>
  <c r="Q90" i="110" a="1"/>
  <c r="Q90" i="110" s="1"/>
  <c r="N90" i="110" a="1"/>
  <c r="N90" i="110" s="1"/>
  <c r="J90" i="110" a="1"/>
  <c r="J90" i="110" s="1"/>
  <c r="C90" i="110" a="1"/>
  <c r="C90" i="110" s="1"/>
  <c r="N89" i="110" a="1"/>
  <c r="N89" i="110" s="1"/>
  <c r="K89" i="110" a="1"/>
  <c r="K89" i="110" s="1"/>
  <c r="F89" i="110" a="1"/>
  <c r="F89" i="110" s="1"/>
  <c r="C89" i="110" a="1"/>
  <c r="C89" i="110" s="1"/>
  <c r="N88" i="110" a="1"/>
  <c r="N88" i="110" s="1"/>
  <c r="K88" i="110" a="1"/>
  <c r="K88" i="110" s="1"/>
  <c r="F88" i="110" a="1"/>
  <c r="F88" i="110" s="1"/>
  <c r="C88" i="110" a="1"/>
  <c r="C88" i="110" s="1"/>
  <c r="N87" i="110" a="1"/>
  <c r="N87" i="110" s="1"/>
  <c r="K87" i="110" a="1"/>
  <c r="K87" i="110" s="1"/>
  <c r="F87" i="110" a="1"/>
  <c r="F87" i="110" s="1"/>
  <c r="C87" i="110" a="1"/>
  <c r="C87" i="110" s="1"/>
  <c r="P85" i="110" a="1"/>
  <c r="P85" i="110" s="1"/>
  <c r="J87" i="110" a="1"/>
  <c r="J87" i="110" s="1"/>
  <c r="M87" i="110" a="1"/>
  <c r="M87" i="110" s="1"/>
  <c r="Q87" i="110" a="1"/>
  <c r="Q87" i="110" s="1"/>
  <c r="E88" i="110" a="1"/>
  <c r="E88" i="110" s="1"/>
  <c r="I88" i="110" a="1"/>
  <c r="I88" i="110" s="1"/>
  <c r="P88" i="110" a="1"/>
  <c r="P88" i="110" s="1"/>
  <c r="H89" i="110" a="1"/>
  <c r="H89" i="110" s="1"/>
  <c r="L89" i="110" a="1"/>
  <c r="L89" i="110" s="1"/>
  <c r="O89" i="110" a="1"/>
  <c r="O89" i="110" s="1"/>
  <c r="G90" i="110" a="1"/>
  <c r="G90" i="110" s="1"/>
  <c r="L90" i="110" a="1"/>
  <c r="L90" i="110" s="1"/>
  <c r="U97" i="110" a="1"/>
  <c r="U97" i="110" s="1"/>
  <c r="Z97" i="110" a="1"/>
  <c r="Z97" i="110" s="1"/>
  <c r="O102" i="110"/>
  <c r="P104" i="110" a="1"/>
  <c r="P104" i="110" s="1"/>
  <c r="L104" i="110" a="1"/>
  <c r="L104" i="110" s="1"/>
  <c r="H104" i="110" a="1"/>
  <c r="H104" i="110" s="1"/>
  <c r="D104" i="110" a="1"/>
  <c r="D104" i="110" s="1"/>
  <c r="P103" i="110" a="1"/>
  <c r="P103" i="110" s="1"/>
  <c r="L103" i="110" a="1"/>
  <c r="L103" i="110" s="1"/>
  <c r="H103" i="110" a="1"/>
  <c r="H103" i="110" s="1"/>
  <c r="D103" i="110" a="1"/>
  <c r="D103" i="110" s="1"/>
  <c r="P102" i="110" a="1"/>
  <c r="P102" i="110" s="1"/>
  <c r="L102" i="110" a="1"/>
  <c r="L102" i="110" s="1"/>
  <c r="H102" i="110" a="1"/>
  <c r="H102" i="110" s="1"/>
  <c r="D102" i="110" a="1"/>
  <c r="D102" i="110" s="1"/>
  <c r="P101" i="110" a="1"/>
  <c r="P101" i="110" s="1"/>
  <c r="L101" i="110" a="1"/>
  <c r="L101" i="110" s="1"/>
  <c r="H101" i="110" a="1"/>
  <c r="H101" i="110" s="1"/>
  <c r="D101" i="110" a="1"/>
  <c r="D101" i="110" s="1"/>
  <c r="P99" i="110" a="1"/>
  <c r="P99" i="110" s="1"/>
  <c r="C101" i="110" a="1"/>
  <c r="C101" i="110" s="1"/>
  <c r="I101" i="110" a="1"/>
  <c r="I101" i="110" s="1"/>
  <c r="N101" i="110" a="1"/>
  <c r="N101" i="110" s="1"/>
  <c r="C102" i="110" a="1"/>
  <c r="C102" i="110" s="1"/>
  <c r="I102" i="110" a="1"/>
  <c r="I102" i="110" s="1"/>
  <c r="N102" i="110" a="1"/>
  <c r="N102" i="110" s="1"/>
  <c r="C103" i="110" a="1"/>
  <c r="C103" i="110" s="1"/>
  <c r="I103" i="110" a="1"/>
  <c r="I103" i="110" s="1"/>
  <c r="N103" i="110" a="1"/>
  <c r="N103" i="110" s="1"/>
  <c r="C104" i="110" a="1"/>
  <c r="C104" i="110" s="1"/>
  <c r="I104" i="110" a="1"/>
  <c r="I104" i="110" s="1"/>
  <c r="N104" i="110" a="1"/>
  <c r="N104" i="110" s="1"/>
  <c r="E103" i="110" a="1"/>
  <c r="E103" i="110" s="1"/>
  <c r="J103" i="110" a="1"/>
  <c r="J103" i="110" s="1"/>
  <c r="O103" i="110" a="1"/>
  <c r="O103" i="110" s="1"/>
  <c r="E104" i="110" a="1"/>
  <c r="E104" i="110" s="1"/>
  <c r="J104" i="110" a="1"/>
  <c r="J104" i="110" s="1"/>
  <c r="O104" i="110" a="1"/>
  <c r="O104" i="110" s="1"/>
  <c r="AC94" i="110"/>
  <c r="AI97" i="110" a="1"/>
  <c r="AI97" i="110" s="1"/>
  <c r="AE97" i="110" a="1"/>
  <c r="AE97" i="110" s="1"/>
  <c r="AA97" i="110" a="1"/>
  <c r="AA97" i="110" s="1"/>
  <c r="W97" i="110" a="1"/>
  <c r="W97" i="110" s="1"/>
  <c r="AI96" i="110" a="1"/>
  <c r="AI96" i="110" s="1"/>
  <c r="AE96" i="110" a="1"/>
  <c r="AE96" i="110" s="1"/>
  <c r="AA96" i="110" a="1"/>
  <c r="AA96" i="110" s="1"/>
  <c r="W96" i="110" a="1"/>
  <c r="W96" i="110" s="1"/>
  <c r="AI95" i="110" a="1"/>
  <c r="AI95" i="110" s="1"/>
  <c r="AE95" i="110" a="1"/>
  <c r="AE95" i="110" s="1"/>
  <c r="AA95" i="110" a="1"/>
  <c r="AA95" i="110" s="1"/>
  <c r="W95" i="110" a="1"/>
  <c r="W95" i="110" s="1"/>
  <c r="AI94" i="110" a="1"/>
  <c r="AI94" i="110" s="1"/>
  <c r="AE94" i="110" a="1"/>
  <c r="AE94" i="110" s="1"/>
  <c r="AA94" i="110" a="1"/>
  <c r="AA94" i="110" s="1"/>
  <c r="W94" i="110" a="1"/>
  <c r="W94" i="110" s="1"/>
  <c r="AH92" i="110" a="1"/>
  <c r="AH92" i="110" s="1"/>
  <c r="U94" i="110" a="1"/>
  <c r="U94" i="110" s="1"/>
  <c r="Z94" i="110" a="1"/>
  <c r="Z94" i="110" s="1"/>
  <c r="AF94" i="110" a="1"/>
  <c r="AF94" i="110" s="1"/>
  <c r="X95" i="110" a="1"/>
  <c r="X95" i="110" s="1"/>
  <c r="AC95" i="110" a="1"/>
  <c r="AC95" i="110" s="1"/>
  <c r="AH95" i="110" a="1"/>
  <c r="AH95" i="110" s="1"/>
  <c r="X96" i="110" a="1"/>
  <c r="X96" i="110" s="1"/>
  <c r="AC96" i="110" a="1"/>
  <c r="AC96" i="110" s="1"/>
  <c r="AH96" i="110" a="1"/>
  <c r="AH96" i="110" s="1"/>
  <c r="X97" i="110" a="1"/>
  <c r="X97" i="110" s="1"/>
  <c r="AC97" i="110" a="1"/>
  <c r="AC97" i="110" s="1"/>
  <c r="AH97" i="110" a="1"/>
  <c r="AH97" i="110" s="1"/>
  <c r="AH104" i="110" a="1"/>
  <c r="AH104" i="110" s="1"/>
  <c r="AD104" i="110" a="1"/>
  <c r="AD104" i="110" s="1"/>
  <c r="Z104" i="110" a="1"/>
  <c r="Z104" i="110" s="1"/>
  <c r="V104" i="110" a="1"/>
  <c r="V104" i="110" s="1"/>
  <c r="AH103" i="110" a="1"/>
  <c r="AH103" i="110" s="1"/>
  <c r="AD103" i="110" a="1"/>
  <c r="AD103" i="110" s="1"/>
  <c r="Z103" i="110" a="1"/>
  <c r="Z103" i="110" s="1"/>
  <c r="V103" i="110" a="1"/>
  <c r="V103" i="110" s="1"/>
  <c r="AH102" i="110" a="1"/>
  <c r="AH102" i="110" s="1"/>
  <c r="AD102" i="110" a="1"/>
  <c r="AD102" i="110" s="1"/>
  <c r="Z102" i="110" a="1"/>
  <c r="Z102" i="110" s="1"/>
  <c r="V102" i="110" a="1"/>
  <c r="V102" i="110" s="1"/>
  <c r="AH101" i="110" a="1"/>
  <c r="AH101" i="110" s="1"/>
  <c r="AD101" i="110" a="1"/>
  <c r="AD101" i="110" s="1"/>
  <c r="Z101" i="110" a="1"/>
  <c r="Z101" i="110" s="1"/>
  <c r="V101" i="110" a="1"/>
  <c r="V101" i="110" s="1"/>
  <c r="F101" i="110" a="1"/>
  <c r="F101" i="110" s="1"/>
  <c r="K101" i="110" a="1"/>
  <c r="K101" i="110" s="1"/>
  <c r="Q101" i="110" a="1"/>
  <c r="Q101" i="110" s="1"/>
  <c r="X101" i="110" a="1"/>
  <c r="X101" i="110" s="1"/>
  <c r="AC101" i="110" a="1"/>
  <c r="AC101" i="110" s="1"/>
  <c r="AI101" i="110" a="1"/>
  <c r="AI101" i="110" s="1"/>
  <c r="F102" i="110" a="1"/>
  <c r="F102" i="110" s="1"/>
  <c r="K102" i="110" a="1"/>
  <c r="K102" i="110" s="1"/>
  <c r="Q102" i="110" a="1"/>
  <c r="Q102" i="110" s="1"/>
  <c r="X102" i="110" a="1"/>
  <c r="X102" i="110" s="1"/>
  <c r="AC102" i="110" a="1"/>
  <c r="AC102" i="110" s="1"/>
  <c r="AI102" i="110" a="1"/>
  <c r="AI102" i="110" s="1"/>
  <c r="F103" i="110" a="1"/>
  <c r="F103" i="110" s="1"/>
  <c r="K103" i="110" a="1"/>
  <c r="K103" i="110" s="1"/>
  <c r="Q103" i="110" a="1"/>
  <c r="Q103" i="110" s="1"/>
  <c r="X103" i="110" a="1"/>
  <c r="X103" i="110" s="1"/>
  <c r="AC103" i="110" a="1"/>
  <c r="AC103" i="110" s="1"/>
  <c r="AI103" i="110" a="1"/>
  <c r="AI103" i="110" s="1"/>
  <c r="F104" i="110" a="1"/>
  <c r="F104" i="110" s="1"/>
  <c r="K104" i="110" a="1"/>
  <c r="K104" i="110" s="1"/>
  <c r="Q104" i="110" a="1"/>
  <c r="Q104" i="110" s="1"/>
  <c r="X104" i="110" a="1"/>
  <c r="X104" i="110" s="1"/>
  <c r="AC104" i="110" a="1"/>
  <c r="AC104" i="110" s="1"/>
  <c r="AI104" i="110" a="1"/>
  <c r="AI104" i="110" s="1"/>
  <c r="V94" i="110" a="1"/>
  <c r="V94" i="110" s="1"/>
  <c r="AB94" i="110" a="1"/>
  <c r="AB94" i="110" s="1"/>
  <c r="AG94" i="110" a="1"/>
  <c r="AG94" i="110" s="1"/>
  <c r="Y95" i="110" a="1"/>
  <c r="Y95" i="110" s="1"/>
  <c r="AD95" i="110" a="1"/>
  <c r="AD95" i="110" s="1"/>
  <c r="AJ95" i="110" a="1"/>
  <c r="AJ95" i="110" s="1"/>
  <c r="Y96" i="110" a="1"/>
  <c r="Y96" i="110" s="1"/>
  <c r="AD96" i="110" a="1"/>
  <c r="AD96" i="110" s="1"/>
  <c r="AJ96" i="110" a="1"/>
  <c r="AJ96" i="110" s="1"/>
  <c r="Y97" i="110" a="1"/>
  <c r="Y97" i="110" s="1"/>
  <c r="AD97" i="110" a="1"/>
  <c r="AD97" i="110" s="1"/>
  <c r="AJ97" i="110" a="1"/>
  <c r="AJ97" i="110" s="1"/>
  <c r="AH99" i="110" a="1"/>
  <c r="AH99" i="110" s="1"/>
  <c r="G101" i="110" a="1"/>
  <c r="G101" i="110" s="1"/>
  <c r="M101" i="110" a="1"/>
  <c r="M101" i="110" s="1"/>
  <c r="R101" i="110" a="1"/>
  <c r="R101" i="110" s="1"/>
  <c r="Y101" i="110" a="1"/>
  <c r="Y101" i="110" s="1"/>
  <c r="AE101" i="110" a="1"/>
  <c r="AE101" i="110" s="1"/>
  <c r="AJ101" i="110" a="1"/>
  <c r="AJ101" i="110" s="1"/>
  <c r="G102" i="110" a="1"/>
  <c r="G102" i="110" s="1"/>
  <c r="M102" i="110" a="1"/>
  <c r="M102" i="110" s="1"/>
  <c r="R102" i="110" a="1"/>
  <c r="R102" i="110" s="1"/>
  <c r="Y102" i="110" a="1"/>
  <c r="Y102" i="110" s="1"/>
  <c r="AE102" i="110" a="1"/>
  <c r="AE102" i="110" s="1"/>
  <c r="AJ102" i="110" a="1"/>
  <c r="AJ102" i="110" s="1"/>
  <c r="G103" i="110" a="1"/>
  <c r="G103" i="110" s="1"/>
  <c r="M103" i="110" a="1"/>
  <c r="M103" i="110" s="1"/>
  <c r="R103" i="110" a="1"/>
  <c r="R103" i="110" s="1"/>
  <c r="Y103" i="110" a="1"/>
  <c r="Y103" i="110" s="1"/>
  <c r="AE103" i="110" a="1"/>
  <c r="AE103" i="110" s="1"/>
  <c r="AJ103" i="110" a="1"/>
  <c r="AJ103" i="110" s="1"/>
  <c r="G104" i="110" a="1"/>
  <c r="G104" i="110" s="1"/>
  <c r="M104" i="110" a="1"/>
  <c r="M104" i="110" s="1"/>
  <c r="R104" i="110" a="1"/>
  <c r="R104" i="110" s="1"/>
  <c r="Y104" i="110" a="1"/>
  <c r="Y104" i="110" s="1"/>
  <c r="AE104" i="110" a="1"/>
  <c r="AE104" i="110" s="1"/>
  <c r="AJ104" i="110" a="1"/>
  <c r="AJ104" i="110" s="1"/>
  <c r="G94" i="110" a="1"/>
  <c r="G94" i="110" s="1"/>
  <c r="J94" i="110" a="1"/>
  <c r="J94" i="110" s="1"/>
  <c r="O94" i="110" a="1"/>
  <c r="O94" i="110" s="1"/>
  <c r="R94" i="110" a="1"/>
  <c r="R94" i="110" s="1"/>
  <c r="D95" i="110" a="1"/>
  <c r="D95" i="110" s="1"/>
  <c r="I95" i="110" a="1"/>
  <c r="I95" i="110" s="1"/>
  <c r="L95" i="110" a="1"/>
  <c r="L95" i="110" s="1"/>
  <c r="Q95" i="110" a="1"/>
  <c r="Q95" i="110" s="1"/>
  <c r="E96" i="110" a="1"/>
  <c r="E96" i="110" s="1"/>
  <c r="I96" i="110" a="1"/>
  <c r="I96" i="110" s="1"/>
  <c r="M96" i="110" a="1"/>
  <c r="M96" i="110" s="1"/>
  <c r="Q96" i="110" a="1"/>
  <c r="Q96" i="110" s="1"/>
  <c r="E97" i="110" a="1"/>
  <c r="E97" i="110" s="1"/>
  <c r="I97" i="110" a="1"/>
  <c r="I97" i="110" s="1"/>
  <c r="M97" i="110" a="1"/>
  <c r="M97" i="110" s="1"/>
  <c r="Q97" i="110" a="1"/>
  <c r="Q97" i="110" s="1"/>
  <c r="E15" i="114"/>
  <c r="E17" i="114" s="1"/>
  <c r="H28" i="114"/>
  <c r="E21" i="114"/>
  <c r="G21" i="114" s="1"/>
  <c r="H44" i="82"/>
  <c r="H42" i="82"/>
  <c r="H40" i="82"/>
  <c r="H38" i="82"/>
  <c r="H36" i="82"/>
  <c r="D42" i="82"/>
  <c r="D41" i="82"/>
  <c r="H37" i="82"/>
  <c r="H41" i="82"/>
  <c r="D38" i="82"/>
  <c r="D37" i="82"/>
  <c r="D39" i="82"/>
  <c r="H35" i="82"/>
  <c r="D44" i="82"/>
  <c r="D35" i="82"/>
  <c r="H43" i="82"/>
  <c r="D40" i="82"/>
  <c r="D43" i="82"/>
  <c r="H39" i="82"/>
  <c r="D36" i="82"/>
  <c r="H14" i="82"/>
  <c r="G14" i="82" s="1"/>
  <c r="F14" i="82" s="1"/>
  <c r="H12" i="82"/>
  <c r="G12" i="82" s="1"/>
  <c r="F12" i="82" s="1"/>
  <c r="H10" i="82"/>
  <c r="G10" i="82" s="1"/>
  <c r="F10" i="82" s="1"/>
  <c r="H13" i="82"/>
  <c r="G13" i="82" s="1"/>
  <c r="F13" i="82" s="1"/>
  <c r="H15" i="82"/>
  <c r="G15" i="82" s="1"/>
  <c r="F15" i="82" s="1"/>
  <c r="H7" i="82"/>
  <c r="G7" i="82" s="1"/>
  <c r="F7" i="82" s="1"/>
  <c r="H11" i="82"/>
  <c r="G11" i="82" s="1"/>
  <c r="F11" i="82" s="1"/>
  <c r="H8" i="82"/>
  <c r="G8" i="82" s="1"/>
  <c r="F8" i="82" s="1"/>
  <c r="H9" i="82"/>
  <c r="G9" i="82" s="1"/>
  <c r="F9" i="82" s="1"/>
  <c r="H6" i="82"/>
  <c r="G6" i="82" s="1"/>
  <c r="F6" i="82" s="1"/>
  <c r="S114" i="79"/>
  <c r="S130" i="79"/>
  <c r="S146" i="79"/>
  <c r="D98" i="98"/>
  <c r="D14" i="82"/>
  <c r="C14" i="82" s="1"/>
  <c r="B14" i="82" s="1"/>
  <c r="D13" i="82"/>
  <c r="C13" i="82" s="1"/>
  <c r="B13" i="82" s="1"/>
  <c r="D9" i="82"/>
  <c r="C9" i="82" s="1"/>
  <c r="B9" i="82" s="1"/>
  <c r="D7" i="82"/>
  <c r="C7" i="82" s="1"/>
  <c r="B7" i="82" s="1"/>
  <c r="D10" i="82"/>
  <c r="C10" i="82" s="1"/>
  <c r="B10" i="82" s="1"/>
  <c r="D8" i="82"/>
  <c r="C8" i="82" s="1"/>
  <c r="B8" i="82" s="1"/>
  <c r="D6" i="82"/>
  <c r="C6" i="82" s="1"/>
  <c r="B6" i="82" s="1"/>
  <c r="D12" i="82"/>
  <c r="C12" i="82" s="1"/>
  <c r="B12" i="82" s="1"/>
  <c r="D15" i="82"/>
  <c r="C15" i="82" s="1"/>
  <c r="B15" i="82" s="1"/>
  <c r="D11" i="82"/>
  <c r="C11" i="82" s="1"/>
  <c r="B11" i="82" s="1"/>
  <c r="S2" i="79"/>
  <c r="C19" i="87"/>
  <c r="B19" i="87" s="1"/>
  <c r="C15" i="87"/>
  <c r="B15" i="87" s="1"/>
  <c r="C11" i="87"/>
  <c r="B11" i="87" s="1"/>
  <c r="C7" i="87"/>
  <c r="B7" i="87" s="1"/>
  <c r="C18" i="87"/>
  <c r="B18" i="87" s="1"/>
  <c r="C14" i="87"/>
  <c r="B14" i="87" s="1"/>
  <c r="C10" i="87"/>
  <c r="B10" i="87" s="1"/>
  <c r="C6" i="87"/>
  <c r="C17" i="87"/>
  <c r="B17" i="87" s="1"/>
  <c r="C13" i="87"/>
  <c r="B13" i="87" s="1"/>
  <c r="C9" i="87"/>
  <c r="B9" i="87" s="1"/>
  <c r="C20" i="87"/>
  <c r="B20" i="87" s="1"/>
  <c r="C16" i="87"/>
  <c r="B16" i="87" s="1"/>
  <c r="C12" i="87"/>
  <c r="B12" i="87" s="1"/>
  <c r="C8" i="87"/>
  <c r="B8" i="87" s="1"/>
  <c r="L29" i="82"/>
  <c r="H28" i="82"/>
  <c r="L25" i="82"/>
  <c r="H24" i="82"/>
  <c r="L21" i="82"/>
  <c r="H20" i="82"/>
  <c r="H29" i="82"/>
  <c r="L28" i="82"/>
  <c r="H26" i="82"/>
  <c r="H23" i="82"/>
  <c r="L26" i="82"/>
  <c r="L23" i="82"/>
  <c r="H21" i="82"/>
  <c r="L20" i="82"/>
  <c r="L27" i="82"/>
  <c r="H25" i="82"/>
  <c r="H27" i="82"/>
  <c r="L22" i="82"/>
  <c r="L24" i="82"/>
  <c r="H22" i="82"/>
  <c r="S106" i="79"/>
  <c r="S122" i="79"/>
  <c r="S138" i="79"/>
  <c r="S150" i="79"/>
  <c r="F87" i="101"/>
  <c r="J87" i="101"/>
  <c r="N87" i="101"/>
  <c r="R87" i="101"/>
  <c r="E88" i="101"/>
  <c r="I88" i="101"/>
  <c r="M88" i="101"/>
  <c r="Q88" i="101"/>
  <c r="D89" i="101"/>
  <c r="H89" i="101"/>
  <c r="L89" i="101"/>
  <c r="P89" i="101"/>
  <c r="C90" i="101"/>
  <c r="G90" i="101"/>
  <c r="K90" i="101"/>
  <c r="O90" i="101"/>
  <c r="S90" i="101"/>
  <c r="Q97" i="101" s="1"/>
  <c r="E122" i="101"/>
  <c r="I122" i="101"/>
  <c r="M122" i="101"/>
  <c r="Q122" i="101"/>
  <c r="E123" i="101"/>
  <c r="I123" i="101"/>
  <c r="M123" i="101"/>
  <c r="Q123" i="101"/>
  <c r="E124" i="101"/>
  <c r="I124" i="101"/>
  <c r="M124" i="101"/>
  <c r="Q124" i="101"/>
  <c r="H15" i="114"/>
  <c r="H17" i="114" s="1"/>
  <c r="Y13" i="111"/>
  <c r="AG13" i="111"/>
  <c r="Y25" i="111"/>
  <c r="AG25" i="111"/>
  <c r="Y33" i="111"/>
  <c r="AG33" i="111"/>
  <c r="D21" i="101"/>
  <c r="E21" i="101" s="1"/>
  <c r="G21" i="101" s="1"/>
  <c r="G23" i="101" s="1"/>
  <c r="F28" i="101"/>
  <c r="C87" i="101"/>
  <c r="G87" i="101"/>
  <c r="K87" i="101"/>
  <c r="O87" i="101"/>
  <c r="S87" i="101"/>
  <c r="F88" i="101"/>
  <c r="J88" i="101"/>
  <c r="N88" i="101"/>
  <c r="R88" i="101"/>
  <c r="E89" i="101"/>
  <c r="I89" i="101"/>
  <c r="M89" i="101"/>
  <c r="Q89" i="101"/>
  <c r="D90" i="101"/>
  <c r="H90" i="101"/>
  <c r="L90" i="101"/>
  <c r="P90" i="101"/>
  <c r="F122" i="101"/>
  <c r="J122" i="101"/>
  <c r="N122" i="101"/>
  <c r="R122" i="101"/>
  <c r="F123" i="101"/>
  <c r="J123" i="101"/>
  <c r="N123" i="101"/>
  <c r="R123" i="101"/>
  <c r="F124" i="101"/>
  <c r="J124" i="101"/>
  <c r="N124" i="101"/>
  <c r="R124" i="101"/>
  <c r="D88" i="98"/>
  <c r="D95" i="98" s="1"/>
  <c r="H88" i="98"/>
  <c r="L88" i="98"/>
  <c r="L95" i="98" s="1"/>
  <c r="P88" i="98"/>
  <c r="P95" i="98" s="1"/>
  <c r="C89" i="98"/>
  <c r="C96" i="98" s="1"/>
  <c r="G89" i="98"/>
  <c r="K89" i="98"/>
  <c r="O89" i="98"/>
  <c r="S89" i="98"/>
  <c r="F90" i="98"/>
  <c r="F97" i="98" s="1"/>
  <c r="J90" i="98"/>
  <c r="J97" i="98" s="1"/>
  <c r="N90" i="98"/>
  <c r="N97" i="98" s="1"/>
  <c r="R90" i="98"/>
  <c r="R97" i="98" s="1"/>
  <c r="E91" i="98"/>
  <c r="E98" i="98" s="1"/>
  <c r="I91" i="98"/>
  <c r="I98" i="98" s="1"/>
  <c r="M91" i="98"/>
  <c r="M98" i="98" s="1"/>
  <c r="Q91" i="98"/>
  <c r="Q98" i="98" s="1"/>
  <c r="E104" i="98"/>
  <c r="I104" i="98"/>
  <c r="M104" i="98"/>
  <c r="Q104" i="98"/>
  <c r="E105" i="98"/>
  <c r="I105" i="98"/>
  <c r="M105" i="98"/>
  <c r="Q105" i="98"/>
  <c r="E106" i="98"/>
  <c r="I106" i="98"/>
  <c r="M106" i="98"/>
  <c r="Q106" i="98"/>
  <c r="E107" i="98"/>
  <c r="I107" i="98"/>
  <c r="M107" i="98"/>
  <c r="Q107" i="98"/>
  <c r="C111" i="98"/>
  <c r="G111" i="98"/>
  <c r="K111" i="98"/>
  <c r="O111" i="98"/>
  <c r="C112" i="98"/>
  <c r="G112" i="98"/>
  <c r="K112" i="98"/>
  <c r="O112" i="98"/>
  <c r="C113" i="98"/>
  <c r="G113" i="98"/>
  <c r="K113" i="98"/>
  <c r="O113" i="98"/>
  <c r="C114" i="98"/>
  <c r="G114" i="98"/>
  <c r="K114" i="98"/>
  <c r="O114" i="98"/>
  <c r="E118" i="98"/>
  <c r="I118" i="98"/>
  <c r="M118" i="98"/>
  <c r="Q118" i="98"/>
  <c r="E119" i="98"/>
  <c r="I119" i="98"/>
  <c r="M119" i="98"/>
  <c r="Q119" i="98"/>
  <c r="E120" i="98"/>
  <c r="I120" i="98"/>
  <c r="M120" i="98"/>
  <c r="Q120" i="98"/>
  <c r="E121" i="98"/>
  <c r="I121" i="98"/>
  <c r="M121" i="98"/>
  <c r="C125" i="98"/>
  <c r="G125" i="98"/>
  <c r="K125" i="98"/>
  <c r="O125" i="98"/>
  <c r="C126" i="98"/>
  <c r="G126" i="98"/>
  <c r="K126" i="98"/>
  <c r="O126" i="98"/>
  <c r="C127" i="98"/>
  <c r="G127" i="98"/>
  <c r="K127" i="98"/>
  <c r="O127" i="98"/>
  <c r="C128" i="98"/>
  <c r="G128" i="98"/>
  <c r="K128" i="98"/>
  <c r="O128" i="98"/>
  <c r="AF13" i="111"/>
  <c r="X13" i="111"/>
  <c r="AJ13" i="111"/>
  <c r="AB13" i="111"/>
  <c r="AF25" i="111"/>
  <c r="X25" i="111"/>
  <c r="AJ25" i="111"/>
  <c r="AB25" i="111"/>
  <c r="AF33" i="111"/>
  <c r="X33" i="111"/>
  <c r="AJ33" i="111"/>
  <c r="AB33" i="111"/>
  <c r="D87" i="101"/>
  <c r="H87" i="101"/>
  <c r="L87" i="101"/>
  <c r="P87" i="101"/>
  <c r="C88" i="101"/>
  <c r="G88" i="101"/>
  <c r="K88" i="101"/>
  <c r="O88" i="101"/>
  <c r="S88" i="101"/>
  <c r="F89" i="101"/>
  <c r="J89" i="101"/>
  <c r="N89" i="101"/>
  <c r="R89" i="101"/>
  <c r="E90" i="101"/>
  <c r="I90" i="101"/>
  <c r="M90" i="101"/>
  <c r="E101" i="101"/>
  <c r="I101" i="101"/>
  <c r="M101" i="101"/>
  <c r="Q101" i="101"/>
  <c r="E102" i="101"/>
  <c r="I102" i="101"/>
  <c r="M102" i="101"/>
  <c r="Q102" i="101"/>
  <c r="E103" i="101"/>
  <c r="I103" i="101"/>
  <c r="M103" i="101"/>
  <c r="Q103" i="101"/>
  <c r="E104" i="101"/>
  <c r="I104" i="101"/>
  <c r="M104" i="101"/>
  <c r="Q104" i="101"/>
  <c r="C108" i="101"/>
  <c r="G108" i="101"/>
  <c r="K108" i="101"/>
  <c r="O108" i="101"/>
  <c r="C109" i="101"/>
  <c r="G109" i="101"/>
  <c r="K109" i="101"/>
  <c r="O109" i="101"/>
  <c r="C110" i="101"/>
  <c r="G110" i="101"/>
  <c r="K110" i="101"/>
  <c r="O110" i="101"/>
  <c r="C111" i="101"/>
  <c r="G111" i="101"/>
  <c r="K111" i="101"/>
  <c r="O111" i="101"/>
  <c r="E115" i="101"/>
  <c r="I115" i="101"/>
  <c r="M115" i="101"/>
  <c r="Q115" i="101"/>
  <c r="E116" i="101"/>
  <c r="I116" i="101"/>
  <c r="M116" i="101"/>
  <c r="Q116" i="101"/>
  <c r="E117" i="101"/>
  <c r="I117" i="101"/>
  <c r="M117" i="101"/>
  <c r="Q117" i="101"/>
  <c r="E118" i="101"/>
  <c r="I118" i="101"/>
  <c r="M118" i="101"/>
  <c r="Q118" i="101"/>
  <c r="C122" i="101"/>
  <c r="G122" i="101"/>
  <c r="K122" i="101"/>
  <c r="O122" i="101"/>
  <c r="C123" i="101"/>
  <c r="G123" i="101"/>
  <c r="K123" i="101"/>
  <c r="O123" i="101"/>
  <c r="C124" i="101"/>
  <c r="G124" i="101"/>
  <c r="K124" i="101"/>
  <c r="C125" i="101"/>
  <c r="G125" i="101"/>
  <c r="K125" i="101"/>
  <c r="F204" i="100"/>
  <c r="F203" i="100"/>
  <c r="N203" i="100"/>
  <c r="AI203" i="100" s="1"/>
  <c r="N204" i="100"/>
  <c r="R204" i="100"/>
  <c r="R203" i="100"/>
  <c r="J204" i="100"/>
  <c r="AE204" i="100" s="1"/>
  <c r="Y9" i="111"/>
  <c r="AG9" i="111"/>
  <c r="AC13" i="111"/>
  <c r="Y17" i="111"/>
  <c r="AG17" i="111"/>
  <c r="AC25" i="111"/>
  <c r="Y29" i="111"/>
  <c r="AG29" i="111"/>
  <c r="AC33" i="111"/>
  <c r="Y41" i="111"/>
  <c r="AG41" i="111"/>
  <c r="F88" i="98"/>
  <c r="F95" i="98" s="1"/>
  <c r="J88" i="98"/>
  <c r="J95" i="98" s="1"/>
  <c r="N88" i="98"/>
  <c r="N95" i="98" s="1"/>
  <c r="R88" i="98"/>
  <c r="R95" i="98" s="1"/>
  <c r="E89" i="98"/>
  <c r="I89" i="98"/>
  <c r="M89" i="98"/>
  <c r="Q89" i="98"/>
  <c r="D90" i="98"/>
  <c r="D97" i="98" s="1"/>
  <c r="H90" i="98"/>
  <c r="H97" i="98" s="1"/>
  <c r="L90" i="98"/>
  <c r="L97" i="98" s="1"/>
  <c r="P90" i="98"/>
  <c r="P97" i="98" s="1"/>
  <c r="C91" i="98"/>
  <c r="C98" i="98" s="1"/>
  <c r="G91" i="98"/>
  <c r="G98" i="98" s="1"/>
  <c r="K91" i="98"/>
  <c r="K98" i="98" s="1"/>
  <c r="O91" i="98"/>
  <c r="O98" i="98" s="1"/>
  <c r="E125" i="98"/>
  <c r="I125" i="98"/>
  <c r="M125" i="98"/>
  <c r="Q125" i="98"/>
  <c r="E126" i="98"/>
  <c r="I126" i="98"/>
  <c r="M126" i="98"/>
  <c r="Q126" i="98"/>
  <c r="E127" i="98"/>
  <c r="I127" i="98"/>
  <c r="M127" i="98"/>
  <c r="Q127" i="98"/>
  <c r="E128" i="98"/>
  <c r="I128" i="98"/>
  <c r="M128" i="98"/>
  <c r="AF9" i="111"/>
  <c r="X9" i="111"/>
  <c r="AJ9" i="111"/>
  <c r="AB9" i="111"/>
  <c r="AF17" i="111"/>
  <c r="X17" i="111"/>
  <c r="AJ17" i="111"/>
  <c r="AB17" i="111"/>
  <c r="AF29" i="111"/>
  <c r="X29" i="111"/>
  <c r="AJ29" i="111"/>
  <c r="AB29" i="111"/>
  <c r="AF41" i="111"/>
  <c r="X41" i="111"/>
  <c r="AJ41" i="111"/>
  <c r="AB41" i="111"/>
  <c r="S198" i="100"/>
  <c r="K199" i="100"/>
  <c r="I204" i="100"/>
  <c r="AD204" i="100" s="1"/>
  <c r="AC8" i="111"/>
  <c r="AK8" i="111"/>
  <c r="AC12" i="111"/>
  <c r="AK12" i="111"/>
  <c r="AC16" i="111"/>
  <c r="AK16" i="111"/>
  <c r="AC24" i="111"/>
  <c r="AK24" i="111"/>
  <c r="AC28" i="111"/>
  <c r="AK28" i="111"/>
  <c r="AC32" i="111"/>
  <c r="AK32" i="111"/>
  <c r="AC40" i="111"/>
  <c r="AK40" i="111"/>
  <c r="AC44" i="111"/>
  <c r="AK44" i="111"/>
  <c r="AB45" i="111"/>
  <c r="AJ45" i="111"/>
  <c r="AC48" i="111"/>
  <c r="AK48" i="111"/>
  <c r="AB49" i="111"/>
  <c r="AJ49" i="111"/>
  <c r="AC52" i="111"/>
  <c r="AK52" i="111"/>
  <c r="AB56" i="111"/>
  <c r="AJ56" i="111"/>
  <c r="AC59" i="111"/>
  <c r="AK59" i="111"/>
  <c r="AB60" i="111"/>
  <c r="AJ60" i="111"/>
  <c r="AC63" i="111"/>
  <c r="AK63" i="111"/>
  <c r="AB64" i="111"/>
  <c r="AJ64" i="111"/>
  <c r="AC67" i="111"/>
  <c r="AK67" i="111"/>
  <c r="AB68" i="111"/>
  <c r="AJ68" i="111"/>
  <c r="AB10" i="102"/>
  <c r="AJ10" i="102"/>
  <c r="AB11" i="102"/>
  <c r="AJ11" i="102"/>
  <c r="AB12" i="102"/>
  <c r="AJ12" i="102"/>
  <c r="AB13" i="102"/>
  <c r="AJ13" i="102"/>
  <c r="X24" i="102"/>
  <c r="AF24" i="102"/>
  <c r="AC25" i="102"/>
  <c r="AC26" i="102"/>
  <c r="AC45" i="111"/>
  <c r="AK45" i="111"/>
  <c r="AC49" i="111"/>
  <c r="AK49" i="111"/>
  <c r="AC56" i="111"/>
  <c r="AK56" i="111"/>
  <c r="AC60" i="111"/>
  <c r="AK60" i="111"/>
  <c r="AC64" i="111"/>
  <c r="AK64" i="111"/>
  <c r="AC68" i="111"/>
  <c r="AK68" i="111"/>
  <c r="AI27" i="102"/>
  <c r="AE27" i="102"/>
  <c r="AA27" i="102"/>
  <c r="W27" i="102"/>
  <c r="AI26" i="102"/>
  <c r="AE26" i="102"/>
  <c r="AA26" i="102"/>
  <c r="W26" i="102"/>
  <c r="AI25" i="102"/>
  <c r="AE25" i="102"/>
  <c r="AA25" i="102"/>
  <c r="W25" i="102"/>
  <c r="AF27" i="102"/>
  <c r="Z27" i="102"/>
  <c r="U27" i="102"/>
  <c r="AF26" i="102"/>
  <c r="Z26" i="102"/>
  <c r="U26" i="102"/>
  <c r="AF25" i="102"/>
  <c r="Z25" i="102"/>
  <c r="U25" i="102"/>
  <c r="AH24" i="102"/>
  <c r="AD24" i="102"/>
  <c r="Z24" i="102"/>
  <c r="V24" i="102"/>
  <c r="AJ27" i="102"/>
  <c r="AD27" i="102"/>
  <c r="Y27" i="102"/>
  <c r="AJ26" i="102"/>
  <c r="AD26" i="102"/>
  <c r="Y26" i="102"/>
  <c r="AJ25" i="102"/>
  <c r="AD25" i="102"/>
  <c r="Y25" i="102"/>
  <c r="AG24" i="102"/>
  <c r="AC24" i="102"/>
  <c r="Y24" i="102"/>
  <c r="U24" i="102"/>
  <c r="AA24" i="102"/>
  <c r="AI24" i="102"/>
  <c r="V25" i="102"/>
  <c r="AG25" i="102"/>
  <c r="V26" i="102"/>
  <c r="AG26" i="102"/>
  <c r="V27" i="102"/>
  <c r="AG27" i="102"/>
  <c r="K198" i="100"/>
  <c r="I199" i="100"/>
  <c r="AD199" i="100" s="1"/>
  <c r="S199" i="100"/>
  <c r="S203" i="100"/>
  <c r="AN203" i="100" s="1"/>
  <c r="K204" i="100"/>
  <c r="AF204" i="100" s="1"/>
  <c r="Q204" i="100"/>
  <c r="AL204" i="100" s="1"/>
  <c r="X8" i="111"/>
  <c r="AB8" i="111"/>
  <c r="AF8" i="111"/>
  <c r="AJ8" i="111"/>
  <c r="Y8" i="111"/>
  <c r="W9" i="111"/>
  <c r="AA9" i="111"/>
  <c r="AE9" i="111"/>
  <c r="AI9" i="111"/>
  <c r="X12" i="111"/>
  <c r="AB12" i="111"/>
  <c r="AF12" i="111"/>
  <c r="AJ12" i="111"/>
  <c r="Y12" i="111"/>
  <c r="W13" i="111"/>
  <c r="AA13" i="111"/>
  <c r="AE13" i="111"/>
  <c r="AI13" i="111"/>
  <c r="X16" i="111"/>
  <c r="AB16" i="111"/>
  <c r="AF16" i="111"/>
  <c r="AJ16" i="111"/>
  <c r="Y16" i="111"/>
  <c r="W17" i="111"/>
  <c r="AA17" i="111"/>
  <c r="AE17" i="111"/>
  <c r="AI17" i="111"/>
  <c r="X24" i="111"/>
  <c r="AB24" i="111"/>
  <c r="AF24" i="111"/>
  <c r="AJ24" i="111"/>
  <c r="Y24" i="111"/>
  <c r="W25" i="111"/>
  <c r="AA25" i="111"/>
  <c r="AE25" i="111"/>
  <c r="AI25" i="111"/>
  <c r="X28" i="111"/>
  <c r="AB28" i="111"/>
  <c r="AF28" i="111"/>
  <c r="AJ28" i="111"/>
  <c r="Y28" i="111"/>
  <c r="W29" i="111"/>
  <c r="AA29" i="111"/>
  <c r="AE29" i="111"/>
  <c r="AI29" i="111"/>
  <c r="X32" i="111"/>
  <c r="AB32" i="111"/>
  <c r="AF32" i="111"/>
  <c r="AJ32" i="111"/>
  <c r="Y32" i="111"/>
  <c r="W33" i="111"/>
  <c r="AA33" i="111"/>
  <c r="AE33" i="111"/>
  <c r="AI33" i="111"/>
  <c r="X40" i="111"/>
  <c r="AB40" i="111"/>
  <c r="AF40" i="111"/>
  <c r="AJ40" i="111"/>
  <c r="Y40" i="111"/>
  <c r="W41" i="111"/>
  <c r="AA41" i="111"/>
  <c r="AE41" i="111"/>
  <c r="AI41" i="111"/>
  <c r="X44" i="111"/>
  <c r="AB44" i="111"/>
  <c r="AF44" i="111"/>
  <c r="AJ44" i="111"/>
  <c r="Y44" i="111"/>
  <c r="W45" i="111"/>
  <c r="AA45" i="111"/>
  <c r="AE45" i="111"/>
  <c r="AI45" i="111"/>
  <c r="X45" i="111"/>
  <c r="X48" i="111"/>
  <c r="AB48" i="111"/>
  <c r="AF48" i="111"/>
  <c r="AJ48" i="111"/>
  <c r="Y48" i="111"/>
  <c r="W49" i="111"/>
  <c r="AA49" i="111"/>
  <c r="AE49" i="111"/>
  <c r="AI49" i="111"/>
  <c r="X49" i="111"/>
  <c r="X52" i="111"/>
  <c r="AB52" i="111"/>
  <c r="AF52" i="111"/>
  <c r="AJ52" i="111"/>
  <c r="Y52" i="111"/>
  <c r="W56" i="111"/>
  <c r="AA56" i="111"/>
  <c r="AE56" i="111"/>
  <c r="AI56" i="111"/>
  <c r="X56" i="111"/>
  <c r="X59" i="111"/>
  <c r="AB59" i="111"/>
  <c r="AF59" i="111"/>
  <c r="AJ59" i="111"/>
  <c r="Y59" i="111"/>
  <c r="W60" i="111"/>
  <c r="AA60" i="111"/>
  <c r="AE60" i="111"/>
  <c r="AI60" i="111"/>
  <c r="X60" i="111"/>
  <c r="AF60" i="111"/>
  <c r="X63" i="111"/>
  <c r="AB63" i="111"/>
  <c r="AF63" i="111"/>
  <c r="AJ63" i="111"/>
  <c r="Y63" i="111"/>
  <c r="W64" i="111"/>
  <c r="AA64" i="111"/>
  <c r="AE64" i="111"/>
  <c r="AI64" i="111"/>
  <c r="X64" i="111"/>
  <c r="AF64" i="111"/>
  <c r="X67" i="111"/>
  <c r="AB67" i="111"/>
  <c r="AF67" i="111"/>
  <c r="AJ67" i="111"/>
  <c r="Y67" i="111"/>
  <c r="W68" i="111"/>
  <c r="AA68" i="111"/>
  <c r="AE68" i="111"/>
  <c r="AI68" i="111"/>
  <c r="X68" i="111"/>
  <c r="AF68" i="111"/>
  <c r="X10" i="102"/>
  <c r="AF10" i="102"/>
  <c r="X11" i="102"/>
  <c r="AF11" i="102"/>
  <c r="X12" i="102"/>
  <c r="AF12" i="102"/>
  <c r="X13" i="102"/>
  <c r="AH20" i="102"/>
  <c r="AD20" i="102"/>
  <c r="Z20" i="102"/>
  <c r="V20" i="102"/>
  <c r="AH19" i="102"/>
  <c r="AD19" i="102"/>
  <c r="Z19" i="102"/>
  <c r="V19" i="102"/>
  <c r="AH18" i="102"/>
  <c r="AD18" i="102"/>
  <c r="Z18" i="102"/>
  <c r="V18" i="102"/>
  <c r="AH17" i="102"/>
  <c r="AD17" i="102"/>
  <c r="Z17" i="102"/>
  <c r="V17" i="102"/>
  <c r="AG20" i="102"/>
  <c r="AC20" i="102"/>
  <c r="Y20" i="102"/>
  <c r="U20" i="102"/>
  <c r="AG19" i="102"/>
  <c r="AC19" i="102"/>
  <c r="Y19" i="102"/>
  <c r="U19" i="102"/>
  <c r="AG18" i="102"/>
  <c r="AC18" i="102"/>
  <c r="Y18" i="102"/>
  <c r="U18" i="102"/>
  <c r="AG17" i="102"/>
  <c r="AC17" i="102"/>
  <c r="Y17" i="102"/>
  <c r="U17" i="102"/>
  <c r="AA17" i="102"/>
  <c r="AI17" i="102"/>
  <c r="AA18" i="102"/>
  <c r="AI18" i="102"/>
  <c r="AA19" i="102"/>
  <c r="AI19" i="102"/>
  <c r="AA20" i="102"/>
  <c r="AI20" i="102"/>
  <c r="AH22" i="102"/>
  <c r="AB24" i="102"/>
  <c r="AJ24" i="102"/>
  <c r="X25" i="102"/>
  <c r="AH25" i="102"/>
  <c r="X26" i="102"/>
  <c r="AH26" i="102"/>
  <c r="X27" i="102"/>
  <c r="AH27" i="102"/>
  <c r="G198" i="100"/>
  <c r="AB198" i="100" s="1"/>
  <c r="O199" i="100"/>
  <c r="AJ199" i="100" s="1"/>
  <c r="M204" i="100"/>
  <c r="AH204" i="100" s="1"/>
  <c r="Y60" i="111"/>
  <c r="Y64" i="111"/>
  <c r="Y68" i="111"/>
  <c r="AH13" i="102"/>
  <c r="AD13" i="102"/>
  <c r="Z13" i="102"/>
  <c r="V13" i="102"/>
  <c r="AH12" i="102"/>
  <c r="AD12" i="102"/>
  <c r="Z12" i="102"/>
  <c r="V12" i="102"/>
  <c r="AH11" i="102"/>
  <c r="AD11" i="102"/>
  <c r="Z11" i="102"/>
  <c r="V11" i="102"/>
  <c r="AH10" i="102"/>
  <c r="AD10" i="102"/>
  <c r="Z10" i="102"/>
  <c r="V10" i="102"/>
  <c r="AG13" i="102"/>
  <c r="AC13" i="102"/>
  <c r="Y13" i="102"/>
  <c r="U13" i="102"/>
  <c r="AG12" i="102"/>
  <c r="AC12" i="102"/>
  <c r="Y12" i="102"/>
  <c r="U12" i="102"/>
  <c r="AG11" i="102"/>
  <c r="AC11" i="102"/>
  <c r="Y11" i="102"/>
  <c r="U11" i="102"/>
  <c r="AG10" i="102"/>
  <c r="AC10" i="102"/>
  <c r="Y10" i="102"/>
  <c r="U10" i="102"/>
  <c r="AA10" i="102"/>
  <c r="AI10" i="102"/>
  <c r="AA11" i="102"/>
  <c r="AI11" i="102"/>
  <c r="AA12" i="102"/>
  <c r="AI12" i="102"/>
  <c r="AA13" i="102"/>
  <c r="AI13" i="102"/>
  <c r="W24" i="102"/>
  <c r="AE24" i="102"/>
  <c r="AB25" i="102"/>
  <c r="AB26" i="102"/>
  <c r="AB27" i="102"/>
  <c r="D8" i="81"/>
  <c r="K11" i="81"/>
  <c r="E11" i="81"/>
  <c r="G11" i="81"/>
  <c r="J11" i="81"/>
  <c r="C11" i="81"/>
  <c r="D12" i="81"/>
  <c r="K15" i="81"/>
  <c r="E15" i="81"/>
  <c r="G15" i="81"/>
  <c r="J15" i="81"/>
  <c r="C15" i="81"/>
  <c r="D16" i="81"/>
  <c r="K19" i="81"/>
  <c r="E19" i="81"/>
  <c r="G19" i="81"/>
  <c r="J19" i="81"/>
  <c r="C19" i="81"/>
  <c r="D20" i="81"/>
  <c r="K23" i="81"/>
  <c r="E23" i="81"/>
  <c r="G23" i="81"/>
  <c r="J23" i="81"/>
  <c r="C23" i="81"/>
  <c r="D24" i="81"/>
  <c r="K27" i="81"/>
  <c r="E27" i="81"/>
  <c r="G27" i="81"/>
  <c r="J27" i="81"/>
  <c r="C27" i="81"/>
  <c r="D28" i="81"/>
  <c r="K31" i="81"/>
  <c r="E31" i="81"/>
  <c r="G31" i="81"/>
  <c r="J31" i="81"/>
  <c r="C31" i="81"/>
  <c r="D32" i="81"/>
  <c r="H41" i="81"/>
  <c r="J46" i="81"/>
  <c r="C10" i="102"/>
  <c r="G10" i="102"/>
  <c r="K10" i="102"/>
  <c r="O10" i="102"/>
  <c r="C11" i="102"/>
  <c r="G11" i="102"/>
  <c r="K11" i="102"/>
  <c r="O11" i="102"/>
  <c r="C12" i="102"/>
  <c r="G12" i="102"/>
  <c r="K12" i="102"/>
  <c r="O12" i="102"/>
  <c r="C13" i="102"/>
  <c r="G13" i="102"/>
  <c r="K13" i="102"/>
  <c r="O13" i="102"/>
  <c r="C17" i="102"/>
  <c r="G17" i="102"/>
  <c r="K17" i="102"/>
  <c r="O17" i="102"/>
  <c r="C18" i="102"/>
  <c r="G18" i="102"/>
  <c r="K18" i="102"/>
  <c r="O18" i="102"/>
  <c r="C19" i="102"/>
  <c r="G19" i="102"/>
  <c r="K19" i="102"/>
  <c r="O19" i="102"/>
  <c r="C20" i="102"/>
  <c r="G20" i="102"/>
  <c r="K20" i="102"/>
  <c r="O20" i="102"/>
  <c r="Q27" i="102"/>
  <c r="M27" i="102"/>
  <c r="I27" i="102"/>
  <c r="E27" i="102"/>
  <c r="Q26" i="102"/>
  <c r="M26" i="102"/>
  <c r="I26" i="102"/>
  <c r="E26" i="102"/>
  <c r="Q25" i="102"/>
  <c r="M25" i="102"/>
  <c r="I25" i="102"/>
  <c r="C24" i="102"/>
  <c r="G24" i="102"/>
  <c r="K24" i="102"/>
  <c r="O24" i="102"/>
  <c r="C25" i="102"/>
  <c r="G25" i="102"/>
  <c r="L25" i="102"/>
  <c r="R25" i="102"/>
  <c r="G26" i="102"/>
  <c r="L26" i="102"/>
  <c r="R26" i="102"/>
  <c r="G27" i="102"/>
  <c r="L27" i="102"/>
  <c r="R27" i="102"/>
  <c r="K10" i="81"/>
  <c r="E10" i="81"/>
  <c r="J10" i="81"/>
  <c r="C10" i="81"/>
  <c r="G10" i="81"/>
  <c r="D11" i="81"/>
  <c r="K14" i="81"/>
  <c r="E14" i="81"/>
  <c r="J14" i="81"/>
  <c r="C14" i="81"/>
  <c r="G14" i="81"/>
  <c r="D15" i="81"/>
  <c r="K18" i="81"/>
  <c r="E18" i="81"/>
  <c r="J18" i="81"/>
  <c r="C18" i="81"/>
  <c r="G18" i="81"/>
  <c r="D19" i="81"/>
  <c r="K22" i="81"/>
  <c r="E22" i="81"/>
  <c r="J22" i="81"/>
  <c r="C22" i="81"/>
  <c r="G22" i="81"/>
  <c r="D23" i="81"/>
  <c r="K26" i="81"/>
  <c r="E26" i="81"/>
  <c r="J26" i="81"/>
  <c r="C26" i="81"/>
  <c r="G26" i="81"/>
  <c r="D27" i="81"/>
  <c r="K30" i="81"/>
  <c r="E30" i="81"/>
  <c r="J30" i="81"/>
  <c r="C30" i="81"/>
  <c r="G30" i="81"/>
  <c r="D31" i="81"/>
  <c r="K34" i="81"/>
  <c r="E34" i="81"/>
  <c r="J34" i="81"/>
  <c r="C34" i="81"/>
  <c r="G34" i="81"/>
  <c r="J41" i="81"/>
  <c r="H44" i="81"/>
  <c r="P8" i="102"/>
  <c r="D10" i="102"/>
  <c r="H10" i="102"/>
  <c r="L10" i="102"/>
  <c r="P10" i="102"/>
  <c r="D11" i="102"/>
  <c r="H11" i="102"/>
  <c r="L11" i="102"/>
  <c r="P11" i="102"/>
  <c r="D12" i="102"/>
  <c r="H12" i="102"/>
  <c r="L12" i="102"/>
  <c r="P12" i="102"/>
  <c r="D13" i="102"/>
  <c r="H13" i="102"/>
  <c r="L13" i="102"/>
  <c r="P15" i="102"/>
  <c r="D17" i="102"/>
  <c r="H17" i="102"/>
  <c r="L17" i="102"/>
  <c r="P17" i="102"/>
  <c r="D18" i="102"/>
  <c r="H18" i="102"/>
  <c r="L18" i="102"/>
  <c r="P18" i="102"/>
  <c r="D19" i="102"/>
  <c r="H19" i="102"/>
  <c r="L19" i="102"/>
  <c r="P19" i="102"/>
  <c r="D20" i="102"/>
  <c r="H20" i="102"/>
  <c r="L20" i="102"/>
  <c r="P22" i="102"/>
  <c r="D24" i="102"/>
  <c r="H24" i="102"/>
  <c r="L24" i="102"/>
  <c r="P24" i="102"/>
  <c r="D25" i="102"/>
  <c r="H25" i="102"/>
  <c r="N25" i="102"/>
  <c r="C26" i="102"/>
  <c r="H26" i="102"/>
  <c r="N26" i="102"/>
  <c r="C27" i="102"/>
  <c r="H27" i="102"/>
  <c r="N27" i="102"/>
  <c r="Q34" i="102"/>
  <c r="M34" i="102"/>
  <c r="I34" i="102"/>
  <c r="E34" i="102"/>
  <c r="Q33" i="102"/>
  <c r="M33" i="102"/>
  <c r="I33" i="102"/>
  <c r="E33" i="102"/>
  <c r="Q32" i="102"/>
  <c r="M32" i="102"/>
  <c r="I32" i="102"/>
  <c r="E32" i="102"/>
  <c r="Q31" i="102"/>
  <c r="M31" i="102"/>
  <c r="I31" i="102"/>
  <c r="E31" i="102"/>
  <c r="C31" i="102"/>
  <c r="H31" i="102"/>
  <c r="N31" i="102"/>
  <c r="C32" i="102"/>
  <c r="H32" i="102"/>
  <c r="N32" i="102"/>
  <c r="C33" i="102"/>
  <c r="H33" i="102"/>
  <c r="N33" i="102"/>
  <c r="C34" i="102"/>
  <c r="H34" i="102"/>
  <c r="N34" i="102"/>
  <c r="Q41" i="102"/>
  <c r="M41" i="102"/>
  <c r="I41" i="102"/>
  <c r="E41" i="102"/>
  <c r="Q40" i="102"/>
  <c r="M40" i="102"/>
  <c r="I40" i="102"/>
  <c r="E40" i="102"/>
  <c r="Q39" i="102"/>
  <c r="M39" i="102"/>
  <c r="I39" i="102"/>
  <c r="E39" i="102"/>
  <c r="Q38" i="102"/>
  <c r="M38" i="102"/>
  <c r="I38" i="102"/>
  <c r="E38" i="102"/>
  <c r="C38" i="102"/>
  <c r="H38" i="102"/>
  <c r="N38" i="102"/>
  <c r="C39" i="102"/>
  <c r="H39" i="102"/>
  <c r="N39" i="102"/>
  <c r="C40" i="102"/>
  <c r="H40" i="102"/>
  <c r="N40" i="102"/>
  <c r="C41" i="102"/>
  <c r="H41" i="102"/>
  <c r="N41" i="102"/>
  <c r="Q48" i="102"/>
  <c r="M48" i="102"/>
  <c r="I48" i="102"/>
  <c r="E48" i="102"/>
  <c r="Q47" i="102"/>
  <c r="M47" i="102"/>
  <c r="I47" i="102"/>
  <c r="E47" i="102"/>
  <c r="Q46" i="102"/>
  <c r="M46" i="102"/>
  <c r="I46" i="102"/>
  <c r="E46" i="102"/>
  <c r="Q45" i="102"/>
  <c r="M45" i="102"/>
  <c r="I45" i="102"/>
  <c r="E45" i="102"/>
  <c r="C45" i="102"/>
  <c r="H45" i="102"/>
  <c r="N45" i="102"/>
  <c r="C46" i="102"/>
  <c r="H46" i="102"/>
  <c r="N46" i="102"/>
  <c r="C47" i="102"/>
  <c r="H47" i="102"/>
  <c r="N47" i="102"/>
  <c r="C48" i="102"/>
  <c r="H48" i="102"/>
  <c r="N48" i="102"/>
  <c r="Q55" i="102"/>
  <c r="M55" i="102"/>
  <c r="I55" i="102"/>
  <c r="E55" i="102"/>
  <c r="Q54" i="102"/>
  <c r="M54" i="102"/>
  <c r="I54" i="102"/>
  <c r="E54" i="102"/>
  <c r="Q53" i="102"/>
  <c r="M53" i="102"/>
  <c r="I53" i="102"/>
  <c r="E53" i="102"/>
  <c r="Q52" i="102"/>
  <c r="M52" i="102"/>
  <c r="I52" i="102"/>
  <c r="E52" i="102"/>
  <c r="C52" i="102"/>
  <c r="H52" i="102"/>
  <c r="N52" i="102"/>
  <c r="C53" i="102"/>
  <c r="H53" i="102"/>
  <c r="N53" i="102"/>
  <c r="C54" i="102"/>
  <c r="H54" i="102"/>
  <c r="N54" i="102"/>
  <c r="C55" i="102"/>
  <c r="H55" i="102"/>
  <c r="N55" i="102"/>
  <c r="Q62" i="102"/>
  <c r="M62" i="102"/>
  <c r="I62" i="102"/>
  <c r="E62" i="102"/>
  <c r="Q61" i="102"/>
  <c r="M61" i="102"/>
  <c r="I61" i="102"/>
  <c r="E61" i="102"/>
  <c r="Q60" i="102"/>
  <c r="M60" i="102"/>
  <c r="I60" i="102"/>
  <c r="E60" i="102"/>
  <c r="Q59" i="102"/>
  <c r="M59" i="102"/>
  <c r="N62" i="102"/>
  <c r="H62" i="102"/>
  <c r="C62" i="102"/>
  <c r="N61" i="102"/>
  <c r="H61" i="102"/>
  <c r="C61" i="102"/>
  <c r="N60" i="102"/>
  <c r="H60" i="102"/>
  <c r="C60" i="102"/>
  <c r="N59" i="102"/>
  <c r="I59" i="102"/>
  <c r="E59" i="102"/>
  <c r="C59" i="102"/>
  <c r="H59" i="102"/>
  <c r="O59" i="102"/>
  <c r="D60" i="102"/>
  <c r="K60" i="102"/>
  <c r="R60" i="102"/>
  <c r="G61" i="102"/>
  <c r="O61" i="102"/>
  <c r="D62" i="102"/>
  <c r="K62" i="102"/>
  <c r="R62" i="102"/>
  <c r="K9" i="81"/>
  <c r="E9" i="81"/>
  <c r="G9" i="81"/>
  <c r="J9" i="81"/>
  <c r="C9" i="81"/>
  <c r="D10" i="81"/>
  <c r="H11" i="81"/>
  <c r="K13" i="81"/>
  <c r="E13" i="81"/>
  <c r="G13" i="81"/>
  <c r="J13" i="81"/>
  <c r="C13" i="81"/>
  <c r="D14" i="81"/>
  <c r="H15" i="81"/>
  <c r="K17" i="81"/>
  <c r="E17" i="81"/>
  <c r="G17" i="81"/>
  <c r="J17" i="81"/>
  <c r="C17" i="81"/>
  <c r="D18" i="81"/>
  <c r="H19" i="81"/>
  <c r="K21" i="81"/>
  <c r="E21" i="81"/>
  <c r="G21" i="81"/>
  <c r="J21" i="81"/>
  <c r="C21" i="81"/>
  <c r="D22" i="81"/>
  <c r="H23" i="81"/>
  <c r="K25" i="81"/>
  <c r="E25" i="81"/>
  <c r="G25" i="81"/>
  <c r="J25" i="81"/>
  <c r="C25" i="81"/>
  <c r="D26" i="81"/>
  <c r="H27" i="81"/>
  <c r="K29" i="81"/>
  <c r="E29" i="81"/>
  <c r="G29" i="81"/>
  <c r="J29" i="81"/>
  <c r="C29" i="81"/>
  <c r="D30" i="81"/>
  <c r="H31" i="81"/>
  <c r="K33" i="81"/>
  <c r="E33" i="81"/>
  <c r="G33" i="81"/>
  <c r="J33" i="81"/>
  <c r="C33" i="81"/>
  <c r="D34" i="81"/>
  <c r="H39" i="81"/>
  <c r="J40" i="81"/>
  <c r="H43" i="81"/>
  <c r="J44" i="81"/>
  <c r="H47" i="81"/>
  <c r="K8" i="81"/>
  <c r="E8" i="81"/>
  <c r="J8" i="81"/>
  <c r="C8" i="81"/>
  <c r="G8" i="81"/>
  <c r="K12" i="81"/>
  <c r="E12" i="81"/>
  <c r="J12" i="81"/>
  <c r="C12" i="81"/>
  <c r="G12" i="81"/>
  <c r="K16" i="81"/>
  <c r="E16" i="81"/>
  <c r="J16" i="81"/>
  <c r="C16" i="81"/>
  <c r="G16" i="81"/>
  <c r="K20" i="81"/>
  <c r="E20" i="81"/>
  <c r="J20" i="81"/>
  <c r="C20" i="81"/>
  <c r="G20" i="81"/>
  <c r="K24" i="81"/>
  <c r="E24" i="81"/>
  <c r="J24" i="81"/>
  <c r="C24" i="81"/>
  <c r="G24" i="81"/>
  <c r="K28" i="81"/>
  <c r="E28" i="81"/>
  <c r="J28" i="81"/>
  <c r="C28" i="81"/>
  <c r="G28" i="81"/>
  <c r="K32" i="81"/>
  <c r="E32" i="81"/>
  <c r="J32" i="81"/>
  <c r="C32" i="81"/>
  <c r="G32" i="81"/>
  <c r="J43" i="81"/>
  <c r="G74" i="81"/>
  <c r="G75" i="81"/>
  <c r="C75" i="81"/>
  <c r="G82" i="81"/>
  <c r="G83" i="81"/>
  <c r="C83" i="81"/>
  <c r="G90" i="81"/>
  <c r="G91" i="81"/>
  <c r="C91" i="81"/>
  <c r="G98" i="81"/>
  <c r="G100" i="81"/>
  <c r="G102" i="81"/>
  <c r="G104" i="81"/>
  <c r="G106" i="81"/>
  <c r="G108" i="81"/>
  <c r="G110" i="81"/>
  <c r="G112" i="81"/>
  <c r="G114" i="81"/>
  <c r="G116" i="81"/>
  <c r="G118" i="81"/>
  <c r="G120" i="81"/>
  <c r="G122" i="81"/>
  <c r="G124" i="81"/>
  <c r="H124" i="81" s="1"/>
  <c r="F10" i="107"/>
  <c r="K10" i="107"/>
  <c r="P10" i="107"/>
  <c r="F11" i="107"/>
  <c r="K11" i="107"/>
  <c r="P11" i="107"/>
  <c r="F12" i="107"/>
  <c r="K12" i="107"/>
  <c r="P12" i="107"/>
  <c r="F13" i="107"/>
  <c r="K13" i="107"/>
  <c r="P13" i="107"/>
  <c r="F17" i="107"/>
  <c r="K17" i="107"/>
  <c r="P17" i="107"/>
  <c r="F18" i="107"/>
  <c r="K18" i="107"/>
  <c r="P18" i="107"/>
  <c r="F19" i="107"/>
  <c r="K19" i="107"/>
  <c r="P19" i="107"/>
  <c r="F20" i="107"/>
  <c r="K20" i="107"/>
  <c r="P20" i="107"/>
  <c r="F24" i="107"/>
  <c r="K24" i="107"/>
  <c r="P24" i="107"/>
  <c r="F25" i="107"/>
  <c r="K25" i="107"/>
  <c r="P25" i="107"/>
  <c r="F26" i="107"/>
  <c r="K26" i="107"/>
  <c r="P26" i="107"/>
  <c r="F27" i="107"/>
  <c r="K27" i="107"/>
  <c r="P27" i="107"/>
  <c r="F31" i="107"/>
  <c r="K31" i="107"/>
  <c r="P31" i="107"/>
  <c r="F32" i="107"/>
  <c r="K32" i="107"/>
  <c r="P32" i="107"/>
  <c r="F33" i="107"/>
  <c r="K33" i="107"/>
  <c r="P33" i="107"/>
  <c r="F34" i="107"/>
  <c r="K34" i="107"/>
  <c r="P34" i="107"/>
  <c r="F38" i="107"/>
  <c r="K38" i="107"/>
  <c r="P38" i="107"/>
  <c r="F39" i="107"/>
  <c r="K39" i="107"/>
  <c r="P39" i="107"/>
  <c r="F40" i="107"/>
  <c r="K40" i="107"/>
  <c r="P40" i="107"/>
  <c r="F41" i="107"/>
  <c r="K41" i="107"/>
  <c r="P41" i="107"/>
  <c r="F45" i="107"/>
  <c r="K45" i="107"/>
  <c r="P45" i="107"/>
  <c r="F46" i="107"/>
  <c r="K46" i="107"/>
  <c r="P46" i="107"/>
  <c r="F47" i="107"/>
  <c r="K47" i="107"/>
  <c r="P47" i="107"/>
  <c r="F48" i="107"/>
  <c r="K48" i="107"/>
  <c r="P48" i="107"/>
  <c r="F52" i="107"/>
  <c r="K52" i="107"/>
  <c r="P52" i="107"/>
  <c r="F53" i="107"/>
  <c r="K53" i="107"/>
  <c r="P53" i="107"/>
  <c r="F54" i="107"/>
  <c r="K54" i="107"/>
  <c r="P54" i="107"/>
  <c r="F55" i="107"/>
  <c r="K55" i="107"/>
  <c r="P55" i="107"/>
  <c r="F59" i="107"/>
  <c r="K59" i="107"/>
  <c r="P59" i="107"/>
  <c r="F60" i="107"/>
  <c r="K60" i="107"/>
  <c r="P60" i="107"/>
  <c r="F61" i="107"/>
  <c r="K61" i="107"/>
  <c r="P61" i="107"/>
  <c r="F62" i="107"/>
  <c r="K62" i="107"/>
  <c r="P62" i="107"/>
  <c r="F66" i="107"/>
  <c r="K66" i="107"/>
  <c r="P66" i="107"/>
  <c r="F67" i="107"/>
  <c r="K67" i="107"/>
  <c r="P67" i="107"/>
  <c r="F68" i="107"/>
  <c r="K68" i="107"/>
  <c r="P68" i="107"/>
  <c r="F69" i="107"/>
  <c r="K69" i="107"/>
  <c r="P69" i="107"/>
  <c r="F73" i="107"/>
  <c r="K73" i="107"/>
  <c r="P73" i="107"/>
  <c r="F74" i="107"/>
  <c r="K74" i="107"/>
  <c r="P74" i="107"/>
  <c r="F75" i="107"/>
  <c r="K75" i="107"/>
  <c r="P75" i="107"/>
  <c r="F76" i="107"/>
  <c r="K76" i="107"/>
  <c r="P76" i="107"/>
  <c r="F80" i="107"/>
  <c r="K80" i="107"/>
  <c r="P80" i="107"/>
  <c r="E81" i="107"/>
  <c r="M81" i="107"/>
  <c r="I82" i="107"/>
  <c r="P82" i="107"/>
  <c r="E83" i="107"/>
  <c r="M83" i="107"/>
  <c r="J49" i="81"/>
  <c r="J53" i="81"/>
  <c r="J57" i="81"/>
  <c r="E68" i="81"/>
  <c r="K69" i="81"/>
  <c r="F70" i="81"/>
  <c r="G72" i="81"/>
  <c r="H72" i="81" s="1"/>
  <c r="G73" i="81"/>
  <c r="H73" i="81" s="1"/>
  <c r="C73" i="81"/>
  <c r="C74" i="81"/>
  <c r="D75" i="81"/>
  <c r="I75" i="81"/>
  <c r="E76" i="81"/>
  <c r="K77" i="81"/>
  <c r="F78" i="81"/>
  <c r="G80" i="81"/>
  <c r="H80" i="81" s="1"/>
  <c r="G81" i="81"/>
  <c r="H81" i="81" s="1"/>
  <c r="C81" i="81"/>
  <c r="E81" i="81" s="1"/>
  <c r="C82" i="81"/>
  <c r="D83" i="81"/>
  <c r="I83" i="81"/>
  <c r="K85" i="81"/>
  <c r="F86" i="81"/>
  <c r="G88" i="81"/>
  <c r="H88" i="81" s="1"/>
  <c r="G89" i="81"/>
  <c r="H89" i="81" s="1"/>
  <c r="C89" i="81"/>
  <c r="E89" i="81" s="1"/>
  <c r="C90" i="81"/>
  <c r="D91" i="81"/>
  <c r="I91" i="81"/>
  <c r="F94" i="81"/>
  <c r="F97" i="81"/>
  <c r="C98" i="81"/>
  <c r="C100" i="81"/>
  <c r="C102" i="81"/>
  <c r="C104" i="81"/>
  <c r="C106" i="81"/>
  <c r="C108" i="81"/>
  <c r="C110" i="81"/>
  <c r="C112" i="81"/>
  <c r="C114" i="81"/>
  <c r="C116" i="81"/>
  <c r="C118" i="81"/>
  <c r="C120" i="81"/>
  <c r="C122" i="81"/>
  <c r="C124" i="81"/>
  <c r="F124" i="81" s="1"/>
  <c r="G10" i="107"/>
  <c r="L10" i="107"/>
  <c r="R10" i="107"/>
  <c r="G11" i="107"/>
  <c r="L11" i="107"/>
  <c r="R11" i="107"/>
  <c r="G12" i="107"/>
  <c r="L12" i="107"/>
  <c r="R12" i="107"/>
  <c r="G13" i="107"/>
  <c r="L13" i="107"/>
  <c r="G17" i="107"/>
  <c r="L17" i="107"/>
  <c r="R17" i="107"/>
  <c r="G18" i="107"/>
  <c r="L18" i="107"/>
  <c r="R18" i="107"/>
  <c r="G19" i="107"/>
  <c r="L19" i="107"/>
  <c r="R19" i="107"/>
  <c r="G20" i="107"/>
  <c r="L20" i="107"/>
  <c r="G24" i="107"/>
  <c r="L24" i="107"/>
  <c r="R24" i="107"/>
  <c r="G25" i="107"/>
  <c r="L25" i="107"/>
  <c r="R25" i="107"/>
  <c r="G26" i="107"/>
  <c r="L26" i="107"/>
  <c r="R26" i="107"/>
  <c r="G27" i="107"/>
  <c r="L27" i="107"/>
  <c r="G31" i="107"/>
  <c r="L31" i="107"/>
  <c r="R31" i="107"/>
  <c r="G32" i="107"/>
  <c r="L32" i="107"/>
  <c r="R32" i="107"/>
  <c r="G33" i="107"/>
  <c r="L33" i="107"/>
  <c r="R33" i="107"/>
  <c r="G34" i="107"/>
  <c r="L34" i="107"/>
  <c r="G38" i="107"/>
  <c r="L38" i="107"/>
  <c r="R38" i="107"/>
  <c r="G39" i="107"/>
  <c r="L39" i="107"/>
  <c r="R39" i="107"/>
  <c r="G40" i="107"/>
  <c r="L40" i="107"/>
  <c r="R40" i="107"/>
  <c r="G41" i="107"/>
  <c r="L41" i="107"/>
  <c r="G45" i="107"/>
  <c r="L45" i="107"/>
  <c r="R45" i="107"/>
  <c r="G46" i="107"/>
  <c r="L46" i="107"/>
  <c r="R46" i="107"/>
  <c r="G47" i="107"/>
  <c r="L47" i="107"/>
  <c r="R47" i="107"/>
  <c r="G48" i="107"/>
  <c r="L48" i="107"/>
  <c r="G52" i="107"/>
  <c r="L52" i="107"/>
  <c r="R52" i="107"/>
  <c r="G53" i="107"/>
  <c r="L53" i="107"/>
  <c r="R53" i="107"/>
  <c r="G54" i="107"/>
  <c r="L54" i="107"/>
  <c r="R54" i="107"/>
  <c r="G55" i="107"/>
  <c r="L55" i="107"/>
  <c r="G59" i="107"/>
  <c r="L59" i="107"/>
  <c r="R59" i="107"/>
  <c r="G60" i="107"/>
  <c r="L60" i="107"/>
  <c r="R60" i="107"/>
  <c r="G61" i="107"/>
  <c r="L61" i="107"/>
  <c r="R61" i="107"/>
  <c r="G62" i="107"/>
  <c r="L62" i="107"/>
  <c r="G66" i="107"/>
  <c r="L66" i="107"/>
  <c r="R66" i="107"/>
  <c r="G67" i="107"/>
  <c r="L67" i="107"/>
  <c r="R67" i="107"/>
  <c r="G68" i="107"/>
  <c r="L68" i="107"/>
  <c r="R68" i="107"/>
  <c r="G69" i="107"/>
  <c r="L69" i="107"/>
  <c r="G73" i="107"/>
  <c r="L73" i="107"/>
  <c r="R73" i="107"/>
  <c r="G74" i="107"/>
  <c r="L74" i="107"/>
  <c r="R74" i="107"/>
  <c r="G75" i="107"/>
  <c r="L75" i="107"/>
  <c r="R75" i="107"/>
  <c r="G76" i="107"/>
  <c r="L76" i="107"/>
  <c r="G80" i="107"/>
  <c r="L80" i="107"/>
  <c r="R80" i="107"/>
  <c r="H81" i="107"/>
  <c r="N81" i="107"/>
  <c r="D82" i="107"/>
  <c r="J82" i="107"/>
  <c r="R82" i="107"/>
  <c r="H83" i="107"/>
  <c r="W31" i="102"/>
  <c r="AA31" i="102"/>
  <c r="AE31" i="102"/>
  <c r="AI31" i="102"/>
  <c r="W32" i="102"/>
  <c r="AA32" i="102"/>
  <c r="AE32" i="102"/>
  <c r="AI32" i="102"/>
  <c r="W33" i="102"/>
  <c r="AA33" i="102"/>
  <c r="AE33" i="102"/>
  <c r="AI33" i="102"/>
  <c r="W34" i="102"/>
  <c r="AA34" i="102"/>
  <c r="AE34" i="102"/>
  <c r="W38" i="102"/>
  <c r="AA38" i="102"/>
  <c r="AE38" i="102"/>
  <c r="AI38" i="102"/>
  <c r="W39" i="102"/>
  <c r="AA39" i="102"/>
  <c r="AE39" i="102"/>
  <c r="AI39" i="102"/>
  <c r="W40" i="102"/>
  <c r="AA40" i="102"/>
  <c r="AE40" i="102"/>
  <c r="AI40" i="102"/>
  <c r="W41" i="102"/>
  <c r="AA41" i="102"/>
  <c r="AE41" i="102"/>
  <c r="W45" i="102"/>
  <c r="AA45" i="102"/>
  <c r="AE45" i="102"/>
  <c r="AI45" i="102"/>
  <c r="W46" i="102"/>
  <c r="AA46" i="102"/>
  <c r="AE46" i="102"/>
  <c r="AI46" i="102"/>
  <c r="W47" i="102"/>
  <c r="AA47" i="102"/>
  <c r="AE47" i="102"/>
  <c r="AI47" i="102"/>
  <c r="W48" i="102"/>
  <c r="AA48" i="102"/>
  <c r="AE48" i="102"/>
  <c r="W52" i="102"/>
  <c r="AA52" i="102"/>
  <c r="AE52" i="102"/>
  <c r="AI52" i="102"/>
  <c r="W53" i="102"/>
  <c r="AA53" i="102"/>
  <c r="AE53" i="102"/>
  <c r="AI53" i="102"/>
  <c r="W54" i="102"/>
  <c r="AA54" i="102"/>
  <c r="AE54" i="102"/>
  <c r="AI54" i="102"/>
  <c r="W55" i="102"/>
  <c r="AA55" i="102"/>
  <c r="AE55" i="102"/>
  <c r="AI62" i="102"/>
  <c r="AE62" i="102"/>
  <c r="AA62" i="102"/>
  <c r="W62" i="102"/>
  <c r="AI61" i="102"/>
  <c r="AE61" i="102"/>
  <c r="AA61" i="102"/>
  <c r="W61" i="102"/>
  <c r="AI60" i="102"/>
  <c r="AE60" i="102"/>
  <c r="AA60" i="102"/>
  <c r="W60" i="102"/>
  <c r="AI59" i="102"/>
  <c r="AE59" i="102"/>
  <c r="AA59" i="102"/>
  <c r="W59" i="102"/>
  <c r="U59" i="102"/>
  <c r="Z59" i="102"/>
  <c r="AF59" i="102"/>
  <c r="U60" i="102"/>
  <c r="Z60" i="102"/>
  <c r="AF60" i="102"/>
  <c r="U61" i="102"/>
  <c r="Z61" i="102"/>
  <c r="AF61" i="102"/>
  <c r="U62" i="102"/>
  <c r="Z62" i="102"/>
  <c r="AF62" i="102"/>
  <c r="Q69" i="102"/>
  <c r="M69" i="102"/>
  <c r="I69" i="102"/>
  <c r="E69" i="102"/>
  <c r="Q68" i="102"/>
  <c r="M68" i="102"/>
  <c r="I68" i="102"/>
  <c r="E68" i="102"/>
  <c r="Q67" i="102"/>
  <c r="M67" i="102"/>
  <c r="I67" i="102"/>
  <c r="E67" i="102"/>
  <c r="Q66" i="102"/>
  <c r="M66" i="102"/>
  <c r="I66" i="102"/>
  <c r="E66" i="102"/>
  <c r="C66" i="102"/>
  <c r="H66" i="102"/>
  <c r="N66" i="102"/>
  <c r="C67" i="102"/>
  <c r="H67" i="102"/>
  <c r="N67" i="102"/>
  <c r="C68" i="102"/>
  <c r="H68" i="102"/>
  <c r="N68" i="102"/>
  <c r="C69" i="102"/>
  <c r="H69" i="102"/>
  <c r="N69" i="102"/>
  <c r="Q104" i="102"/>
  <c r="M104" i="102"/>
  <c r="I104" i="102"/>
  <c r="E104" i="102"/>
  <c r="Q103" i="102"/>
  <c r="M103" i="102"/>
  <c r="I103" i="102"/>
  <c r="E103" i="102"/>
  <c r="Q102" i="102"/>
  <c r="M102" i="102"/>
  <c r="I102" i="102"/>
  <c r="E102" i="102"/>
  <c r="Q101" i="102"/>
  <c r="M101" i="102"/>
  <c r="I101" i="102"/>
  <c r="E101" i="102"/>
  <c r="Q76" i="102"/>
  <c r="M76" i="102"/>
  <c r="I76" i="102"/>
  <c r="E76" i="102"/>
  <c r="Q75" i="102"/>
  <c r="M75" i="102"/>
  <c r="I75" i="102"/>
  <c r="E75" i="102"/>
  <c r="Q74" i="102"/>
  <c r="M74" i="102"/>
  <c r="I74" i="102"/>
  <c r="E74" i="102"/>
  <c r="Q73" i="102"/>
  <c r="M73" i="102"/>
  <c r="I73" i="102"/>
  <c r="E73" i="102"/>
  <c r="C73" i="102"/>
  <c r="H73" i="102"/>
  <c r="N73" i="102"/>
  <c r="C74" i="102"/>
  <c r="H74" i="102"/>
  <c r="N74" i="102"/>
  <c r="C75" i="102"/>
  <c r="H75" i="102"/>
  <c r="N75" i="102"/>
  <c r="C76" i="102"/>
  <c r="H76" i="102"/>
  <c r="N76" i="102"/>
  <c r="Q83" i="102"/>
  <c r="M83" i="102"/>
  <c r="I83" i="102"/>
  <c r="E83" i="102"/>
  <c r="Q82" i="102"/>
  <c r="M82" i="102"/>
  <c r="I82" i="102"/>
  <c r="E82" i="102"/>
  <c r="Q81" i="102"/>
  <c r="M81" i="102"/>
  <c r="I81" i="102"/>
  <c r="E81" i="102"/>
  <c r="Q80" i="102"/>
  <c r="M80" i="102"/>
  <c r="I80" i="102"/>
  <c r="E80" i="102"/>
  <c r="C80" i="102"/>
  <c r="H80" i="102"/>
  <c r="N80" i="102"/>
  <c r="C81" i="102"/>
  <c r="H81" i="102"/>
  <c r="N81" i="102"/>
  <c r="C82" i="102"/>
  <c r="H82" i="102"/>
  <c r="N82" i="102"/>
  <c r="C83" i="102"/>
  <c r="H83" i="102"/>
  <c r="N83" i="102"/>
  <c r="Q90" i="102"/>
  <c r="M90" i="102"/>
  <c r="I90" i="102"/>
  <c r="E90" i="102"/>
  <c r="Q89" i="102"/>
  <c r="M89" i="102"/>
  <c r="I89" i="102"/>
  <c r="E89" i="102"/>
  <c r="Q88" i="102"/>
  <c r="M88" i="102"/>
  <c r="I88" i="102"/>
  <c r="E88" i="102"/>
  <c r="Q87" i="102"/>
  <c r="M87" i="102"/>
  <c r="I87" i="102"/>
  <c r="E87" i="102"/>
  <c r="C87" i="102"/>
  <c r="H87" i="102"/>
  <c r="N87" i="102"/>
  <c r="C88" i="102"/>
  <c r="H88" i="102"/>
  <c r="N88" i="102"/>
  <c r="C89" i="102"/>
  <c r="H89" i="102"/>
  <c r="N89" i="102"/>
  <c r="C90" i="102"/>
  <c r="H90" i="102"/>
  <c r="N90" i="102"/>
  <c r="Q97" i="102"/>
  <c r="M97" i="102"/>
  <c r="I97" i="102"/>
  <c r="E97" i="102"/>
  <c r="Q96" i="102"/>
  <c r="M96" i="102"/>
  <c r="I96" i="102"/>
  <c r="E96" i="102"/>
  <c r="Q95" i="102"/>
  <c r="M95" i="102"/>
  <c r="I95" i="102"/>
  <c r="E95" i="102"/>
  <c r="Q94" i="102"/>
  <c r="M94" i="102"/>
  <c r="I94" i="102"/>
  <c r="E94" i="102"/>
  <c r="C94" i="102"/>
  <c r="H94" i="102"/>
  <c r="N94" i="102"/>
  <c r="C95" i="102"/>
  <c r="H95" i="102"/>
  <c r="N95" i="102"/>
  <c r="C96" i="102"/>
  <c r="H96" i="102"/>
  <c r="N96" i="102"/>
  <c r="C97" i="102"/>
  <c r="H97" i="102"/>
  <c r="N97" i="102"/>
  <c r="C101" i="102"/>
  <c r="H101" i="102"/>
  <c r="N101" i="102"/>
  <c r="C102" i="102"/>
  <c r="H102" i="102"/>
  <c r="N102" i="102"/>
  <c r="C103" i="102"/>
  <c r="H103" i="102"/>
  <c r="N103" i="102"/>
  <c r="C104" i="102"/>
  <c r="H104" i="102"/>
  <c r="N104" i="102"/>
  <c r="Q13" i="105"/>
  <c r="M13" i="105"/>
  <c r="I13" i="105"/>
  <c r="E13" i="105"/>
  <c r="Q12" i="105"/>
  <c r="M12" i="105"/>
  <c r="I12" i="105"/>
  <c r="E12" i="105"/>
  <c r="Q11" i="105"/>
  <c r="M11" i="105"/>
  <c r="I11" i="105"/>
  <c r="E11" i="105"/>
  <c r="Q10" i="105"/>
  <c r="M10" i="105"/>
  <c r="I10" i="105"/>
  <c r="E10" i="105"/>
  <c r="C10" i="105"/>
  <c r="H10" i="105"/>
  <c r="N10" i="105"/>
  <c r="C11" i="105"/>
  <c r="H11" i="105"/>
  <c r="N11" i="105"/>
  <c r="C12" i="105"/>
  <c r="H12" i="105"/>
  <c r="N12" i="105"/>
  <c r="C13" i="105"/>
  <c r="H13" i="105"/>
  <c r="N13" i="105"/>
  <c r="Q20" i="105"/>
  <c r="M20" i="105"/>
  <c r="I20" i="105"/>
  <c r="E20" i="105"/>
  <c r="Q19" i="105"/>
  <c r="M19" i="105"/>
  <c r="I19" i="105"/>
  <c r="E19" i="105"/>
  <c r="Q18" i="105"/>
  <c r="M18" i="105"/>
  <c r="I18" i="105"/>
  <c r="E18" i="105"/>
  <c r="Q17" i="105"/>
  <c r="M17" i="105"/>
  <c r="I17" i="105"/>
  <c r="E17" i="105"/>
  <c r="C17" i="105"/>
  <c r="H17" i="105"/>
  <c r="N17" i="105"/>
  <c r="C18" i="105"/>
  <c r="H18" i="105"/>
  <c r="N18" i="105"/>
  <c r="C19" i="105"/>
  <c r="H19" i="105"/>
  <c r="N19" i="105"/>
  <c r="C20" i="105"/>
  <c r="H20" i="105"/>
  <c r="N20" i="105"/>
  <c r="Q27" i="105"/>
  <c r="M27" i="105"/>
  <c r="I27" i="105"/>
  <c r="E27" i="105"/>
  <c r="Q26" i="105"/>
  <c r="M26" i="105"/>
  <c r="I26" i="105"/>
  <c r="E26" i="105"/>
  <c r="Q25" i="105"/>
  <c r="M25" i="105"/>
  <c r="I25" i="105"/>
  <c r="E25" i="105"/>
  <c r="Q24" i="105"/>
  <c r="M24" i="105"/>
  <c r="I24" i="105"/>
  <c r="E24" i="105"/>
  <c r="C24" i="105"/>
  <c r="H24" i="105"/>
  <c r="N24" i="105"/>
  <c r="C25" i="105"/>
  <c r="H25" i="105"/>
  <c r="N25" i="105"/>
  <c r="C26" i="105"/>
  <c r="H26" i="105"/>
  <c r="N26" i="105"/>
  <c r="C27" i="105"/>
  <c r="H27" i="105"/>
  <c r="N27" i="105"/>
  <c r="Q34" i="105"/>
  <c r="M34" i="105"/>
  <c r="I34" i="105"/>
  <c r="E34" i="105"/>
  <c r="Q33" i="105"/>
  <c r="M33" i="105"/>
  <c r="I33" i="105"/>
  <c r="E33" i="105"/>
  <c r="Q32" i="105"/>
  <c r="M32" i="105"/>
  <c r="I32" i="105"/>
  <c r="E32" i="105"/>
  <c r="Q31" i="105"/>
  <c r="M31" i="105"/>
  <c r="I31" i="105"/>
  <c r="E31" i="105"/>
  <c r="C31" i="105"/>
  <c r="H31" i="105"/>
  <c r="N31" i="105"/>
  <c r="C32" i="105"/>
  <c r="H32" i="105"/>
  <c r="N32" i="105"/>
  <c r="C33" i="105"/>
  <c r="H33" i="105"/>
  <c r="N33" i="105"/>
  <c r="C34" i="105"/>
  <c r="H34" i="105"/>
  <c r="N34" i="105"/>
  <c r="Q41" i="105"/>
  <c r="M41" i="105"/>
  <c r="I41" i="105"/>
  <c r="E41" i="105"/>
  <c r="Q40" i="105"/>
  <c r="M40" i="105"/>
  <c r="I40" i="105"/>
  <c r="E40" i="105"/>
  <c r="Q39" i="105"/>
  <c r="M39" i="105"/>
  <c r="I39" i="105"/>
  <c r="E39" i="105"/>
  <c r="Q38" i="105"/>
  <c r="M38" i="105"/>
  <c r="I38" i="105"/>
  <c r="E38" i="105"/>
  <c r="C38" i="105"/>
  <c r="H38" i="105"/>
  <c r="N38" i="105"/>
  <c r="C39" i="105"/>
  <c r="H39" i="105"/>
  <c r="N39" i="105"/>
  <c r="C40" i="105"/>
  <c r="H40" i="105"/>
  <c r="N40" i="105"/>
  <c r="C41" i="105"/>
  <c r="H41" i="105"/>
  <c r="N41" i="105"/>
  <c r="Q48" i="105"/>
  <c r="M48" i="105"/>
  <c r="I48" i="105"/>
  <c r="E48" i="105"/>
  <c r="Q47" i="105"/>
  <c r="M47" i="105"/>
  <c r="I47" i="105"/>
  <c r="E47" i="105"/>
  <c r="Q46" i="105"/>
  <c r="M46" i="105"/>
  <c r="I46" i="105"/>
  <c r="E46" i="105"/>
  <c r="Q45" i="105"/>
  <c r="M45" i="105"/>
  <c r="I45" i="105"/>
  <c r="E45" i="105"/>
  <c r="C45" i="105"/>
  <c r="H45" i="105"/>
  <c r="N45" i="105"/>
  <c r="C46" i="105"/>
  <c r="H46" i="105"/>
  <c r="N46" i="105"/>
  <c r="C47" i="105"/>
  <c r="H47" i="105"/>
  <c r="N47" i="105"/>
  <c r="C48" i="105"/>
  <c r="H48" i="105"/>
  <c r="N48" i="105"/>
  <c r="Q55" i="105"/>
  <c r="M55" i="105"/>
  <c r="I55" i="105"/>
  <c r="E55" i="105"/>
  <c r="Q54" i="105"/>
  <c r="M54" i="105"/>
  <c r="I54" i="105"/>
  <c r="E54" i="105"/>
  <c r="Q53" i="105"/>
  <c r="M53" i="105"/>
  <c r="I53" i="105"/>
  <c r="E53" i="105"/>
  <c r="Q52" i="105"/>
  <c r="M52" i="105"/>
  <c r="I52" i="105"/>
  <c r="E52" i="105"/>
  <c r="C52" i="105"/>
  <c r="H52" i="105"/>
  <c r="N52" i="105"/>
  <c r="C53" i="105"/>
  <c r="H53" i="105"/>
  <c r="N53" i="105"/>
  <c r="C54" i="105"/>
  <c r="H54" i="105"/>
  <c r="N54" i="105"/>
  <c r="C55" i="105"/>
  <c r="H55" i="105"/>
  <c r="N55" i="105"/>
  <c r="Q62" i="105"/>
  <c r="M62" i="105"/>
  <c r="I62" i="105"/>
  <c r="E62" i="105"/>
  <c r="Q61" i="105"/>
  <c r="M61" i="105"/>
  <c r="I61" i="105"/>
  <c r="E61" i="105"/>
  <c r="Q60" i="105"/>
  <c r="M60" i="105"/>
  <c r="I60" i="105"/>
  <c r="E60" i="105"/>
  <c r="Q59" i="105"/>
  <c r="M59" i="105"/>
  <c r="I59" i="105"/>
  <c r="E59" i="105"/>
  <c r="C59" i="105"/>
  <c r="H59" i="105"/>
  <c r="N59" i="105"/>
  <c r="C60" i="105"/>
  <c r="H60" i="105"/>
  <c r="N60" i="105"/>
  <c r="C61" i="105"/>
  <c r="H61" i="105"/>
  <c r="N61" i="105"/>
  <c r="C62" i="105"/>
  <c r="H62" i="105"/>
  <c r="N62" i="105"/>
  <c r="Q69" i="105"/>
  <c r="M69" i="105"/>
  <c r="I69" i="105"/>
  <c r="E69" i="105"/>
  <c r="Q68" i="105"/>
  <c r="M68" i="105"/>
  <c r="I68" i="105"/>
  <c r="E68" i="105"/>
  <c r="Q67" i="105"/>
  <c r="M67" i="105"/>
  <c r="I67" i="105"/>
  <c r="E67" i="105"/>
  <c r="Q66" i="105"/>
  <c r="M66" i="105"/>
  <c r="I66" i="105"/>
  <c r="E66" i="105"/>
  <c r="C66" i="105"/>
  <c r="H66" i="105"/>
  <c r="N66" i="105"/>
  <c r="C67" i="105"/>
  <c r="H67" i="105"/>
  <c r="N67" i="105"/>
  <c r="C68" i="105"/>
  <c r="H68" i="105"/>
  <c r="N68" i="105"/>
  <c r="C69" i="105"/>
  <c r="H69" i="105"/>
  <c r="N69" i="105"/>
  <c r="Q76" i="105"/>
  <c r="M76" i="105"/>
  <c r="I76" i="105"/>
  <c r="E76" i="105"/>
  <c r="Q75" i="105"/>
  <c r="M75" i="105"/>
  <c r="I75" i="105"/>
  <c r="E75" i="105"/>
  <c r="Q74" i="105"/>
  <c r="M74" i="105"/>
  <c r="I74" i="105"/>
  <c r="E74" i="105"/>
  <c r="Q73" i="105"/>
  <c r="M73" i="105"/>
  <c r="I73" i="105"/>
  <c r="E73" i="105"/>
  <c r="C73" i="105"/>
  <c r="H73" i="105"/>
  <c r="N73" i="105"/>
  <c r="C74" i="105"/>
  <c r="H74" i="105"/>
  <c r="N74" i="105"/>
  <c r="C75" i="105"/>
  <c r="H75" i="105"/>
  <c r="N75" i="105"/>
  <c r="C76" i="105"/>
  <c r="H76" i="105"/>
  <c r="N76" i="105"/>
  <c r="Q83" i="105"/>
  <c r="M83" i="105"/>
  <c r="I83" i="105"/>
  <c r="E83" i="105"/>
  <c r="Q82" i="105"/>
  <c r="M82" i="105"/>
  <c r="I82" i="105"/>
  <c r="E82" i="105"/>
  <c r="Q81" i="105"/>
  <c r="M81" i="105"/>
  <c r="I81" i="105"/>
  <c r="E81" i="105"/>
  <c r="Q80" i="105"/>
  <c r="M80" i="105"/>
  <c r="I80" i="105"/>
  <c r="E80" i="105"/>
  <c r="C80" i="105"/>
  <c r="H80" i="105"/>
  <c r="N80" i="105"/>
  <c r="C81" i="105"/>
  <c r="H81" i="105"/>
  <c r="N81" i="105"/>
  <c r="C82" i="105"/>
  <c r="H82" i="105"/>
  <c r="N82" i="105"/>
  <c r="C83" i="105"/>
  <c r="H83" i="105"/>
  <c r="N83" i="105"/>
  <c r="Q90" i="105"/>
  <c r="M90" i="105"/>
  <c r="I90" i="105"/>
  <c r="E90" i="105"/>
  <c r="Q89" i="105"/>
  <c r="M89" i="105"/>
  <c r="I89" i="105"/>
  <c r="E89" i="105"/>
  <c r="Q88" i="105"/>
  <c r="M88" i="105"/>
  <c r="I88" i="105"/>
  <c r="E88" i="105"/>
  <c r="Q87" i="105"/>
  <c r="M87" i="105"/>
  <c r="I87" i="105"/>
  <c r="E87" i="105"/>
  <c r="C87" i="105"/>
  <c r="H87" i="105"/>
  <c r="N87" i="105"/>
  <c r="C88" i="105"/>
  <c r="H88" i="105"/>
  <c r="N88" i="105"/>
  <c r="C89" i="105"/>
  <c r="H89" i="105"/>
  <c r="N89" i="105"/>
  <c r="C90" i="105"/>
  <c r="H90" i="105"/>
  <c r="N90" i="105"/>
  <c r="Q97" i="105"/>
  <c r="M97" i="105"/>
  <c r="I97" i="105"/>
  <c r="E97" i="105"/>
  <c r="Q96" i="105"/>
  <c r="M96" i="105"/>
  <c r="I96" i="105"/>
  <c r="E96" i="105"/>
  <c r="Q95" i="105"/>
  <c r="M95" i="105"/>
  <c r="I95" i="105"/>
  <c r="E95" i="105"/>
  <c r="Q94" i="105"/>
  <c r="M94" i="105"/>
  <c r="I94" i="105"/>
  <c r="E94" i="105"/>
  <c r="C94" i="105"/>
  <c r="H94" i="105"/>
  <c r="N94" i="105"/>
  <c r="C95" i="105"/>
  <c r="H95" i="105"/>
  <c r="N95" i="105"/>
  <c r="C96" i="105"/>
  <c r="H96" i="105"/>
  <c r="N96" i="105"/>
  <c r="C97" i="105"/>
  <c r="H97" i="105"/>
  <c r="N97" i="105"/>
  <c r="Q104" i="105"/>
  <c r="M104" i="105"/>
  <c r="I104" i="105"/>
  <c r="E104" i="105"/>
  <c r="Q103" i="105"/>
  <c r="M103" i="105"/>
  <c r="I103" i="105"/>
  <c r="E103" i="105"/>
  <c r="Q102" i="105"/>
  <c r="M102" i="105"/>
  <c r="I102" i="105"/>
  <c r="E102" i="105"/>
  <c r="Q101" i="105"/>
  <c r="M101" i="105"/>
  <c r="I101" i="105"/>
  <c r="E101" i="105"/>
  <c r="C101" i="105"/>
  <c r="H101" i="105"/>
  <c r="N101" i="105"/>
  <c r="C102" i="105"/>
  <c r="H102" i="105"/>
  <c r="N102" i="105"/>
  <c r="C103" i="105"/>
  <c r="H103" i="105"/>
  <c r="N103" i="105"/>
  <c r="C104" i="105"/>
  <c r="H104" i="105"/>
  <c r="N104" i="105"/>
  <c r="G70" i="81"/>
  <c r="G71" i="81"/>
  <c r="H71" i="81" s="1"/>
  <c r="C71" i="81"/>
  <c r="D74" i="81"/>
  <c r="J74" i="81"/>
  <c r="K74" i="81" s="1"/>
  <c r="J75" i="81"/>
  <c r="G78" i="81"/>
  <c r="G79" i="81"/>
  <c r="H79" i="81" s="1"/>
  <c r="C79" i="81"/>
  <c r="D82" i="81"/>
  <c r="J82" i="81"/>
  <c r="K82" i="81" s="1"/>
  <c r="J83" i="81"/>
  <c r="G86" i="81"/>
  <c r="G87" i="81"/>
  <c r="H87" i="81" s="1"/>
  <c r="C87" i="81"/>
  <c r="D90" i="81"/>
  <c r="J90" i="81"/>
  <c r="K90" i="81" s="1"/>
  <c r="J91" i="81"/>
  <c r="G94" i="81"/>
  <c r="E98" i="81"/>
  <c r="G99" i="81"/>
  <c r="H99" i="81" s="1"/>
  <c r="E100" i="81"/>
  <c r="G101" i="81"/>
  <c r="H101" i="81" s="1"/>
  <c r="E102" i="81"/>
  <c r="G103" i="81"/>
  <c r="H103" i="81" s="1"/>
  <c r="E104" i="81"/>
  <c r="G105" i="81"/>
  <c r="H105" i="81" s="1"/>
  <c r="E106" i="81"/>
  <c r="G107" i="81"/>
  <c r="H107" i="81" s="1"/>
  <c r="E108" i="81"/>
  <c r="G109" i="81"/>
  <c r="H109" i="81" s="1"/>
  <c r="E110" i="81"/>
  <c r="G111" i="81"/>
  <c r="H111" i="81" s="1"/>
  <c r="E112" i="81"/>
  <c r="G113" i="81"/>
  <c r="E114" i="81"/>
  <c r="G115" i="81"/>
  <c r="H115" i="81" s="1"/>
  <c r="E116" i="81"/>
  <c r="G117" i="81"/>
  <c r="E118" i="81"/>
  <c r="G119" i="81"/>
  <c r="H119" i="81" s="1"/>
  <c r="E120" i="81"/>
  <c r="G121" i="81"/>
  <c r="E122" i="81"/>
  <c r="G123" i="81"/>
  <c r="H123" i="81" s="1"/>
  <c r="Q13" i="107"/>
  <c r="M13" i="107"/>
  <c r="I13" i="107"/>
  <c r="E13" i="107"/>
  <c r="Q12" i="107"/>
  <c r="M12" i="107"/>
  <c r="I12" i="107"/>
  <c r="E12" i="107"/>
  <c r="Q11" i="107"/>
  <c r="M11" i="107"/>
  <c r="I11" i="107"/>
  <c r="E11" i="107"/>
  <c r="Q10" i="107"/>
  <c r="M10" i="107"/>
  <c r="I10" i="107"/>
  <c r="E10" i="107"/>
  <c r="C10" i="107"/>
  <c r="H10" i="107"/>
  <c r="N10" i="107"/>
  <c r="C11" i="107"/>
  <c r="H11" i="107"/>
  <c r="N11" i="107"/>
  <c r="C12" i="107"/>
  <c r="H12" i="107"/>
  <c r="N12" i="107"/>
  <c r="C13" i="107"/>
  <c r="H13" i="107"/>
  <c r="N13" i="107"/>
  <c r="Q20" i="107"/>
  <c r="M20" i="107"/>
  <c r="I20" i="107"/>
  <c r="E20" i="107"/>
  <c r="Q19" i="107"/>
  <c r="M19" i="107"/>
  <c r="I19" i="107"/>
  <c r="E19" i="107"/>
  <c r="Q18" i="107"/>
  <c r="M18" i="107"/>
  <c r="I18" i="107"/>
  <c r="E18" i="107"/>
  <c r="Q17" i="107"/>
  <c r="M17" i="107"/>
  <c r="I17" i="107"/>
  <c r="E17" i="107"/>
  <c r="C17" i="107"/>
  <c r="H17" i="107"/>
  <c r="N17" i="107"/>
  <c r="C18" i="107"/>
  <c r="H18" i="107"/>
  <c r="N18" i="107"/>
  <c r="C19" i="107"/>
  <c r="H19" i="107"/>
  <c r="N19" i="107"/>
  <c r="C20" i="107"/>
  <c r="H20" i="107"/>
  <c r="N20" i="107"/>
  <c r="Q27" i="107"/>
  <c r="M27" i="107"/>
  <c r="I27" i="107"/>
  <c r="E27" i="107"/>
  <c r="Q26" i="107"/>
  <c r="M26" i="107"/>
  <c r="I26" i="107"/>
  <c r="E26" i="107"/>
  <c r="Q25" i="107"/>
  <c r="M25" i="107"/>
  <c r="I25" i="107"/>
  <c r="E25" i="107"/>
  <c r="Q24" i="107"/>
  <c r="M24" i="107"/>
  <c r="I24" i="107"/>
  <c r="E24" i="107"/>
  <c r="C24" i="107"/>
  <c r="H24" i="107"/>
  <c r="N24" i="107"/>
  <c r="C25" i="107"/>
  <c r="H25" i="107"/>
  <c r="N25" i="107"/>
  <c r="C26" i="107"/>
  <c r="H26" i="107"/>
  <c r="N26" i="107"/>
  <c r="C27" i="107"/>
  <c r="H27" i="107"/>
  <c r="N27" i="107"/>
  <c r="Q34" i="107"/>
  <c r="M34" i="107"/>
  <c r="I34" i="107"/>
  <c r="E34" i="107"/>
  <c r="Q33" i="107"/>
  <c r="M33" i="107"/>
  <c r="I33" i="107"/>
  <c r="E33" i="107"/>
  <c r="Q32" i="107"/>
  <c r="M32" i="107"/>
  <c r="I32" i="107"/>
  <c r="E32" i="107"/>
  <c r="Q31" i="107"/>
  <c r="M31" i="107"/>
  <c r="I31" i="107"/>
  <c r="E31" i="107"/>
  <c r="C31" i="107"/>
  <c r="H31" i="107"/>
  <c r="N31" i="107"/>
  <c r="C32" i="107"/>
  <c r="H32" i="107"/>
  <c r="N32" i="107"/>
  <c r="C33" i="107"/>
  <c r="H33" i="107"/>
  <c r="N33" i="107"/>
  <c r="C34" i="107"/>
  <c r="H34" i="107"/>
  <c r="N34" i="107"/>
  <c r="Q41" i="107"/>
  <c r="M41" i="107"/>
  <c r="I41" i="107"/>
  <c r="E41" i="107"/>
  <c r="Q40" i="107"/>
  <c r="M40" i="107"/>
  <c r="I40" i="107"/>
  <c r="E40" i="107"/>
  <c r="Q39" i="107"/>
  <c r="M39" i="107"/>
  <c r="I39" i="107"/>
  <c r="E39" i="107"/>
  <c r="Q38" i="107"/>
  <c r="M38" i="107"/>
  <c r="I38" i="107"/>
  <c r="E38" i="107"/>
  <c r="C38" i="107"/>
  <c r="H38" i="107"/>
  <c r="N38" i="107"/>
  <c r="C39" i="107"/>
  <c r="H39" i="107"/>
  <c r="N39" i="107"/>
  <c r="C40" i="107"/>
  <c r="H40" i="107"/>
  <c r="N40" i="107"/>
  <c r="C41" i="107"/>
  <c r="H41" i="107"/>
  <c r="N41" i="107"/>
  <c r="Q48" i="107"/>
  <c r="M48" i="107"/>
  <c r="I48" i="107"/>
  <c r="E48" i="107"/>
  <c r="Q47" i="107"/>
  <c r="M47" i="107"/>
  <c r="I47" i="107"/>
  <c r="E47" i="107"/>
  <c r="Q46" i="107"/>
  <c r="M46" i="107"/>
  <c r="I46" i="107"/>
  <c r="E46" i="107"/>
  <c r="Q45" i="107"/>
  <c r="M45" i="107"/>
  <c r="I45" i="107"/>
  <c r="E45" i="107"/>
  <c r="C45" i="107"/>
  <c r="H45" i="107"/>
  <c r="N45" i="107"/>
  <c r="C46" i="107"/>
  <c r="H46" i="107"/>
  <c r="N46" i="107"/>
  <c r="C47" i="107"/>
  <c r="H47" i="107"/>
  <c r="N47" i="107"/>
  <c r="C48" i="107"/>
  <c r="H48" i="107"/>
  <c r="N48" i="107"/>
  <c r="Q55" i="107"/>
  <c r="M55" i="107"/>
  <c r="I55" i="107"/>
  <c r="E55" i="107"/>
  <c r="Q54" i="107"/>
  <c r="M54" i="107"/>
  <c r="I54" i="107"/>
  <c r="E54" i="107"/>
  <c r="Q53" i="107"/>
  <c r="M53" i="107"/>
  <c r="I53" i="107"/>
  <c r="E53" i="107"/>
  <c r="Q52" i="107"/>
  <c r="M52" i="107"/>
  <c r="I52" i="107"/>
  <c r="E52" i="107"/>
  <c r="C52" i="107"/>
  <c r="H52" i="107"/>
  <c r="N52" i="107"/>
  <c r="C53" i="107"/>
  <c r="H53" i="107"/>
  <c r="N53" i="107"/>
  <c r="C54" i="107"/>
  <c r="H54" i="107"/>
  <c r="N54" i="107"/>
  <c r="C55" i="107"/>
  <c r="H55" i="107"/>
  <c r="N55" i="107"/>
  <c r="Q62" i="107"/>
  <c r="M62" i="107"/>
  <c r="I62" i="107"/>
  <c r="E62" i="107"/>
  <c r="Q61" i="107"/>
  <c r="M61" i="107"/>
  <c r="I61" i="107"/>
  <c r="E61" i="107"/>
  <c r="Q60" i="107"/>
  <c r="M60" i="107"/>
  <c r="I60" i="107"/>
  <c r="E60" i="107"/>
  <c r="Q59" i="107"/>
  <c r="M59" i="107"/>
  <c r="I59" i="107"/>
  <c r="E59" i="107"/>
  <c r="C59" i="107"/>
  <c r="H59" i="107"/>
  <c r="N59" i="107"/>
  <c r="C60" i="107"/>
  <c r="H60" i="107"/>
  <c r="N60" i="107"/>
  <c r="C61" i="107"/>
  <c r="H61" i="107"/>
  <c r="N61" i="107"/>
  <c r="C62" i="107"/>
  <c r="H62" i="107"/>
  <c r="N62" i="107"/>
  <c r="Q69" i="107"/>
  <c r="M69" i="107"/>
  <c r="I69" i="107"/>
  <c r="E69" i="107"/>
  <c r="Q68" i="107"/>
  <c r="M68" i="107"/>
  <c r="I68" i="107"/>
  <c r="E68" i="107"/>
  <c r="Q67" i="107"/>
  <c r="M67" i="107"/>
  <c r="I67" i="107"/>
  <c r="E67" i="107"/>
  <c r="Q66" i="107"/>
  <c r="M66" i="107"/>
  <c r="I66" i="107"/>
  <c r="E66" i="107"/>
  <c r="C66" i="107"/>
  <c r="H66" i="107"/>
  <c r="N66" i="107"/>
  <c r="C67" i="107"/>
  <c r="H67" i="107"/>
  <c r="N67" i="107"/>
  <c r="C68" i="107"/>
  <c r="H68" i="107"/>
  <c r="N68" i="107"/>
  <c r="C69" i="107"/>
  <c r="H69" i="107"/>
  <c r="N69" i="107"/>
  <c r="Q76" i="107"/>
  <c r="M76" i="107"/>
  <c r="I76" i="107"/>
  <c r="E76" i="107"/>
  <c r="Q75" i="107"/>
  <c r="M75" i="107"/>
  <c r="I75" i="107"/>
  <c r="E75" i="107"/>
  <c r="Q74" i="107"/>
  <c r="M74" i="107"/>
  <c r="I74" i="107"/>
  <c r="E74" i="107"/>
  <c r="Q73" i="107"/>
  <c r="M73" i="107"/>
  <c r="I73" i="107"/>
  <c r="E73" i="107"/>
  <c r="C73" i="107"/>
  <c r="H73" i="107"/>
  <c r="N73" i="107"/>
  <c r="C74" i="107"/>
  <c r="H74" i="107"/>
  <c r="N74" i="107"/>
  <c r="C75" i="107"/>
  <c r="H75" i="107"/>
  <c r="N75" i="107"/>
  <c r="C76" i="107"/>
  <c r="H76" i="107"/>
  <c r="N76" i="107"/>
  <c r="O83" i="107"/>
  <c r="K83" i="107"/>
  <c r="G83" i="107"/>
  <c r="C83" i="107"/>
  <c r="O82" i="107"/>
  <c r="K82" i="107"/>
  <c r="G82" i="107"/>
  <c r="C82" i="107"/>
  <c r="O81" i="107"/>
  <c r="K81" i="107"/>
  <c r="G81" i="107"/>
  <c r="C81" i="107"/>
  <c r="Q83" i="107"/>
  <c r="L83" i="107"/>
  <c r="F83" i="107"/>
  <c r="Q82" i="107"/>
  <c r="L82" i="107"/>
  <c r="F82" i="107"/>
  <c r="Q81" i="107"/>
  <c r="L81" i="107"/>
  <c r="F81" i="107"/>
  <c r="Q80" i="107"/>
  <c r="M80" i="107"/>
  <c r="I80" i="107"/>
  <c r="E80" i="107"/>
  <c r="C80" i="107"/>
  <c r="H80" i="107"/>
  <c r="N80" i="107"/>
  <c r="I81" i="107"/>
  <c r="P81" i="107"/>
  <c r="E82" i="107"/>
  <c r="M82" i="107"/>
  <c r="I83" i="107"/>
  <c r="P83" i="107"/>
  <c r="J48" i="81"/>
  <c r="J50" i="81"/>
  <c r="J52" i="81"/>
  <c r="J54" i="81"/>
  <c r="J56" i="81"/>
  <c r="J58" i="81"/>
  <c r="J60" i="81"/>
  <c r="J62" i="81"/>
  <c r="J64" i="81"/>
  <c r="G68" i="81"/>
  <c r="H68" i="81" s="1"/>
  <c r="G69" i="81"/>
  <c r="C69" i="81"/>
  <c r="E69" i="81" s="1"/>
  <c r="C70" i="81"/>
  <c r="D71" i="81"/>
  <c r="I71" i="81"/>
  <c r="K71" i="81" s="1"/>
  <c r="D72" i="81"/>
  <c r="E72" i="81" s="1"/>
  <c r="J72" i="81"/>
  <c r="K72" i="81" s="1"/>
  <c r="J73" i="81"/>
  <c r="F74" i="81"/>
  <c r="F75" i="81"/>
  <c r="G76" i="81"/>
  <c r="H76" i="81" s="1"/>
  <c r="G77" i="81"/>
  <c r="H77" i="81" s="1"/>
  <c r="C77" i="81"/>
  <c r="C78" i="81"/>
  <c r="E78" i="81" s="1"/>
  <c r="D79" i="81"/>
  <c r="I79" i="81"/>
  <c r="D80" i="81"/>
  <c r="J80" i="81"/>
  <c r="K80" i="81" s="1"/>
  <c r="J81" i="81"/>
  <c r="K81" i="81" s="1"/>
  <c r="F82" i="81"/>
  <c r="F83" i="81"/>
  <c r="G84" i="81"/>
  <c r="G85" i="81"/>
  <c r="H85" i="81" s="1"/>
  <c r="C85" i="81"/>
  <c r="E85" i="81" s="1"/>
  <c r="C86" i="81"/>
  <c r="E86" i="81" s="1"/>
  <c r="D87" i="81"/>
  <c r="I87" i="81"/>
  <c r="K87" i="81" s="1"/>
  <c r="D88" i="81"/>
  <c r="J88" i="81"/>
  <c r="K88" i="81" s="1"/>
  <c r="J89" i="81"/>
  <c r="K89" i="81" s="1"/>
  <c r="F90" i="81"/>
  <c r="F91" i="81"/>
  <c r="G92" i="81"/>
  <c r="G93" i="81"/>
  <c r="H93" i="81" s="1"/>
  <c r="C93" i="81"/>
  <c r="E93" i="81" s="1"/>
  <c r="C94" i="81"/>
  <c r="E94" i="81" s="1"/>
  <c r="C99" i="81"/>
  <c r="F99" i="81" s="1"/>
  <c r="C101" i="81"/>
  <c r="F101" i="81" s="1"/>
  <c r="C103" i="81"/>
  <c r="F103" i="81" s="1"/>
  <c r="C105" i="81"/>
  <c r="C107" i="81"/>
  <c r="F107" i="81" s="1"/>
  <c r="C109" i="81"/>
  <c r="F109" i="81" s="1"/>
  <c r="C111" i="81"/>
  <c r="F111" i="81" s="1"/>
  <c r="C113" i="81"/>
  <c r="C115" i="81"/>
  <c r="F115" i="81" s="1"/>
  <c r="C117" i="81"/>
  <c r="C119" i="81"/>
  <c r="F119" i="81" s="1"/>
  <c r="C121" i="81"/>
  <c r="C123" i="81"/>
  <c r="F123" i="81" s="1"/>
  <c r="P8" i="107"/>
  <c r="D10" i="107"/>
  <c r="J10" i="107"/>
  <c r="O10" i="107"/>
  <c r="D11" i="107"/>
  <c r="J11" i="107"/>
  <c r="O11" i="107"/>
  <c r="D12" i="107"/>
  <c r="J12" i="107"/>
  <c r="O12" i="107"/>
  <c r="D13" i="107"/>
  <c r="J13" i="107"/>
  <c r="O13" i="107"/>
  <c r="P15" i="107"/>
  <c r="D17" i="107"/>
  <c r="J17" i="107"/>
  <c r="O17" i="107"/>
  <c r="D18" i="107"/>
  <c r="J18" i="107"/>
  <c r="O18" i="107"/>
  <c r="D19" i="107"/>
  <c r="J19" i="107"/>
  <c r="O19" i="107"/>
  <c r="D20" i="107"/>
  <c r="J20" i="107"/>
  <c r="O20" i="107"/>
  <c r="P22" i="107"/>
  <c r="D24" i="107"/>
  <c r="J24" i="107"/>
  <c r="O24" i="107"/>
  <c r="D25" i="107"/>
  <c r="J25" i="107"/>
  <c r="O25" i="107"/>
  <c r="D26" i="107"/>
  <c r="J26" i="107"/>
  <c r="O26" i="107"/>
  <c r="D27" i="107"/>
  <c r="J27" i="107"/>
  <c r="O27" i="107"/>
  <c r="P29" i="107"/>
  <c r="D31" i="107"/>
  <c r="J31" i="107"/>
  <c r="O31" i="107"/>
  <c r="D32" i="107"/>
  <c r="J32" i="107"/>
  <c r="O32" i="107"/>
  <c r="D33" i="107"/>
  <c r="J33" i="107"/>
  <c r="O33" i="107"/>
  <c r="D34" i="107"/>
  <c r="J34" i="107"/>
  <c r="O34" i="107"/>
  <c r="P36" i="107"/>
  <c r="D38" i="107"/>
  <c r="J38" i="107"/>
  <c r="O38" i="107"/>
  <c r="D39" i="107"/>
  <c r="J39" i="107"/>
  <c r="O39" i="107"/>
  <c r="D40" i="107"/>
  <c r="J40" i="107"/>
  <c r="O40" i="107"/>
  <c r="D41" i="107"/>
  <c r="J41" i="107"/>
  <c r="O41" i="107"/>
  <c r="P43" i="107"/>
  <c r="D45" i="107"/>
  <c r="J45" i="107"/>
  <c r="O45" i="107"/>
  <c r="D46" i="107"/>
  <c r="J46" i="107"/>
  <c r="O46" i="107"/>
  <c r="D47" i="107"/>
  <c r="J47" i="107"/>
  <c r="O47" i="107"/>
  <c r="D48" i="107"/>
  <c r="J48" i="107"/>
  <c r="O48" i="107"/>
  <c r="P50" i="107"/>
  <c r="D52" i="107"/>
  <c r="J52" i="107"/>
  <c r="O52" i="107"/>
  <c r="D53" i="107"/>
  <c r="J53" i="107"/>
  <c r="O53" i="107"/>
  <c r="D54" i="107"/>
  <c r="J54" i="107"/>
  <c r="O54" i="107"/>
  <c r="D55" i="107"/>
  <c r="J55" i="107"/>
  <c r="O55" i="107"/>
  <c r="P57" i="107"/>
  <c r="D59" i="107"/>
  <c r="J59" i="107"/>
  <c r="O59" i="107"/>
  <c r="D60" i="107"/>
  <c r="J60" i="107"/>
  <c r="O60" i="107"/>
  <c r="D61" i="107"/>
  <c r="J61" i="107"/>
  <c r="O61" i="107"/>
  <c r="D62" i="107"/>
  <c r="J62" i="107"/>
  <c r="O62" i="107"/>
  <c r="P64" i="107"/>
  <c r="D66" i="107"/>
  <c r="J66" i="107"/>
  <c r="O66" i="107"/>
  <c r="D67" i="107"/>
  <c r="J67" i="107"/>
  <c r="O67" i="107"/>
  <c r="D68" i="107"/>
  <c r="J68" i="107"/>
  <c r="O68" i="107"/>
  <c r="D69" i="107"/>
  <c r="J69" i="107"/>
  <c r="O69" i="107"/>
  <c r="P71" i="107"/>
  <c r="D73" i="107"/>
  <c r="J73" i="107"/>
  <c r="O73" i="107"/>
  <c r="D74" i="107"/>
  <c r="J74" i="107"/>
  <c r="O74" i="107"/>
  <c r="D75" i="107"/>
  <c r="J75" i="107"/>
  <c r="O75" i="107"/>
  <c r="D76" i="107"/>
  <c r="J76" i="107"/>
  <c r="O76" i="107"/>
  <c r="P78" i="107"/>
  <c r="D80" i="107"/>
  <c r="J80" i="107"/>
  <c r="O80" i="107"/>
  <c r="D81" i="107"/>
  <c r="J81" i="107"/>
  <c r="R81" i="107"/>
  <c r="H82" i="107"/>
  <c r="N82" i="107"/>
  <c r="D83" i="107"/>
  <c r="J83" i="107"/>
  <c r="R83" i="107"/>
  <c r="W66" i="102"/>
  <c r="AA66" i="102"/>
  <c r="AE66" i="102"/>
  <c r="AI66" i="102"/>
  <c r="W67" i="102"/>
  <c r="AA67" i="102"/>
  <c r="AE67" i="102"/>
  <c r="AI67" i="102"/>
  <c r="W68" i="102"/>
  <c r="AA68" i="102"/>
  <c r="AE68" i="102"/>
  <c r="AI68" i="102"/>
  <c r="W69" i="102"/>
  <c r="AA69" i="102"/>
  <c r="AE69" i="102"/>
  <c r="AI69" i="102"/>
  <c r="W73" i="102"/>
  <c r="AA73" i="102"/>
  <c r="AE73" i="102"/>
  <c r="AI73" i="102"/>
  <c r="W74" i="102"/>
  <c r="AA74" i="102"/>
  <c r="AE74" i="102"/>
  <c r="AI74" i="102"/>
  <c r="W75" i="102"/>
  <c r="AA75" i="102"/>
  <c r="AE75" i="102"/>
  <c r="AI75" i="102"/>
  <c r="W76" i="102"/>
  <c r="AA76" i="102"/>
  <c r="AE76" i="102"/>
  <c r="W80" i="102"/>
  <c r="AA80" i="102"/>
  <c r="AE80" i="102"/>
  <c r="AI80" i="102"/>
  <c r="W81" i="102"/>
  <c r="AA81" i="102"/>
  <c r="AE81" i="102"/>
  <c r="AI81" i="102"/>
  <c r="W82" i="102"/>
  <c r="AA82" i="102"/>
  <c r="AE82" i="102"/>
  <c r="AI82" i="102"/>
  <c r="W83" i="102"/>
  <c r="AA83" i="102"/>
  <c r="AE83" i="102"/>
  <c r="AI83" i="102"/>
  <c r="W87" i="102"/>
  <c r="AA87" i="102"/>
  <c r="AE87" i="102"/>
  <c r="AI87" i="102"/>
  <c r="W88" i="102"/>
  <c r="AA88" i="102"/>
  <c r="AE88" i="102"/>
  <c r="AI88" i="102"/>
  <c r="W89" i="102"/>
  <c r="AA89" i="102"/>
  <c r="AE89" i="102"/>
  <c r="AI89" i="102"/>
  <c r="W90" i="102"/>
  <c r="AA90" i="102"/>
  <c r="AE90" i="102"/>
  <c r="AI90" i="102"/>
  <c r="W94" i="102"/>
  <c r="AA94" i="102"/>
  <c r="AE94" i="102"/>
  <c r="AI94" i="102"/>
  <c r="W95" i="102"/>
  <c r="AA95" i="102"/>
  <c r="AE95" i="102"/>
  <c r="AI95" i="102"/>
  <c r="W96" i="102"/>
  <c r="AA96" i="102"/>
  <c r="AE96" i="102"/>
  <c r="AI96" i="102"/>
  <c r="W97" i="102"/>
  <c r="AA97" i="102"/>
  <c r="AE97" i="102"/>
  <c r="W101" i="102"/>
  <c r="AA101" i="102"/>
  <c r="AE101" i="102"/>
  <c r="AI101" i="102"/>
  <c r="W102" i="102"/>
  <c r="AA102" i="102"/>
  <c r="AE102" i="102"/>
  <c r="AI102" i="102"/>
  <c r="W103" i="102"/>
  <c r="AA103" i="102"/>
  <c r="AE103" i="102"/>
  <c r="AI103" i="102"/>
  <c r="W104" i="102"/>
  <c r="AA104" i="102"/>
  <c r="AE104" i="102"/>
  <c r="W10" i="105"/>
  <c r="AA10" i="105"/>
  <c r="AE10" i="105"/>
  <c r="AI10" i="105"/>
  <c r="W11" i="105"/>
  <c r="AA11" i="105"/>
  <c r="AE11" i="105"/>
  <c r="AI11" i="105"/>
  <c r="W12" i="105"/>
  <c r="AA12" i="105"/>
  <c r="AE12" i="105"/>
  <c r="AI12" i="105"/>
  <c r="W13" i="105"/>
  <c r="AA13" i="105"/>
  <c r="AE13" i="105"/>
  <c r="W17" i="105"/>
  <c r="AA17" i="105"/>
  <c r="AE17" i="105"/>
  <c r="AI17" i="105"/>
  <c r="W18" i="105"/>
  <c r="AA18" i="105"/>
  <c r="AE18" i="105"/>
  <c r="AI18" i="105"/>
  <c r="W19" i="105"/>
  <c r="AA19" i="105"/>
  <c r="AE19" i="105"/>
  <c r="AI19" i="105"/>
  <c r="W20" i="105"/>
  <c r="AA20" i="105"/>
  <c r="AE20" i="105"/>
  <c r="W24" i="105"/>
  <c r="AA24" i="105"/>
  <c r="AE24" i="105"/>
  <c r="AI24" i="105"/>
  <c r="W25" i="105"/>
  <c r="AA25" i="105"/>
  <c r="AE25" i="105"/>
  <c r="AI25" i="105"/>
  <c r="W26" i="105"/>
  <c r="AA26" i="105"/>
  <c r="AE26" i="105"/>
  <c r="AI26" i="105"/>
  <c r="W27" i="105"/>
  <c r="AA27" i="105"/>
  <c r="AE27" i="105"/>
  <c r="W31" i="105"/>
  <c r="AA31" i="105"/>
  <c r="AE31" i="105"/>
  <c r="AI31" i="105"/>
  <c r="W32" i="105"/>
  <c r="AA32" i="105"/>
  <c r="AE32" i="105"/>
  <c r="AI32" i="105"/>
  <c r="W33" i="105"/>
  <c r="AA33" i="105"/>
  <c r="AE33" i="105"/>
  <c r="AI33" i="105"/>
  <c r="W34" i="105"/>
  <c r="AA34" i="105"/>
  <c r="AE34" i="105"/>
  <c r="W38" i="105"/>
  <c r="AA38" i="105"/>
  <c r="AE38" i="105"/>
  <c r="AI38" i="105"/>
  <c r="W39" i="105"/>
  <c r="AA39" i="105"/>
  <c r="AE39" i="105"/>
  <c r="AI39" i="105"/>
  <c r="W40" i="105"/>
  <c r="AA40" i="105"/>
  <c r="AE40" i="105"/>
  <c r="AI40" i="105"/>
  <c r="W41" i="105"/>
  <c r="AA41" i="105"/>
  <c r="AE41" i="105"/>
  <c r="W45" i="105"/>
  <c r="AA45" i="105"/>
  <c r="AE45" i="105"/>
  <c r="AI45" i="105"/>
  <c r="W46" i="105"/>
  <c r="AA46" i="105"/>
  <c r="AE46" i="105"/>
  <c r="AI46" i="105"/>
  <c r="W47" i="105"/>
  <c r="AA47" i="105"/>
  <c r="AE47" i="105"/>
  <c r="AI47" i="105"/>
  <c r="W48" i="105"/>
  <c r="AA48" i="105"/>
  <c r="AE48" i="105"/>
  <c r="W52" i="105"/>
  <c r="AA52" i="105"/>
  <c r="AE52" i="105"/>
  <c r="AI52" i="105"/>
  <c r="W53" i="105"/>
  <c r="AA53" i="105"/>
  <c r="AE53" i="105"/>
  <c r="AI53" i="105"/>
  <c r="W54" i="105"/>
  <c r="AA54" i="105"/>
  <c r="AE54" i="105"/>
  <c r="AI54" i="105"/>
  <c r="W55" i="105"/>
  <c r="AA55" i="105"/>
  <c r="AE55" i="105"/>
  <c r="W59" i="105"/>
  <c r="AA59" i="105"/>
  <c r="AE59" i="105"/>
  <c r="AI59" i="105"/>
  <c r="W60" i="105"/>
  <c r="AA60" i="105"/>
  <c r="AE60" i="105"/>
  <c r="AI60" i="105"/>
  <c r="W61" i="105"/>
  <c r="AA61" i="105"/>
  <c r="AE61" i="105"/>
  <c r="AI61" i="105"/>
  <c r="W62" i="105"/>
  <c r="AA62" i="105"/>
  <c r="AE62" i="105"/>
  <c r="W66" i="105"/>
  <c r="AA66" i="105"/>
  <c r="AE66" i="105"/>
  <c r="AI66" i="105"/>
  <c r="W67" i="105"/>
  <c r="AA67" i="105"/>
  <c r="AE67" i="105"/>
  <c r="AI67" i="105"/>
  <c r="W68" i="105"/>
  <c r="AA68" i="105"/>
  <c r="AE68" i="105"/>
  <c r="AI68" i="105"/>
  <c r="W69" i="105"/>
  <c r="AA69" i="105"/>
  <c r="AE69" i="105"/>
  <c r="W73" i="105"/>
  <c r="AA73" i="105"/>
  <c r="AE73" i="105"/>
  <c r="AI73" i="105"/>
  <c r="W74" i="105"/>
  <c r="AA74" i="105"/>
  <c r="AE74" i="105"/>
  <c r="AI74" i="105"/>
  <c r="W75" i="105"/>
  <c r="AA75" i="105"/>
  <c r="AE75" i="105"/>
  <c r="AI75" i="105"/>
  <c r="W76" i="105"/>
  <c r="AA76" i="105"/>
  <c r="AE76" i="105"/>
  <c r="W80" i="105"/>
  <c r="AA80" i="105"/>
  <c r="AE80" i="105"/>
  <c r="AI80" i="105"/>
  <c r="W81" i="105"/>
  <c r="AA81" i="105"/>
  <c r="AE81" i="105"/>
  <c r="AI81" i="105"/>
  <c r="W82" i="105"/>
  <c r="AA82" i="105"/>
  <c r="AE82" i="105"/>
  <c r="AI82" i="105"/>
  <c r="W83" i="105"/>
  <c r="AA83" i="105"/>
  <c r="AE83" i="105"/>
  <c r="W87" i="105"/>
  <c r="AA87" i="105"/>
  <c r="AE87" i="105"/>
  <c r="AI87" i="105"/>
  <c r="W88" i="105"/>
  <c r="AA88" i="105"/>
  <c r="AE88" i="105"/>
  <c r="AI88" i="105"/>
  <c r="W89" i="105"/>
  <c r="AA89" i="105"/>
  <c r="AE89" i="105"/>
  <c r="AI89" i="105"/>
  <c r="W90" i="105"/>
  <c r="AA90" i="105"/>
  <c r="AE90" i="105"/>
  <c r="W94" i="105"/>
  <c r="AA94" i="105"/>
  <c r="AE94" i="105"/>
  <c r="AI94" i="105"/>
  <c r="W95" i="105"/>
  <c r="AA95" i="105"/>
  <c r="AE95" i="105"/>
  <c r="AI95" i="105"/>
  <c r="W96" i="105"/>
  <c r="AA96" i="105"/>
  <c r="AE96" i="105"/>
  <c r="AI96" i="105"/>
  <c r="W97" i="105"/>
  <c r="AA97" i="105"/>
  <c r="AE97" i="105"/>
  <c r="W101" i="105"/>
  <c r="AA101" i="105"/>
  <c r="AE101" i="105"/>
  <c r="AI101" i="105"/>
  <c r="W102" i="105"/>
  <c r="AA102" i="105"/>
  <c r="AE102" i="105"/>
  <c r="AI102" i="105"/>
  <c r="W103" i="105"/>
  <c r="AA103" i="105"/>
  <c r="AE103" i="105"/>
  <c r="AI103" i="105"/>
  <c r="W104" i="105"/>
  <c r="AA104" i="105"/>
  <c r="AE104" i="105"/>
  <c r="W10" i="107"/>
  <c r="AA10" i="107"/>
  <c r="AE10" i="107"/>
  <c r="AI10" i="107"/>
  <c r="W11" i="107"/>
  <c r="AA11" i="107"/>
  <c r="AE11" i="107"/>
  <c r="AI11" i="107"/>
  <c r="W12" i="107"/>
  <c r="AA12" i="107"/>
  <c r="AE12" i="107"/>
  <c r="AI12" i="107"/>
  <c r="W13" i="107"/>
  <c r="AA13" i="107"/>
  <c r="AE13" i="107"/>
  <c r="W17" i="107"/>
  <c r="AA17" i="107"/>
  <c r="AE17" i="107"/>
  <c r="AI17" i="107"/>
  <c r="W18" i="107"/>
  <c r="AA18" i="107"/>
  <c r="AE18" i="107"/>
  <c r="AI18" i="107"/>
  <c r="W19" i="107"/>
  <c r="AA19" i="107"/>
  <c r="AE19" i="107"/>
  <c r="AI19" i="107"/>
  <c r="W20" i="107"/>
  <c r="AA20" i="107"/>
  <c r="AE20" i="107"/>
  <c r="W24" i="107"/>
  <c r="AA24" i="107"/>
  <c r="AE24" i="107"/>
  <c r="AI24" i="107"/>
  <c r="W25" i="107"/>
  <c r="AA25" i="107"/>
  <c r="AE25" i="107"/>
  <c r="AI25" i="107"/>
  <c r="W26" i="107"/>
  <c r="AA26" i="107"/>
  <c r="AE26" i="107"/>
  <c r="AI26" i="107"/>
  <c r="W27" i="107"/>
  <c r="AA27" i="107"/>
  <c r="AE27" i="107"/>
  <c r="W31" i="107"/>
  <c r="AA31" i="107"/>
  <c r="AE31" i="107"/>
  <c r="AI31" i="107"/>
  <c r="W32" i="107"/>
  <c r="AA32" i="107"/>
  <c r="AE32" i="107"/>
  <c r="AI32" i="107"/>
  <c r="W33" i="107"/>
  <c r="AA33" i="107"/>
  <c r="AE33" i="107"/>
  <c r="AI33" i="107"/>
  <c r="W34" i="107"/>
  <c r="AA34" i="107"/>
  <c r="AE34" i="107"/>
  <c r="W38" i="107"/>
  <c r="AA38" i="107"/>
  <c r="AE38" i="107"/>
  <c r="AI38" i="107"/>
  <c r="W39" i="107"/>
  <c r="AA39" i="107"/>
  <c r="AE39" i="107"/>
  <c r="AI39" i="107"/>
  <c r="W40" i="107"/>
  <c r="AA40" i="107"/>
  <c r="AE40" i="107"/>
  <c r="AI40" i="107"/>
  <c r="W41" i="107"/>
  <c r="AA41" i="107"/>
  <c r="AE41" i="107"/>
  <c r="W45" i="107"/>
  <c r="AA45" i="107"/>
  <c r="AE45" i="107"/>
  <c r="AI45" i="107"/>
  <c r="W46" i="107"/>
  <c r="AA46" i="107"/>
  <c r="AE46" i="107"/>
  <c r="AI46" i="107"/>
  <c r="W47" i="107"/>
  <c r="AA47" i="107"/>
  <c r="AE47" i="107"/>
  <c r="AI47" i="107"/>
  <c r="W48" i="107"/>
  <c r="AA48" i="107"/>
  <c r="AE48" i="107"/>
  <c r="W52" i="107"/>
  <c r="AA52" i="107"/>
  <c r="AE52" i="107"/>
  <c r="AI52" i="107"/>
  <c r="W53" i="107"/>
  <c r="AA53" i="107"/>
  <c r="AE53" i="107"/>
  <c r="AI53" i="107"/>
  <c r="W54" i="107"/>
  <c r="AA54" i="107"/>
  <c r="AE54" i="107"/>
  <c r="AI54" i="107"/>
  <c r="W55" i="107"/>
  <c r="AA55" i="107"/>
  <c r="AE55" i="107"/>
  <c r="W59" i="107"/>
  <c r="AA59" i="107"/>
  <c r="AE59" i="107"/>
  <c r="AI59" i="107"/>
  <c r="W60" i="107"/>
  <c r="AA60" i="107"/>
  <c r="AE60" i="107"/>
  <c r="AI60" i="107"/>
  <c r="W61" i="107"/>
  <c r="AA61" i="107"/>
  <c r="AE61" i="107"/>
  <c r="AI61" i="107"/>
  <c r="W62" i="107"/>
  <c r="AA62" i="107"/>
  <c r="AE62" i="107"/>
  <c r="W66" i="107"/>
  <c r="AA66" i="107"/>
  <c r="AE66" i="107"/>
  <c r="AI66" i="107"/>
  <c r="W67" i="107"/>
  <c r="AA67" i="107"/>
  <c r="AE67" i="107"/>
  <c r="AI67" i="107"/>
  <c r="W68" i="107"/>
  <c r="AA68" i="107"/>
  <c r="AE68" i="107"/>
  <c r="AI68" i="107"/>
  <c r="W69" i="107"/>
  <c r="AA69" i="107"/>
  <c r="AE69" i="107"/>
  <c r="W73" i="107"/>
  <c r="AA73" i="107"/>
  <c r="AE73" i="107"/>
  <c r="AI73" i="107"/>
  <c r="W74" i="107"/>
  <c r="AA74" i="107"/>
  <c r="AE74" i="107"/>
  <c r="AI74" i="107"/>
  <c r="W75" i="107"/>
  <c r="AA75" i="107"/>
  <c r="AE75" i="107"/>
  <c r="AI75" i="107"/>
  <c r="W76" i="107"/>
  <c r="AA76" i="107"/>
  <c r="AE76" i="107"/>
  <c r="AG83" i="107"/>
  <c r="AC83" i="107"/>
  <c r="Y83" i="107"/>
  <c r="U83" i="107"/>
  <c r="AG82" i="107"/>
  <c r="AC82" i="107"/>
  <c r="Y82" i="107"/>
  <c r="U82" i="107"/>
  <c r="AG81" i="107"/>
  <c r="AC81" i="107"/>
  <c r="Y81" i="107"/>
  <c r="U81" i="107"/>
  <c r="AG80" i="107"/>
  <c r="AC80" i="107"/>
  <c r="Y80" i="107"/>
  <c r="U80" i="107"/>
  <c r="X80" i="107"/>
  <c r="AD80" i="107"/>
  <c r="AI80" i="107"/>
  <c r="X81" i="107"/>
  <c r="AD81" i="107"/>
  <c r="AI81" i="107"/>
  <c r="X82" i="107"/>
  <c r="AD82" i="107"/>
  <c r="AI82" i="107"/>
  <c r="X83" i="107"/>
  <c r="AD83" i="107"/>
  <c r="AI83" i="107"/>
  <c r="AG90" i="107"/>
  <c r="AC90" i="107"/>
  <c r="Y90" i="107"/>
  <c r="U90" i="107"/>
  <c r="AG89" i="107"/>
  <c r="AC89" i="107"/>
  <c r="Y89" i="107"/>
  <c r="U89" i="107"/>
  <c r="AG88" i="107"/>
  <c r="AC88" i="107"/>
  <c r="Y88" i="107"/>
  <c r="U88" i="107"/>
  <c r="AG87" i="107"/>
  <c r="AC87" i="107"/>
  <c r="Y87" i="107"/>
  <c r="U87" i="107"/>
  <c r="X87" i="107"/>
  <c r="AD87" i="107"/>
  <c r="AI87" i="107"/>
  <c r="X88" i="107"/>
  <c r="AD88" i="107"/>
  <c r="AI88" i="107"/>
  <c r="X89" i="107"/>
  <c r="AD89" i="107"/>
  <c r="AI89" i="107"/>
  <c r="X90" i="107"/>
  <c r="AD90" i="107"/>
  <c r="AI90" i="107"/>
  <c r="AG97" i="107"/>
  <c r="AC97" i="107"/>
  <c r="Y97" i="107"/>
  <c r="U97" i="107"/>
  <c r="AG96" i="107"/>
  <c r="AC96" i="107"/>
  <c r="Y96" i="107"/>
  <c r="U96" i="107"/>
  <c r="AG95" i="107"/>
  <c r="AC95" i="107"/>
  <c r="Y95" i="107"/>
  <c r="U95" i="107"/>
  <c r="AG94" i="107"/>
  <c r="AC94" i="107"/>
  <c r="Y94" i="107"/>
  <c r="U94" i="107"/>
  <c r="X94" i="107"/>
  <c r="AD94" i="107"/>
  <c r="AI94" i="107"/>
  <c r="X95" i="107"/>
  <c r="AD95" i="107"/>
  <c r="AI95" i="107"/>
  <c r="X96" i="107"/>
  <c r="AD96" i="107"/>
  <c r="AI96" i="107"/>
  <c r="X97" i="107"/>
  <c r="AD97" i="107"/>
  <c r="AI97" i="107"/>
  <c r="AG104" i="107"/>
  <c r="AC104" i="107"/>
  <c r="Y104" i="107"/>
  <c r="U104" i="107"/>
  <c r="AG103" i="107"/>
  <c r="AC103" i="107"/>
  <c r="Y103" i="107"/>
  <c r="U103" i="107"/>
  <c r="AG102" i="107"/>
  <c r="AC102" i="107"/>
  <c r="Y102" i="107"/>
  <c r="U102" i="107"/>
  <c r="AG101" i="107"/>
  <c r="AC101" i="107"/>
  <c r="Y101" i="107"/>
  <c r="U101" i="107"/>
  <c r="X101" i="107"/>
  <c r="AD101" i="107"/>
  <c r="AI101" i="107"/>
  <c r="X102" i="107"/>
  <c r="AD102" i="107"/>
  <c r="AI102" i="107"/>
  <c r="X103" i="107"/>
  <c r="AD103" i="107"/>
  <c r="AI103" i="107"/>
  <c r="X104" i="107"/>
  <c r="AD104" i="107"/>
  <c r="AI104" i="107"/>
  <c r="AE13" i="109"/>
  <c r="AA13" i="109"/>
  <c r="W13" i="109"/>
  <c r="AG12" i="109"/>
  <c r="AC12" i="109"/>
  <c r="Y12" i="109"/>
  <c r="U12" i="109"/>
  <c r="AE11" i="109"/>
  <c r="AA11" i="109"/>
  <c r="W11" i="109"/>
  <c r="AG10" i="109"/>
  <c r="AC10" i="109"/>
  <c r="Y10" i="109"/>
  <c r="U10" i="109"/>
  <c r="X10" i="109"/>
  <c r="AD10" i="109"/>
  <c r="U11" i="109"/>
  <c r="Z11" i="109"/>
  <c r="AF11" i="109"/>
  <c r="W12" i="109"/>
  <c r="AB12" i="109"/>
  <c r="AH12" i="109"/>
  <c r="Y13" i="109"/>
  <c r="AD13" i="109"/>
  <c r="V17" i="109"/>
  <c r="AA17" i="109"/>
  <c r="AF17" i="109"/>
  <c r="X18" i="109"/>
  <c r="AC18" i="109"/>
  <c r="AH18" i="109"/>
  <c r="Z19" i="109"/>
  <c r="AE19" i="109"/>
  <c r="V20" i="109"/>
  <c r="AB20" i="109"/>
  <c r="AE27" i="109"/>
  <c r="AA27" i="109"/>
  <c r="W27" i="109"/>
  <c r="AG26" i="109"/>
  <c r="AC26" i="109"/>
  <c r="Y26" i="109"/>
  <c r="U26" i="109"/>
  <c r="AE25" i="109"/>
  <c r="AA25" i="109"/>
  <c r="W25" i="109"/>
  <c r="AG24" i="109"/>
  <c r="AC24" i="109"/>
  <c r="Y24" i="109"/>
  <c r="U24" i="109"/>
  <c r="AF27" i="109"/>
  <c r="Z27" i="109"/>
  <c r="X24" i="109"/>
  <c r="AD24" i="109"/>
  <c r="U25" i="109"/>
  <c r="Z25" i="109"/>
  <c r="AF25" i="109"/>
  <c r="W26" i="109"/>
  <c r="AB26" i="109"/>
  <c r="AH26" i="109"/>
  <c r="Y27" i="109"/>
  <c r="AG27" i="109"/>
  <c r="AE34" i="109"/>
  <c r="AA34" i="109"/>
  <c r="W34" i="109"/>
  <c r="AG33" i="109"/>
  <c r="AC33" i="109"/>
  <c r="Y33" i="109"/>
  <c r="U33" i="109"/>
  <c r="AE32" i="109"/>
  <c r="AA32" i="109"/>
  <c r="W32" i="109"/>
  <c r="AG31" i="109"/>
  <c r="AC31" i="109"/>
  <c r="Y31" i="109"/>
  <c r="U31" i="109"/>
  <c r="AH34" i="109"/>
  <c r="AC34" i="109"/>
  <c r="X34" i="109"/>
  <c r="AF33" i="109"/>
  <c r="AA33" i="109"/>
  <c r="V33" i="109"/>
  <c r="AD32" i="109"/>
  <c r="Y32" i="109"/>
  <c r="AH31" i="109"/>
  <c r="AB31" i="109"/>
  <c r="W31" i="109"/>
  <c r="Z31" i="109"/>
  <c r="AF31" i="109"/>
  <c r="Z32" i="109"/>
  <c r="AG32" i="109"/>
  <c r="Z33" i="109"/>
  <c r="AH33" i="109"/>
  <c r="Z34" i="109"/>
  <c r="AG34" i="109"/>
  <c r="V38" i="109"/>
  <c r="AB38" i="109"/>
  <c r="U39" i="109"/>
  <c r="AC39" i="109"/>
  <c r="V40" i="109"/>
  <c r="AB40" i="109"/>
  <c r="V41" i="109"/>
  <c r="AC41" i="109"/>
  <c r="V45" i="109"/>
  <c r="AD45" i="109"/>
  <c r="V46" i="109"/>
  <c r="AC46" i="109"/>
  <c r="W47" i="109"/>
  <c r="AD47" i="109"/>
  <c r="V48" i="109"/>
  <c r="AA52" i="109"/>
  <c r="X53" i="109"/>
  <c r="AH53" i="109"/>
  <c r="AE54" i="109"/>
  <c r="AA59" i="109"/>
  <c r="X60" i="109"/>
  <c r="AH60" i="109"/>
  <c r="AE61" i="109"/>
  <c r="AA66" i="109"/>
  <c r="X67" i="109"/>
  <c r="AH67" i="109"/>
  <c r="AE68" i="109"/>
  <c r="AA73" i="109"/>
  <c r="X74" i="109"/>
  <c r="AH74" i="109"/>
  <c r="AE75" i="109"/>
  <c r="AA80" i="109"/>
  <c r="AC81" i="109"/>
  <c r="U88" i="109"/>
  <c r="X41" i="109"/>
  <c r="AD41" i="109"/>
  <c r="AE55" i="109"/>
  <c r="AA55" i="109"/>
  <c r="W55" i="109"/>
  <c r="AG54" i="109"/>
  <c r="AC54" i="109"/>
  <c r="Y54" i="109"/>
  <c r="U54" i="109"/>
  <c r="AE53" i="109"/>
  <c r="AA53" i="109"/>
  <c r="W53" i="109"/>
  <c r="AG52" i="109"/>
  <c r="AC52" i="109"/>
  <c r="Y52" i="109"/>
  <c r="U52" i="109"/>
  <c r="AF55" i="109"/>
  <c r="Z55" i="109"/>
  <c r="U55" i="109"/>
  <c r="AD54" i="109"/>
  <c r="X54" i="109"/>
  <c r="AG53" i="109"/>
  <c r="AB53" i="109"/>
  <c r="V53" i="109"/>
  <c r="AE52" i="109"/>
  <c r="Z52" i="109"/>
  <c r="AF50" i="109"/>
  <c r="AH55" i="109"/>
  <c r="AC55" i="109"/>
  <c r="X55" i="109"/>
  <c r="AF54" i="109"/>
  <c r="AA54" i="109"/>
  <c r="V54" i="109"/>
  <c r="AD53" i="109"/>
  <c r="Y53" i="109"/>
  <c r="AH52" i="109"/>
  <c r="AB52" i="109"/>
  <c r="W52" i="109"/>
  <c r="AD52" i="109"/>
  <c r="Z53" i="109"/>
  <c r="W54" i="109"/>
  <c r="AH54" i="109"/>
  <c r="AD55" i="109"/>
  <c r="AE62" i="109"/>
  <c r="AA62" i="109"/>
  <c r="W62" i="109"/>
  <c r="AG61" i="109"/>
  <c r="AC61" i="109"/>
  <c r="Y61" i="109"/>
  <c r="U61" i="109"/>
  <c r="AE60" i="109"/>
  <c r="AA60" i="109"/>
  <c r="W60" i="109"/>
  <c r="AG59" i="109"/>
  <c r="AC59" i="109"/>
  <c r="Y59" i="109"/>
  <c r="U59" i="109"/>
  <c r="AH62" i="109"/>
  <c r="AC62" i="109"/>
  <c r="X62" i="109"/>
  <c r="AF61" i="109"/>
  <c r="AA61" i="109"/>
  <c r="V61" i="109"/>
  <c r="AD60" i="109"/>
  <c r="Y60" i="109"/>
  <c r="AH59" i="109"/>
  <c r="AB59" i="109"/>
  <c r="W59" i="109"/>
  <c r="AF62" i="109"/>
  <c r="Z62" i="109"/>
  <c r="U62" i="109"/>
  <c r="AD61" i="109"/>
  <c r="X61" i="109"/>
  <c r="AG60" i="109"/>
  <c r="AB60" i="109"/>
  <c r="V60" i="109"/>
  <c r="AE59" i="109"/>
  <c r="Z59" i="109"/>
  <c r="AF57" i="109"/>
  <c r="AD59" i="109"/>
  <c r="Z60" i="109"/>
  <c r="W61" i="109"/>
  <c r="AH61" i="109"/>
  <c r="AD62" i="109"/>
  <c r="AE69" i="109"/>
  <c r="AA69" i="109"/>
  <c r="W69" i="109"/>
  <c r="AG68" i="109"/>
  <c r="AC68" i="109"/>
  <c r="Y68" i="109"/>
  <c r="U68" i="109"/>
  <c r="AE67" i="109"/>
  <c r="AA67" i="109"/>
  <c r="W67" i="109"/>
  <c r="AG66" i="109"/>
  <c r="AC66" i="109"/>
  <c r="Y66" i="109"/>
  <c r="U66" i="109"/>
  <c r="AF69" i="109"/>
  <c r="Z69" i="109"/>
  <c r="U69" i="109"/>
  <c r="AD68" i="109"/>
  <c r="X68" i="109"/>
  <c r="AG67" i="109"/>
  <c r="AB67" i="109"/>
  <c r="V67" i="109"/>
  <c r="AE66" i="109"/>
  <c r="Z66" i="109"/>
  <c r="AF64" i="109"/>
  <c r="AH69" i="109"/>
  <c r="AC69" i="109"/>
  <c r="X69" i="109"/>
  <c r="AF68" i="109"/>
  <c r="AA68" i="109"/>
  <c r="V68" i="109"/>
  <c r="AD67" i="109"/>
  <c r="Y67" i="109"/>
  <c r="AH66" i="109"/>
  <c r="AB66" i="109"/>
  <c r="W66" i="109"/>
  <c r="AD66" i="109"/>
  <c r="Z67" i="109"/>
  <c r="W68" i="109"/>
  <c r="AH68" i="109"/>
  <c r="AD69" i="109"/>
  <c r="AE76" i="109"/>
  <c r="AA76" i="109"/>
  <c r="W76" i="109"/>
  <c r="AG75" i="109"/>
  <c r="AC75" i="109"/>
  <c r="Y75" i="109"/>
  <c r="U75" i="109"/>
  <c r="AE74" i="109"/>
  <c r="AA74" i="109"/>
  <c r="W74" i="109"/>
  <c r="AG73" i="109"/>
  <c r="AC73" i="109"/>
  <c r="Y73" i="109"/>
  <c r="U73" i="109"/>
  <c r="AH76" i="109"/>
  <c r="AC76" i="109"/>
  <c r="X76" i="109"/>
  <c r="AF75" i="109"/>
  <c r="AA75" i="109"/>
  <c r="V75" i="109"/>
  <c r="AD74" i="109"/>
  <c r="Y74" i="109"/>
  <c r="AH73" i="109"/>
  <c r="AB73" i="109"/>
  <c r="W73" i="109"/>
  <c r="AF76" i="109"/>
  <c r="Z76" i="109"/>
  <c r="U76" i="109"/>
  <c r="AD75" i="109"/>
  <c r="X75" i="109"/>
  <c r="AG74" i="109"/>
  <c r="AB74" i="109"/>
  <c r="V74" i="109"/>
  <c r="AE73" i="109"/>
  <c r="Z73" i="109"/>
  <c r="AF71" i="109"/>
  <c r="AD73" i="109"/>
  <c r="Z74" i="109"/>
  <c r="W75" i="109"/>
  <c r="AH75" i="109"/>
  <c r="AD76" i="109"/>
  <c r="AE83" i="109"/>
  <c r="AA83" i="109"/>
  <c r="W83" i="109"/>
  <c r="AG82" i="109"/>
  <c r="AC82" i="109"/>
  <c r="Y82" i="109"/>
  <c r="U82" i="109"/>
  <c r="AE81" i="109"/>
  <c r="AA81" i="109"/>
  <c r="W81" i="109"/>
  <c r="AG80" i="109"/>
  <c r="AC80" i="109"/>
  <c r="Y80" i="109"/>
  <c r="U80" i="109"/>
  <c r="AF83" i="109"/>
  <c r="Z83" i="109"/>
  <c r="U83" i="109"/>
  <c r="AD82" i="109"/>
  <c r="X82" i="109"/>
  <c r="AG81" i="109"/>
  <c r="AB81" i="109"/>
  <c r="V81" i="109"/>
  <c r="AE80" i="109"/>
  <c r="Z80" i="109"/>
  <c r="AF78" i="109"/>
  <c r="AD83" i="109"/>
  <c r="Y83" i="109"/>
  <c r="AH82" i="109"/>
  <c r="AB82" i="109"/>
  <c r="W82" i="109"/>
  <c r="AF81" i="109"/>
  <c r="Z81" i="109"/>
  <c r="U81" i="109"/>
  <c r="AH83" i="109"/>
  <c r="AC83" i="109"/>
  <c r="X83" i="109"/>
  <c r="AF82" i="109"/>
  <c r="AA82" i="109"/>
  <c r="V82" i="109"/>
  <c r="AD81" i="109"/>
  <c r="Y81" i="109"/>
  <c r="AH80" i="109"/>
  <c r="AB80" i="109"/>
  <c r="W80" i="109"/>
  <c r="AD80" i="109"/>
  <c r="AH81" i="109"/>
  <c r="AB83" i="109"/>
  <c r="AE90" i="109"/>
  <c r="AA90" i="109"/>
  <c r="W90" i="109"/>
  <c r="AG89" i="109"/>
  <c r="AC89" i="109"/>
  <c r="Y89" i="109"/>
  <c r="U89" i="109"/>
  <c r="AE88" i="109"/>
  <c r="AA88" i="109"/>
  <c r="W88" i="109"/>
  <c r="AG87" i="109"/>
  <c r="AC87" i="109"/>
  <c r="Y87" i="109"/>
  <c r="U87" i="109"/>
  <c r="AH90" i="109"/>
  <c r="AC90" i="109"/>
  <c r="X90" i="109"/>
  <c r="AF89" i="109"/>
  <c r="AA89" i="109"/>
  <c r="V89" i="109"/>
  <c r="AD88" i="109"/>
  <c r="Y88" i="109"/>
  <c r="AH87" i="109"/>
  <c r="AB87" i="109"/>
  <c r="W87" i="109"/>
  <c r="AG90" i="109"/>
  <c r="AB90" i="109"/>
  <c r="V90" i="109"/>
  <c r="AE89" i="109"/>
  <c r="Z89" i="109"/>
  <c r="AH88" i="109"/>
  <c r="AC88" i="109"/>
  <c r="X88" i="109"/>
  <c r="AF87" i="109"/>
  <c r="AA87" i="109"/>
  <c r="V87" i="109"/>
  <c r="AF90" i="109"/>
  <c r="Z90" i="109"/>
  <c r="U90" i="109"/>
  <c r="AD89" i="109"/>
  <c r="X89" i="109"/>
  <c r="AG88" i="109"/>
  <c r="AB88" i="109"/>
  <c r="V88" i="109"/>
  <c r="AE87" i="109"/>
  <c r="Z87" i="109"/>
  <c r="AF85" i="109"/>
  <c r="Z88" i="109"/>
  <c r="AH89" i="109"/>
  <c r="AE20" i="109"/>
  <c r="AA20" i="109"/>
  <c r="W20" i="109"/>
  <c r="AG19" i="109"/>
  <c r="AC19" i="109"/>
  <c r="Y19" i="109"/>
  <c r="U19" i="109"/>
  <c r="AE18" i="109"/>
  <c r="AA18" i="109"/>
  <c r="W18" i="109"/>
  <c r="AG17" i="109"/>
  <c r="AC17" i="109"/>
  <c r="Y17" i="109"/>
  <c r="U17" i="109"/>
  <c r="X17" i="109"/>
  <c r="AD17" i="109"/>
  <c r="U18" i="109"/>
  <c r="Z18" i="109"/>
  <c r="AF18" i="109"/>
  <c r="W19" i="109"/>
  <c r="AB19" i="109"/>
  <c r="AH19" i="109"/>
  <c r="Y20" i="109"/>
  <c r="AD20" i="109"/>
  <c r="Z26" i="109"/>
  <c r="AE26" i="109"/>
  <c r="V27" i="109"/>
  <c r="AC27" i="109"/>
  <c r="V32" i="109"/>
  <c r="AC32" i="109"/>
  <c r="W33" i="109"/>
  <c r="AD33" i="109"/>
  <c r="V34" i="109"/>
  <c r="AD34" i="109"/>
  <c r="X38" i="109"/>
  <c r="AF38" i="109"/>
  <c r="Y39" i="109"/>
  <c r="AF39" i="109"/>
  <c r="Z40" i="109"/>
  <c r="AF40" i="109"/>
  <c r="Y41" i="109"/>
  <c r="AE48" i="109"/>
  <c r="AA48" i="109"/>
  <c r="W48" i="109"/>
  <c r="AG47" i="109"/>
  <c r="AC47" i="109"/>
  <c r="Y47" i="109"/>
  <c r="U47" i="109"/>
  <c r="AE46" i="109"/>
  <c r="AA46" i="109"/>
  <c r="W46" i="109"/>
  <c r="AG45" i="109"/>
  <c r="AC45" i="109"/>
  <c r="Y45" i="109"/>
  <c r="U45" i="109"/>
  <c r="AH48" i="109"/>
  <c r="AC48" i="109"/>
  <c r="X48" i="109"/>
  <c r="AF47" i="109"/>
  <c r="AA47" i="109"/>
  <c r="V47" i="109"/>
  <c r="AD46" i="109"/>
  <c r="Y46" i="109"/>
  <c r="AH45" i="109"/>
  <c r="AB45" i="109"/>
  <c r="W45" i="109"/>
  <c r="Z45" i="109"/>
  <c r="AF45" i="109"/>
  <c r="Z46" i="109"/>
  <c r="AG46" i="109"/>
  <c r="Z47" i="109"/>
  <c r="AH47" i="109"/>
  <c r="Z48" i="109"/>
  <c r="AG48" i="109"/>
  <c r="V52" i="109"/>
  <c r="AF52" i="109"/>
  <c r="AC53" i="109"/>
  <c r="Z54" i="109"/>
  <c r="V55" i="109"/>
  <c r="AG55" i="109"/>
  <c r="V59" i="109"/>
  <c r="AF59" i="109"/>
  <c r="AC60" i="109"/>
  <c r="Z61" i="109"/>
  <c r="V62" i="109"/>
  <c r="AG62" i="109"/>
  <c r="V66" i="109"/>
  <c r="AF66" i="109"/>
  <c r="AC67" i="109"/>
  <c r="Z68" i="109"/>
  <c r="V69" i="109"/>
  <c r="AG69" i="109"/>
  <c r="V73" i="109"/>
  <c r="AF73" i="109"/>
  <c r="AC74" i="109"/>
  <c r="Z75" i="109"/>
  <c r="V76" i="109"/>
  <c r="AG76" i="109"/>
  <c r="V80" i="109"/>
  <c r="AF80" i="109"/>
  <c r="Z82" i="109"/>
  <c r="AG83" i="109"/>
  <c r="X87" i="109"/>
  <c r="AF88" i="109"/>
  <c r="Y90" i="109"/>
  <c r="AE41" i="109"/>
  <c r="AA41" i="109"/>
  <c r="W41" i="109"/>
  <c r="AG40" i="109"/>
  <c r="AC40" i="109"/>
  <c r="Y40" i="109"/>
  <c r="U40" i="109"/>
  <c r="AE39" i="109"/>
  <c r="AA39" i="109"/>
  <c r="W39" i="109"/>
  <c r="AG38" i="109"/>
  <c r="AC38" i="109"/>
  <c r="Y38" i="109"/>
  <c r="U38" i="109"/>
  <c r="AF41" i="109"/>
  <c r="Z41" i="109"/>
  <c r="U41" i="109"/>
  <c r="AD40" i="109"/>
  <c r="X40" i="109"/>
  <c r="AG39" i="109"/>
  <c r="AB39" i="109"/>
  <c r="V39" i="109"/>
  <c r="AE38" i="109"/>
  <c r="Z38" i="109"/>
  <c r="AF36" i="109"/>
  <c r="AA38" i="109"/>
  <c r="AH38" i="109"/>
  <c r="Z39" i="109"/>
  <c r="AH39" i="109"/>
  <c r="AA40" i="109"/>
  <c r="AH40" i="109"/>
  <c r="AB41" i="109"/>
  <c r="AH41" i="109"/>
  <c r="AB47" i="109"/>
  <c r="U48" i="109"/>
  <c r="AB48" i="109"/>
  <c r="X52" i="109"/>
  <c r="U53" i="109"/>
  <c r="AF53" i="109"/>
  <c r="AB54" i="109"/>
  <c r="Y55" i="109"/>
  <c r="X59" i="109"/>
  <c r="U60" i="109"/>
  <c r="AF60" i="109"/>
  <c r="AB61" i="109"/>
  <c r="Y62" i="109"/>
  <c r="X66" i="109"/>
  <c r="U67" i="109"/>
  <c r="AF67" i="109"/>
  <c r="AB68" i="109"/>
  <c r="Y69" i="109"/>
  <c r="X73" i="109"/>
  <c r="U74" i="109"/>
  <c r="AF74" i="109"/>
  <c r="AB75" i="109"/>
  <c r="Y76" i="109"/>
  <c r="X80" i="109"/>
  <c r="X81" i="109"/>
  <c r="AE82" i="109"/>
  <c r="AD87" i="109"/>
  <c r="W89" i="109"/>
  <c r="AD90" i="109"/>
  <c r="X95" i="109"/>
  <c r="AC95" i="109"/>
  <c r="AH95" i="109"/>
  <c r="Z96" i="109"/>
  <c r="AE96" i="109"/>
  <c r="V97" i="109"/>
  <c r="AB97" i="109"/>
  <c r="AG97" i="109"/>
  <c r="O13" i="108"/>
  <c r="K13" i="108"/>
  <c r="G13" i="108"/>
  <c r="C13" i="108"/>
  <c r="R12" i="108"/>
  <c r="N12" i="108"/>
  <c r="J12" i="108"/>
  <c r="F12" i="108"/>
  <c r="Q11" i="108"/>
  <c r="M11" i="108"/>
  <c r="I11" i="108"/>
  <c r="E11" i="108"/>
  <c r="P10" i="108"/>
  <c r="L10" i="108"/>
  <c r="H10" i="108"/>
  <c r="D10" i="108"/>
  <c r="P8" i="108"/>
  <c r="Q13" i="108"/>
  <c r="L13" i="108"/>
  <c r="F13" i="108"/>
  <c r="M12" i="108"/>
  <c r="H12" i="108"/>
  <c r="C12" i="108"/>
  <c r="O11" i="108"/>
  <c r="J11" i="108"/>
  <c r="D11" i="108"/>
  <c r="Q10" i="108"/>
  <c r="K10" i="108"/>
  <c r="F10" i="108"/>
  <c r="E10" i="108"/>
  <c r="M10" i="108"/>
  <c r="C11" i="108"/>
  <c r="K11" i="108"/>
  <c r="R11" i="108"/>
  <c r="I12" i="108"/>
  <c r="P12" i="108"/>
  <c r="H13" i="108"/>
  <c r="N13" i="108"/>
  <c r="W94" i="109"/>
  <c r="AB94" i="109"/>
  <c r="AH94" i="109"/>
  <c r="Y95" i="109"/>
  <c r="AD95" i="109"/>
  <c r="V96" i="109"/>
  <c r="AA96" i="109"/>
  <c r="AF96" i="109"/>
  <c r="X97" i="109"/>
  <c r="AC97" i="109"/>
  <c r="G10" i="108"/>
  <c r="N10" i="108"/>
  <c r="F11" i="108"/>
  <c r="L11" i="108"/>
  <c r="D12" i="108"/>
  <c r="K12" i="108"/>
  <c r="Q12" i="108"/>
  <c r="I13" i="108"/>
  <c r="P13" i="108"/>
  <c r="AJ20" i="108"/>
  <c r="AF20" i="108"/>
  <c r="AI19" i="108"/>
  <c r="AE19" i="108"/>
  <c r="AH18" i="108"/>
  <c r="U18" i="108"/>
  <c r="AG17" i="108"/>
  <c r="AI20" i="108"/>
  <c r="U20" i="108"/>
  <c r="AF19" i="108"/>
  <c r="AG18" i="108"/>
  <c r="AI17" i="108"/>
  <c r="U17" i="108"/>
  <c r="AE17" i="108"/>
  <c r="AJ18" i="108"/>
  <c r="AH19" i="108"/>
  <c r="AG20" i="108"/>
  <c r="R34" i="108"/>
  <c r="N34" i="108"/>
  <c r="J34" i="108"/>
  <c r="F34" i="108"/>
  <c r="R33" i="108"/>
  <c r="N33" i="108"/>
  <c r="J33" i="108"/>
  <c r="F33" i="108"/>
  <c r="R32" i="108"/>
  <c r="N32" i="108"/>
  <c r="J32" i="108"/>
  <c r="F32" i="108"/>
  <c r="R31" i="108"/>
  <c r="N31" i="108"/>
  <c r="J31" i="108"/>
  <c r="F31" i="108"/>
  <c r="M34" i="108"/>
  <c r="H34" i="108"/>
  <c r="C34" i="108"/>
  <c r="M33" i="108"/>
  <c r="H33" i="108"/>
  <c r="C33" i="108"/>
  <c r="M32" i="108"/>
  <c r="H32" i="108"/>
  <c r="C32" i="108"/>
  <c r="M31" i="108"/>
  <c r="H31" i="108"/>
  <c r="C31" i="108"/>
  <c r="I31" i="108"/>
  <c r="P31" i="108"/>
  <c r="E32" i="108"/>
  <c r="L32" i="108"/>
  <c r="I33" i="108"/>
  <c r="P33" i="108"/>
  <c r="E34" i="108"/>
  <c r="L34" i="108"/>
  <c r="R55" i="108"/>
  <c r="N55" i="108"/>
  <c r="J55" i="108"/>
  <c r="F55" i="108"/>
  <c r="R54" i="108"/>
  <c r="N54" i="108"/>
  <c r="J54" i="108"/>
  <c r="F54" i="108"/>
  <c r="R53" i="108"/>
  <c r="N53" i="108"/>
  <c r="J53" i="108"/>
  <c r="F53" i="108"/>
  <c r="R52" i="108"/>
  <c r="N52" i="108"/>
  <c r="J52" i="108"/>
  <c r="F52" i="108"/>
  <c r="O55" i="108"/>
  <c r="I55" i="108"/>
  <c r="D55" i="108"/>
  <c r="O54" i="108"/>
  <c r="I54" i="108"/>
  <c r="D54" i="108"/>
  <c r="O53" i="108"/>
  <c r="I53" i="108"/>
  <c r="D53" i="108"/>
  <c r="O52" i="108"/>
  <c r="I52" i="108"/>
  <c r="D52" i="108"/>
  <c r="P55" i="108"/>
  <c r="H55" i="108"/>
  <c r="L54" i="108"/>
  <c r="E54" i="108"/>
  <c r="P53" i="108"/>
  <c r="H53" i="108"/>
  <c r="L52" i="108"/>
  <c r="E52" i="108"/>
  <c r="L55" i="108"/>
  <c r="E55" i="108"/>
  <c r="P54" i="108"/>
  <c r="H54" i="108"/>
  <c r="L53" i="108"/>
  <c r="E53" i="108"/>
  <c r="P52" i="108"/>
  <c r="H52" i="108"/>
  <c r="M52" i="108"/>
  <c r="G53" i="108"/>
  <c r="M54" i="108"/>
  <c r="G55" i="108"/>
  <c r="K59" i="108"/>
  <c r="J60" i="108"/>
  <c r="I61" i="108"/>
  <c r="AE97" i="109"/>
  <c r="AA97" i="109"/>
  <c r="W97" i="109"/>
  <c r="AG96" i="109"/>
  <c r="AC96" i="109"/>
  <c r="Y96" i="109"/>
  <c r="U96" i="109"/>
  <c r="AE95" i="109"/>
  <c r="AA95" i="109"/>
  <c r="W95" i="109"/>
  <c r="AG94" i="109"/>
  <c r="AC94" i="109"/>
  <c r="Y94" i="109"/>
  <c r="U94" i="109"/>
  <c r="X94" i="109"/>
  <c r="AD94" i="109"/>
  <c r="U95" i="109"/>
  <c r="Z95" i="109"/>
  <c r="AF95" i="109"/>
  <c r="W96" i="109"/>
  <c r="AB96" i="109"/>
  <c r="AH96" i="109"/>
  <c r="Y97" i="109"/>
  <c r="AD97" i="109"/>
  <c r="I10" i="108"/>
  <c r="O10" i="108"/>
  <c r="G11" i="108"/>
  <c r="N11" i="108"/>
  <c r="E12" i="108"/>
  <c r="L12" i="108"/>
  <c r="D13" i="108"/>
  <c r="J13" i="108"/>
  <c r="R13" i="108"/>
  <c r="P62" i="108"/>
  <c r="L62" i="108"/>
  <c r="H62" i="108"/>
  <c r="D62" i="108"/>
  <c r="P61" i="108"/>
  <c r="L61" i="108"/>
  <c r="H61" i="108"/>
  <c r="D61" i="108"/>
  <c r="P60" i="108"/>
  <c r="L60" i="108"/>
  <c r="H60" i="108"/>
  <c r="D60" i="108"/>
  <c r="P59" i="108"/>
  <c r="L59" i="108"/>
  <c r="H59" i="108"/>
  <c r="D59" i="108"/>
  <c r="R62" i="108"/>
  <c r="M62" i="108"/>
  <c r="G62" i="108"/>
  <c r="R61" i="108"/>
  <c r="M61" i="108"/>
  <c r="G61" i="108"/>
  <c r="R60" i="108"/>
  <c r="M60" i="108"/>
  <c r="G60" i="108"/>
  <c r="R59" i="108"/>
  <c r="M59" i="108"/>
  <c r="G59" i="108"/>
  <c r="K62" i="108"/>
  <c r="E62" i="108"/>
  <c r="N61" i="108"/>
  <c r="F61" i="108"/>
  <c r="O60" i="108"/>
  <c r="I60" i="108"/>
  <c r="Q59" i="108"/>
  <c r="J59" i="108"/>
  <c r="C59" i="108"/>
  <c r="O62" i="108"/>
  <c r="I62" i="108"/>
  <c r="Q61" i="108"/>
  <c r="J61" i="108"/>
  <c r="C61" i="108"/>
  <c r="K60" i="108"/>
  <c r="E60" i="108"/>
  <c r="N59" i="108"/>
  <c r="F59" i="108"/>
  <c r="O59" i="108"/>
  <c r="N60" i="108"/>
  <c r="K61" i="108"/>
  <c r="J62" i="108"/>
  <c r="AF92" i="109"/>
  <c r="Z94" i="109"/>
  <c r="AE94" i="109"/>
  <c r="V95" i="109"/>
  <c r="AB95" i="109"/>
  <c r="AG95" i="109"/>
  <c r="X96" i="109"/>
  <c r="AD96" i="109"/>
  <c r="U97" i="109"/>
  <c r="Z97" i="109"/>
  <c r="AF97" i="109"/>
  <c r="C10" i="108"/>
  <c r="J10" i="108"/>
  <c r="R10" i="108"/>
  <c r="H11" i="108"/>
  <c r="P11" i="108"/>
  <c r="G12" i="108"/>
  <c r="O12" i="108"/>
  <c r="E13" i="108"/>
  <c r="M13" i="108"/>
  <c r="Q20" i="108"/>
  <c r="M20" i="108"/>
  <c r="I20" i="108"/>
  <c r="E20" i="108"/>
  <c r="P19" i="108"/>
  <c r="L19" i="108"/>
  <c r="H19" i="108"/>
  <c r="D19" i="108"/>
  <c r="O18" i="108"/>
  <c r="K18" i="108"/>
  <c r="G18" i="108"/>
  <c r="C18" i="108"/>
  <c r="R17" i="108"/>
  <c r="N17" i="108"/>
  <c r="J17" i="108"/>
  <c r="F17" i="108"/>
  <c r="N20" i="108"/>
  <c r="H20" i="108"/>
  <c r="C20" i="108"/>
  <c r="O19" i="108"/>
  <c r="J19" i="108"/>
  <c r="E19" i="108"/>
  <c r="Q18" i="108"/>
  <c r="L18" i="108"/>
  <c r="F18" i="108"/>
  <c r="M17" i="108"/>
  <c r="H17" i="108"/>
  <c r="C17" i="108"/>
  <c r="I17" i="108"/>
  <c r="P17" i="108"/>
  <c r="AH17" i="108"/>
  <c r="H18" i="108"/>
  <c r="N18" i="108"/>
  <c r="AF18" i="108"/>
  <c r="F19" i="108"/>
  <c r="M19" i="108"/>
  <c r="U19" i="108"/>
  <c r="D20" i="108"/>
  <c r="K20" i="108"/>
  <c r="R20" i="108"/>
  <c r="P27" i="108"/>
  <c r="L27" i="108"/>
  <c r="H27" i="108"/>
  <c r="D27" i="108"/>
  <c r="P26" i="108"/>
  <c r="L26" i="108"/>
  <c r="H26" i="108"/>
  <c r="D26" i="108"/>
  <c r="P25" i="108"/>
  <c r="L25" i="108"/>
  <c r="H25" i="108"/>
  <c r="D25" i="108"/>
  <c r="P24" i="108"/>
  <c r="L24" i="108"/>
  <c r="H24" i="108"/>
  <c r="D24" i="108"/>
  <c r="O27" i="108"/>
  <c r="J27" i="108"/>
  <c r="E27" i="108"/>
  <c r="O26" i="108"/>
  <c r="J26" i="108"/>
  <c r="E26" i="108"/>
  <c r="O25" i="108"/>
  <c r="J25" i="108"/>
  <c r="E25" i="108"/>
  <c r="O24" i="108"/>
  <c r="J24" i="108"/>
  <c r="E24" i="108"/>
  <c r="G24" i="108"/>
  <c r="N24" i="108"/>
  <c r="F25" i="108"/>
  <c r="M25" i="108"/>
  <c r="C26" i="108"/>
  <c r="K26" i="108"/>
  <c r="R26" i="108"/>
  <c r="I27" i="108"/>
  <c r="Q27" i="108"/>
  <c r="AJ34" i="108"/>
  <c r="AF34" i="108"/>
  <c r="AB34" i="108"/>
  <c r="X34" i="108"/>
  <c r="AJ33" i="108"/>
  <c r="AF33" i="108"/>
  <c r="AB33" i="108"/>
  <c r="X33" i="108"/>
  <c r="AJ32" i="108"/>
  <c r="AF32" i="108"/>
  <c r="AB32" i="108"/>
  <c r="X32" i="108"/>
  <c r="AJ31" i="108"/>
  <c r="AF31" i="108"/>
  <c r="AB31" i="108"/>
  <c r="X31" i="108"/>
  <c r="AE34" i="108"/>
  <c r="Z34" i="108"/>
  <c r="U34" i="108"/>
  <c r="AE33" i="108"/>
  <c r="Z33" i="108"/>
  <c r="U33" i="108"/>
  <c r="AE32" i="108"/>
  <c r="Z32" i="108"/>
  <c r="U32" i="108"/>
  <c r="AE31" i="108"/>
  <c r="Z31" i="108"/>
  <c r="U31" i="108"/>
  <c r="E31" i="108"/>
  <c r="L31" i="108"/>
  <c r="V31" i="108"/>
  <c r="AC31" i="108"/>
  <c r="AI31" i="108"/>
  <c r="I32" i="108"/>
  <c r="P32" i="108"/>
  <c r="Y32" i="108"/>
  <c r="AG32" i="108"/>
  <c r="E33" i="108"/>
  <c r="L33" i="108"/>
  <c r="V33" i="108"/>
  <c r="AC33" i="108"/>
  <c r="AI33" i="108"/>
  <c r="I34" i="108"/>
  <c r="P34" i="108"/>
  <c r="Y34" i="108"/>
  <c r="AG34" i="108"/>
  <c r="G52" i="108"/>
  <c r="M53" i="108"/>
  <c r="G54" i="108"/>
  <c r="M55" i="108"/>
  <c r="E59" i="108"/>
  <c r="C60" i="108"/>
  <c r="Q60" i="108"/>
  <c r="O61" i="108"/>
  <c r="N62" i="108"/>
  <c r="C87" i="107"/>
  <c r="G87" i="107"/>
  <c r="K87" i="107"/>
  <c r="O87" i="107"/>
  <c r="C88" i="107"/>
  <c r="G88" i="107"/>
  <c r="K88" i="107"/>
  <c r="O88" i="107"/>
  <c r="C89" i="107"/>
  <c r="G89" i="107"/>
  <c r="K89" i="107"/>
  <c r="O89" i="107"/>
  <c r="C90" i="107"/>
  <c r="G90" i="107"/>
  <c r="K90" i="107"/>
  <c r="C94" i="107"/>
  <c r="G94" i="107"/>
  <c r="K94" i="107"/>
  <c r="O94" i="107"/>
  <c r="C95" i="107"/>
  <c r="G95" i="107"/>
  <c r="K95" i="107"/>
  <c r="O95" i="107"/>
  <c r="C96" i="107"/>
  <c r="G96" i="107"/>
  <c r="K96" i="107"/>
  <c r="O96" i="107"/>
  <c r="C97" i="107"/>
  <c r="G97" i="107"/>
  <c r="K97" i="107"/>
  <c r="C101" i="107"/>
  <c r="G101" i="107"/>
  <c r="K101" i="107"/>
  <c r="O101" i="107"/>
  <c r="C102" i="107"/>
  <c r="G102" i="107"/>
  <c r="K102" i="107"/>
  <c r="O102" i="107"/>
  <c r="C103" i="107"/>
  <c r="G103" i="107"/>
  <c r="K103" i="107"/>
  <c r="O103" i="107"/>
  <c r="C104" i="107"/>
  <c r="G104" i="107"/>
  <c r="K104" i="107"/>
  <c r="C10" i="109"/>
  <c r="G10" i="109"/>
  <c r="K10" i="109"/>
  <c r="O10" i="109"/>
  <c r="E11" i="109"/>
  <c r="I11" i="109"/>
  <c r="M11" i="109"/>
  <c r="Q11" i="109"/>
  <c r="C12" i="109"/>
  <c r="G12" i="109"/>
  <c r="K12" i="109"/>
  <c r="O12" i="109"/>
  <c r="E13" i="109"/>
  <c r="I13" i="109"/>
  <c r="M13" i="109"/>
  <c r="C17" i="109"/>
  <c r="G17" i="109"/>
  <c r="K17" i="109"/>
  <c r="O17" i="109"/>
  <c r="E18" i="109"/>
  <c r="I18" i="109"/>
  <c r="M18" i="109"/>
  <c r="Q18" i="109"/>
  <c r="C19" i="109"/>
  <c r="G19" i="109"/>
  <c r="K19" i="109"/>
  <c r="O19" i="109"/>
  <c r="E20" i="109"/>
  <c r="I20" i="109"/>
  <c r="M20" i="109"/>
  <c r="C24" i="109"/>
  <c r="G24" i="109"/>
  <c r="K24" i="109"/>
  <c r="O24" i="109"/>
  <c r="E25" i="109"/>
  <c r="I25" i="109"/>
  <c r="M25" i="109"/>
  <c r="Q25" i="109"/>
  <c r="C26" i="109"/>
  <c r="G26" i="109"/>
  <c r="K26" i="109"/>
  <c r="O26" i="109"/>
  <c r="E27" i="109"/>
  <c r="I27" i="109"/>
  <c r="M27" i="109"/>
  <c r="C31" i="109"/>
  <c r="G31" i="109"/>
  <c r="K31" i="109"/>
  <c r="O31" i="109"/>
  <c r="E32" i="109"/>
  <c r="I32" i="109"/>
  <c r="M32" i="109"/>
  <c r="Q32" i="109"/>
  <c r="C33" i="109"/>
  <c r="G33" i="109"/>
  <c r="K33" i="109"/>
  <c r="O33" i="109"/>
  <c r="E34" i="109"/>
  <c r="I34" i="109"/>
  <c r="M34" i="109"/>
  <c r="C38" i="109"/>
  <c r="G38" i="109"/>
  <c r="K38" i="109"/>
  <c r="O38" i="109"/>
  <c r="E39" i="109"/>
  <c r="I39" i="109"/>
  <c r="M39" i="109"/>
  <c r="Q39" i="109"/>
  <c r="C40" i="109"/>
  <c r="G40" i="109"/>
  <c r="K40" i="109"/>
  <c r="O40" i="109"/>
  <c r="E41" i="109"/>
  <c r="I41" i="109"/>
  <c r="M41" i="109"/>
  <c r="C45" i="109"/>
  <c r="G45" i="109"/>
  <c r="K45" i="109"/>
  <c r="O45" i="109"/>
  <c r="E46" i="109"/>
  <c r="I46" i="109"/>
  <c r="M46" i="109"/>
  <c r="Q46" i="109"/>
  <c r="C47" i="109"/>
  <c r="G47" i="109"/>
  <c r="K47" i="109"/>
  <c r="O47" i="109"/>
  <c r="E48" i="109"/>
  <c r="I48" i="109"/>
  <c r="M48" i="109"/>
  <c r="C52" i="109"/>
  <c r="G52" i="109"/>
  <c r="K52" i="109"/>
  <c r="O52" i="109"/>
  <c r="E53" i="109"/>
  <c r="I53" i="109"/>
  <c r="M53" i="109"/>
  <c r="Q53" i="109"/>
  <c r="C54" i="109"/>
  <c r="G54" i="109"/>
  <c r="K54" i="109"/>
  <c r="O54" i="109"/>
  <c r="E55" i="109"/>
  <c r="I55" i="109"/>
  <c r="M55" i="109"/>
  <c r="C59" i="109"/>
  <c r="G59" i="109"/>
  <c r="K59" i="109"/>
  <c r="O59" i="109"/>
  <c r="E60" i="109"/>
  <c r="I60" i="109"/>
  <c r="M60" i="109"/>
  <c r="Q60" i="109"/>
  <c r="C61" i="109"/>
  <c r="G61" i="109"/>
  <c r="K61" i="109"/>
  <c r="O61" i="109"/>
  <c r="E62" i="109"/>
  <c r="I62" i="109"/>
  <c r="M62" i="109"/>
  <c r="C66" i="109"/>
  <c r="G66" i="109"/>
  <c r="K66" i="109"/>
  <c r="O66" i="109"/>
  <c r="E67" i="109"/>
  <c r="I67" i="109"/>
  <c r="M67" i="109"/>
  <c r="Q67" i="109"/>
  <c r="C68" i="109"/>
  <c r="G68" i="109"/>
  <c r="K68" i="109"/>
  <c r="O68" i="109"/>
  <c r="E69" i="109"/>
  <c r="I69" i="109"/>
  <c r="M69" i="109"/>
  <c r="C73" i="109"/>
  <c r="G73" i="109"/>
  <c r="K73" i="109"/>
  <c r="O73" i="109"/>
  <c r="E74" i="109"/>
  <c r="I74" i="109"/>
  <c r="M74" i="109"/>
  <c r="Q74" i="109"/>
  <c r="C75" i="109"/>
  <c r="G75" i="109"/>
  <c r="K75" i="109"/>
  <c r="O75" i="109"/>
  <c r="E76" i="109"/>
  <c r="I76" i="109"/>
  <c r="M76" i="109"/>
  <c r="C80" i="109"/>
  <c r="G80" i="109"/>
  <c r="K80" i="109"/>
  <c r="O80" i="109"/>
  <c r="E81" i="109"/>
  <c r="I81" i="109"/>
  <c r="M81" i="109"/>
  <c r="Q81" i="109"/>
  <c r="C82" i="109"/>
  <c r="G82" i="109"/>
  <c r="K82" i="109"/>
  <c r="O82" i="109"/>
  <c r="E83" i="109"/>
  <c r="I83" i="109"/>
  <c r="M83" i="109"/>
  <c r="C87" i="109"/>
  <c r="G87" i="109"/>
  <c r="K87" i="109"/>
  <c r="O87" i="109"/>
  <c r="E88" i="109"/>
  <c r="I88" i="109"/>
  <c r="M88" i="109"/>
  <c r="Q88" i="109"/>
  <c r="C89" i="109"/>
  <c r="G89" i="109"/>
  <c r="K89" i="109"/>
  <c r="O89" i="109"/>
  <c r="E90" i="109"/>
  <c r="I90" i="109"/>
  <c r="M90" i="109"/>
  <c r="C94" i="109"/>
  <c r="G94" i="109"/>
  <c r="K94" i="109"/>
  <c r="O94" i="109"/>
  <c r="E95" i="109"/>
  <c r="I95" i="109"/>
  <c r="M95" i="109"/>
  <c r="Q95" i="109"/>
  <c r="C96" i="109"/>
  <c r="G96" i="109"/>
  <c r="K96" i="109"/>
  <c r="O96" i="109"/>
  <c r="E97" i="109"/>
  <c r="I97" i="109"/>
  <c r="M97" i="109"/>
  <c r="P104" i="109"/>
  <c r="L104" i="109"/>
  <c r="H104" i="109"/>
  <c r="D104" i="109"/>
  <c r="P103" i="109"/>
  <c r="L103" i="109"/>
  <c r="H103" i="109"/>
  <c r="D103" i="109"/>
  <c r="P102" i="109"/>
  <c r="L102" i="109"/>
  <c r="H102" i="109"/>
  <c r="E101" i="109"/>
  <c r="I101" i="109"/>
  <c r="M101" i="109"/>
  <c r="Q101" i="109"/>
  <c r="E102" i="109"/>
  <c r="J102" i="109"/>
  <c r="O102" i="109"/>
  <c r="E103" i="109"/>
  <c r="J103" i="109"/>
  <c r="O103" i="109"/>
  <c r="E104" i="109"/>
  <c r="J104" i="109"/>
  <c r="O104" i="109"/>
  <c r="AH13" i="108"/>
  <c r="U13" i="108"/>
  <c r="AG12" i="108"/>
  <c r="AJ11" i="108"/>
  <c r="AF11" i="108"/>
  <c r="AI10" i="108"/>
  <c r="AE10" i="108"/>
  <c r="AG10" i="108"/>
  <c r="AE11" i="108"/>
  <c r="U12" i="108"/>
  <c r="AI12" i="108"/>
  <c r="AG13" i="108"/>
  <c r="P41" i="108"/>
  <c r="L41" i="108"/>
  <c r="H41" i="108"/>
  <c r="D41" i="108"/>
  <c r="P40" i="108"/>
  <c r="L40" i="108"/>
  <c r="H40" i="108"/>
  <c r="D40" i="108"/>
  <c r="P39" i="108"/>
  <c r="L39" i="108"/>
  <c r="H39" i="108"/>
  <c r="D39" i="108"/>
  <c r="P38" i="108"/>
  <c r="L38" i="108"/>
  <c r="H38" i="108"/>
  <c r="D38" i="108"/>
  <c r="F38" i="108"/>
  <c r="K38" i="108"/>
  <c r="Q38" i="108"/>
  <c r="F39" i="108"/>
  <c r="K39" i="108"/>
  <c r="Q39" i="108"/>
  <c r="F40" i="108"/>
  <c r="K40" i="108"/>
  <c r="Q40" i="108"/>
  <c r="F41" i="108"/>
  <c r="K41" i="108"/>
  <c r="Q41" i="108"/>
  <c r="AJ48" i="108"/>
  <c r="AF48" i="108"/>
  <c r="AB48" i="108"/>
  <c r="X48" i="108"/>
  <c r="AJ47" i="108"/>
  <c r="AF47" i="108"/>
  <c r="AB47" i="108"/>
  <c r="X47" i="108"/>
  <c r="AJ46" i="108"/>
  <c r="AF46" i="108"/>
  <c r="AB46" i="108"/>
  <c r="X46" i="108"/>
  <c r="AJ45" i="108"/>
  <c r="AF45" i="108"/>
  <c r="AB45" i="108"/>
  <c r="X45" i="108"/>
  <c r="D45" i="108"/>
  <c r="I45" i="108"/>
  <c r="O45" i="108"/>
  <c r="V45" i="108"/>
  <c r="AA45" i="108"/>
  <c r="AG45" i="108"/>
  <c r="D46" i="108"/>
  <c r="I46" i="108"/>
  <c r="O46" i="108"/>
  <c r="V46" i="108"/>
  <c r="AA46" i="108"/>
  <c r="AG46" i="108"/>
  <c r="D47" i="108"/>
  <c r="I47" i="108"/>
  <c r="O47" i="108"/>
  <c r="V47" i="108"/>
  <c r="AA47" i="108"/>
  <c r="AG47" i="108"/>
  <c r="D48" i="108"/>
  <c r="I48" i="108"/>
  <c r="V48" i="108"/>
  <c r="AA48" i="108"/>
  <c r="AG48" i="108"/>
  <c r="AJ69" i="108"/>
  <c r="AF69" i="108"/>
  <c r="AB69" i="108"/>
  <c r="X69" i="108"/>
  <c r="AJ68" i="108"/>
  <c r="AF68" i="108"/>
  <c r="AB68" i="108"/>
  <c r="X68" i="108"/>
  <c r="AJ67" i="108"/>
  <c r="AF67" i="108"/>
  <c r="AB67" i="108"/>
  <c r="X67" i="108"/>
  <c r="AJ66" i="108"/>
  <c r="AF66" i="108"/>
  <c r="AB66" i="108"/>
  <c r="X66" i="108"/>
  <c r="AH69" i="108"/>
  <c r="AC69" i="108"/>
  <c r="W69" i="108"/>
  <c r="AH68" i="108"/>
  <c r="AC68" i="108"/>
  <c r="W68" i="108"/>
  <c r="AH67" i="108"/>
  <c r="AC67" i="108"/>
  <c r="W67" i="108"/>
  <c r="AH66" i="108"/>
  <c r="AC66" i="108"/>
  <c r="W66" i="108"/>
  <c r="G66" i="108"/>
  <c r="M66" i="108"/>
  <c r="V66" i="108"/>
  <c r="AD66" i="108"/>
  <c r="C67" i="108"/>
  <c r="I67" i="108"/>
  <c r="Q67" i="108"/>
  <c r="Z67" i="108"/>
  <c r="AG67" i="108"/>
  <c r="G68" i="108"/>
  <c r="M68" i="108"/>
  <c r="V68" i="108"/>
  <c r="AD68" i="108"/>
  <c r="C69" i="108"/>
  <c r="I69" i="108"/>
  <c r="Z69" i="108"/>
  <c r="AG69" i="108"/>
  <c r="E73" i="108"/>
  <c r="K73" i="108"/>
  <c r="R73" i="108"/>
  <c r="J74" i="108"/>
  <c r="Q74" i="108"/>
  <c r="G75" i="108"/>
  <c r="O75" i="108"/>
  <c r="F76" i="108"/>
  <c r="R48" i="108"/>
  <c r="N48" i="108"/>
  <c r="J48" i="108"/>
  <c r="F48" i="108"/>
  <c r="R47" i="108"/>
  <c r="N47" i="108"/>
  <c r="J47" i="108"/>
  <c r="F47" i="108"/>
  <c r="R46" i="108"/>
  <c r="N46" i="108"/>
  <c r="J46" i="108"/>
  <c r="F46" i="108"/>
  <c r="R45" i="108"/>
  <c r="N45" i="108"/>
  <c r="J45" i="108"/>
  <c r="F45" i="108"/>
  <c r="P43" i="108"/>
  <c r="G45" i="108"/>
  <c r="L45" i="108"/>
  <c r="Q45" i="108"/>
  <c r="G46" i="108"/>
  <c r="L46" i="108"/>
  <c r="Q46" i="108"/>
  <c r="G47" i="108"/>
  <c r="L47" i="108"/>
  <c r="Q47" i="108"/>
  <c r="G48" i="108"/>
  <c r="L48" i="108"/>
  <c r="Q48" i="108"/>
  <c r="R69" i="108"/>
  <c r="N69" i="108"/>
  <c r="J69" i="108"/>
  <c r="F69" i="108"/>
  <c r="R68" i="108"/>
  <c r="N68" i="108"/>
  <c r="J68" i="108"/>
  <c r="F68" i="108"/>
  <c r="R67" i="108"/>
  <c r="N67" i="108"/>
  <c r="J67" i="108"/>
  <c r="F67" i="108"/>
  <c r="R66" i="108"/>
  <c r="N66" i="108"/>
  <c r="J66" i="108"/>
  <c r="F66" i="108"/>
  <c r="P69" i="108"/>
  <c r="K69" i="108"/>
  <c r="E69" i="108"/>
  <c r="P68" i="108"/>
  <c r="K68" i="108"/>
  <c r="E68" i="108"/>
  <c r="P67" i="108"/>
  <c r="K67" i="108"/>
  <c r="E67" i="108"/>
  <c r="P66" i="108"/>
  <c r="K66" i="108"/>
  <c r="E66" i="108"/>
  <c r="C66" i="108"/>
  <c r="I66" i="108"/>
  <c r="Q66" i="108"/>
  <c r="G67" i="108"/>
  <c r="M67" i="108"/>
  <c r="C68" i="108"/>
  <c r="I68" i="108"/>
  <c r="Q68" i="108"/>
  <c r="G69" i="108"/>
  <c r="M69" i="108"/>
  <c r="P76" i="108"/>
  <c r="L76" i="108"/>
  <c r="H76" i="108"/>
  <c r="D76" i="108"/>
  <c r="P75" i="108"/>
  <c r="L75" i="108"/>
  <c r="H75" i="108"/>
  <c r="D75" i="108"/>
  <c r="P74" i="108"/>
  <c r="L74" i="108"/>
  <c r="H74" i="108"/>
  <c r="D74" i="108"/>
  <c r="P73" i="108"/>
  <c r="L73" i="108"/>
  <c r="H73" i="108"/>
  <c r="D73" i="108"/>
  <c r="N76" i="108"/>
  <c r="I76" i="108"/>
  <c r="C76" i="108"/>
  <c r="N75" i="108"/>
  <c r="I75" i="108"/>
  <c r="C75" i="108"/>
  <c r="N74" i="108"/>
  <c r="I74" i="108"/>
  <c r="C74" i="108"/>
  <c r="N73" i="108"/>
  <c r="I73" i="108"/>
  <c r="C73" i="108"/>
  <c r="G73" i="108"/>
  <c r="O73" i="108"/>
  <c r="F74" i="108"/>
  <c r="M74" i="108"/>
  <c r="E75" i="108"/>
  <c r="K75" i="108"/>
  <c r="R75" i="108"/>
  <c r="J76" i="108"/>
  <c r="Q76" i="108"/>
  <c r="F101" i="108"/>
  <c r="N101" i="108"/>
  <c r="Q104" i="108"/>
  <c r="C104" i="108"/>
  <c r="M103" i="108"/>
  <c r="K103" i="108"/>
  <c r="C103" i="108"/>
  <c r="K102" i="108"/>
  <c r="G102" i="108"/>
  <c r="Q101" i="108"/>
  <c r="V24" i="108"/>
  <c r="Z24" i="108"/>
  <c r="AD24" i="108"/>
  <c r="AH24" i="108"/>
  <c r="V25" i="108"/>
  <c r="Z25" i="108"/>
  <c r="AD25" i="108"/>
  <c r="AH25" i="108"/>
  <c r="V26" i="108"/>
  <c r="Z26" i="108"/>
  <c r="AD26" i="108"/>
  <c r="AH26" i="108"/>
  <c r="V27" i="108"/>
  <c r="Z27" i="108"/>
  <c r="AD27" i="108"/>
  <c r="V38" i="108"/>
  <c r="Z38" i="108"/>
  <c r="AD38" i="108"/>
  <c r="AH38" i="108"/>
  <c r="V39" i="108"/>
  <c r="Z39" i="108"/>
  <c r="AD39" i="108"/>
  <c r="AH39" i="108"/>
  <c r="V40" i="108"/>
  <c r="Z40" i="108"/>
  <c r="AD40" i="108"/>
  <c r="AH40" i="108"/>
  <c r="V41" i="108"/>
  <c r="Z41" i="108"/>
  <c r="AD41" i="108"/>
  <c r="AJ55" i="108"/>
  <c r="AF55" i="108"/>
  <c r="AB55" i="108"/>
  <c r="X55" i="108"/>
  <c r="AJ54" i="108"/>
  <c r="AF54" i="108"/>
  <c r="AB54" i="108"/>
  <c r="X54" i="108"/>
  <c r="AJ53" i="108"/>
  <c r="AF53" i="108"/>
  <c r="AB53" i="108"/>
  <c r="X53" i="108"/>
  <c r="AJ52" i="108"/>
  <c r="AF52" i="108"/>
  <c r="AB52" i="108"/>
  <c r="X52" i="108"/>
  <c r="V52" i="108"/>
  <c r="AA52" i="108"/>
  <c r="AG52" i="108"/>
  <c r="V53" i="108"/>
  <c r="AA53" i="108"/>
  <c r="AG53" i="108"/>
  <c r="V54" i="108"/>
  <c r="AA54" i="108"/>
  <c r="AG54" i="108"/>
  <c r="V55" i="108"/>
  <c r="AA55" i="108"/>
  <c r="AG55" i="108"/>
  <c r="E94" i="108"/>
  <c r="M94" i="108"/>
  <c r="O94" i="108"/>
  <c r="Q94" i="108"/>
  <c r="E95" i="108"/>
  <c r="I95" i="108"/>
  <c r="M95" i="108"/>
  <c r="O95" i="108"/>
  <c r="I96" i="108"/>
  <c r="O96" i="108"/>
  <c r="Q96" i="108"/>
  <c r="E97" i="108"/>
  <c r="I97" i="108"/>
  <c r="O97" i="108"/>
  <c r="Q97" i="108"/>
  <c r="AG13" i="110"/>
  <c r="AC13" i="110"/>
  <c r="Y13" i="110"/>
  <c r="U13" i="110"/>
  <c r="AG12" i="110"/>
  <c r="AC12" i="110"/>
  <c r="Y12" i="110"/>
  <c r="U12" i="110"/>
  <c r="AG11" i="110"/>
  <c r="AC11" i="110"/>
  <c r="Y11" i="110"/>
  <c r="U11" i="110"/>
  <c r="AG10" i="110"/>
  <c r="AC10" i="110"/>
  <c r="Y10" i="110"/>
  <c r="U10" i="110"/>
  <c r="AH13" i="110"/>
  <c r="AB13" i="110"/>
  <c r="W13" i="110"/>
  <c r="AJ13" i="110"/>
  <c r="AD13" i="110"/>
  <c r="V13" i="110"/>
  <c r="AJ12" i="110"/>
  <c r="AE12" i="110"/>
  <c r="Z12" i="110"/>
  <c r="AJ11" i="110"/>
  <c r="AE11" i="110"/>
  <c r="Z11" i="110"/>
  <c r="AJ10" i="110"/>
  <c r="AE10" i="110"/>
  <c r="Z10" i="110"/>
  <c r="AH8" i="110"/>
  <c r="AE13" i="110"/>
  <c r="AD12" i="110"/>
  <c r="W12" i="110"/>
  <c r="AH11" i="110"/>
  <c r="AA11" i="110"/>
  <c r="AD10" i="110"/>
  <c r="W10" i="110"/>
  <c r="AA10" i="110"/>
  <c r="AI10" i="110"/>
  <c r="W11" i="110"/>
  <c r="AF11" i="110"/>
  <c r="AB12" i="110"/>
  <c r="AA13" i="110"/>
  <c r="V59" i="108"/>
  <c r="Z59" i="108"/>
  <c r="AD59" i="108"/>
  <c r="AH59" i="108"/>
  <c r="V60" i="108"/>
  <c r="Z60" i="108"/>
  <c r="AD60" i="108"/>
  <c r="AH60" i="108"/>
  <c r="V61" i="108"/>
  <c r="Z61" i="108"/>
  <c r="AD61" i="108"/>
  <c r="AH61" i="108"/>
  <c r="V62" i="108"/>
  <c r="Z62" i="108"/>
  <c r="AD62" i="108"/>
  <c r="O13" i="110"/>
  <c r="K13" i="110"/>
  <c r="G13" i="110"/>
  <c r="C13" i="110"/>
  <c r="O12" i="110"/>
  <c r="K12" i="110"/>
  <c r="G12" i="110"/>
  <c r="C12" i="110"/>
  <c r="O11" i="110"/>
  <c r="K11" i="110"/>
  <c r="G11" i="110"/>
  <c r="C11" i="110"/>
  <c r="P13" i="110"/>
  <c r="M13" i="110"/>
  <c r="H13" i="110"/>
  <c r="R12" i="110"/>
  <c r="M12" i="110"/>
  <c r="H12" i="110"/>
  <c r="R11" i="110"/>
  <c r="M11" i="110"/>
  <c r="H11" i="110"/>
  <c r="R10" i="110"/>
  <c r="N10" i="110"/>
  <c r="J10" i="110"/>
  <c r="F10" i="110"/>
  <c r="D10" i="110"/>
  <c r="I10" i="110"/>
  <c r="O10" i="110"/>
  <c r="D11" i="110"/>
  <c r="J11" i="110"/>
  <c r="Q11" i="110"/>
  <c r="F12" i="110"/>
  <c r="N12" i="110"/>
  <c r="D13" i="110"/>
  <c r="J13" i="110"/>
  <c r="R13" i="110"/>
  <c r="AG27" i="110"/>
  <c r="AC27" i="110"/>
  <c r="Y27" i="110"/>
  <c r="U27" i="110"/>
  <c r="AG26" i="110"/>
  <c r="AC26" i="110"/>
  <c r="Y26" i="110"/>
  <c r="U26" i="110"/>
  <c r="AG25" i="110"/>
  <c r="AC25" i="110"/>
  <c r="Y25" i="110"/>
  <c r="U25" i="110"/>
  <c r="AG24" i="110"/>
  <c r="AC24" i="110"/>
  <c r="Y24" i="110"/>
  <c r="U24" i="110"/>
  <c r="AI27" i="110"/>
  <c r="AD27" i="110"/>
  <c r="X27" i="110"/>
  <c r="AI26" i="110"/>
  <c r="AD26" i="110"/>
  <c r="X26" i="110"/>
  <c r="AI25" i="110"/>
  <c r="AD25" i="110"/>
  <c r="X25" i="110"/>
  <c r="AI24" i="110"/>
  <c r="AD24" i="110"/>
  <c r="X24" i="110"/>
  <c r="AF27" i="110"/>
  <c r="Z27" i="110"/>
  <c r="AJ26" i="110"/>
  <c r="AB26" i="110"/>
  <c r="V26" i="110"/>
  <c r="AF25" i="110"/>
  <c r="Z25" i="110"/>
  <c r="AJ24" i="110"/>
  <c r="AB24" i="110"/>
  <c r="V24" i="110"/>
  <c r="AJ27" i="110"/>
  <c r="AB27" i="110"/>
  <c r="V27" i="110"/>
  <c r="AF26" i="110"/>
  <c r="Z26" i="110"/>
  <c r="AJ25" i="110"/>
  <c r="AB25" i="110"/>
  <c r="V25" i="110"/>
  <c r="AF24" i="110"/>
  <c r="Z24" i="110"/>
  <c r="AA24" i="110"/>
  <c r="W25" i="110"/>
  <c r="AH26" i="110"/>
  <c r="AE27" i="110"/>
  <c r="AH27" i="110"/>
  <c r="AI62" i="110"/>
  <c r="AE62" i="110"/>
  <c r="AA62" i="110"/>
  <c r="W62" i="110"/>
  <c r="AI61" i="110"/>
  <c r="AE61" i="110"/>
  <c r="AA61" i="110"/>
  <c r="W61" i="110"/>
  <c r="AI60" i="110"/>
  <c r="AE60" i="110"/>
  <c r="AA60" i="110"/>
  <c r="W60" i="110"/>
  <c r="AI59" i="110"/>
  <c r="AE59" i="110"/>
  <c r="AA59" i="110"/>
  <c r="W59" i="110"/>
  <c r="AH57" i="110"/>
  <c r="AJ62" i="110"/>
  <c r="AD62" i="110"/>
  <c r="Y62" i="110"/>
  <c r="AJ61" i="110"/>
  <c r="AD61" i="110"/>
  <c r="Y61" i="110"/>
  <c r="AJ60" i="110"/>
  <c r="AD60" i="110"/>
  <c r="Y60" i="110"/>
  <c r="AJ59" i="110"/>
  <c r="AD59" i="110"/>
  <c r="Y59" i="110"/>
  <c r="AG62" i="110"/>
  <c r="AB62" i="110"/>
  <c r="V62" i="110"/>
  <c r="AG61" i="110"/>
  <c r="AB61" i="110"/>
  <c r="V61" i="110"/>
  <c r="AG60" i="110"/>
  <c r="AB60" i="110"/>
  <c r="V60" i="110"/>
  <c r="AG59" i="110"/>
  <c r="AB59" i="110"/>
  <c r="V59" i="110"/>
  <c r="Z59" i="110"/>
  <c r="U60" i="110"/>
  <c r="AF60" i="110"/>
  <c r="Z61" i="110"/>
  <c r="U62" i="110"/>
  <c r="AF62" i="110"/>
  <c r="F66" i="110"/>
  <c r="Q66" i="110"/>
  <c r="I67" i="110"/>
  <c r="L68" i="110"/>
  <c r="D69" i="110"/>
  <c r="N69" i="110"/>
  <c r="X20" i="110"/>
  <c r="AI34" i="110"/>
  <c r="AE34" i="110"/>
  <c r="AA34" i="110"/>
  <c r="W34" i="110"/>
  <c r="AI33" i="110"/>
  <c r="AE33" i="110"/>
  <c r="AA33" i="110"/>
  <c r="W33" i="110"/>
  <c r="AI32" i="110"/>
  <c r="AE32" i="110"/>
  <c r="AA32" i="110"/>
  <c r="W32" i="110"/>
  <c r="AI31" i="110"/>
  <c r="AE31" i="110"/>
  <c r="AA31" i="110"/>
  <c r="W31" i="110"/>
  <c r="AG34" i="110"/>
  <c r="AB34" i="110"/>
  <c r="V34" i="110"/>
  <c r="AG33" i="110"/>
  <c r="AB33" i="110"/>
  <c r="V33" i="110"/>
  <c r="AG32" i="110"/>
  <c r="AB32" i="110"/>
  <c r="V32" i="110"/>
  <c r="AG31" i="110"/>
  <c r="AB31" i="110"/>
  <c r="V31" i="110"/>
  <c r="AJ34" i="110"/>
  <c r="AD34" i="110"/>
  <c r="Y34" i="110"/>
  <c r="AJ33" i="110"/>
  <c r="AD33" i="110"/>
  <c r="Y33" i="110"/>
  <c r="Y31" i="110"/>
  <c r="AF31" i="110"/>
  <c r="X32" i="110"/>
  <c r="AD32" i="110"/>
  <c r="U33" i="110"/>
  <c r="AF33" i="110"/>
  <c r="Z34" i="110"/>
  <c r="O41" i="110"/>
  <c r="K41" i="110"/>
  <c r="G41" i="110"/>
  <c r="C41" i="110"/>
  <c r="O40" i="110"/>
  <c r="K40" i="110"/>
  <c r="G40" i="110"/>
  <c r="C40" i="110"/>
  <c r="O39" i="110"/>
  <c r="K39" i="110"/>
  <c r="G39" i="110"/>
  <c r="C39" i="110"/>
  <c r="O38" i="110"/>
  <c r="K38" i="110"/>
  <c r="G38" i="110"/>
  <c r="C38" i="110"/>
  <c r="R41" i="110"/>
  <c r="M41" i="110"/>
  <c r="H41" i="110"/>
  <c r="R40" i="110"/>
  <c r="M40" i="110"/>
  <c r="H40" i="110"/>
  <c r="R39" i="110"/>
  <c r="M39" i="110"/>
  <c r="H39" i="110"/>
  <c r="R38" i="110"/>
  <c r="M38" i="110"/>
  <c r="H38" i="110"/>
  <c r="P41" i="110"/>
  <c r="J41" i="110"/>
  <c r="E41" i="110"/>
  <c r="P40" i="110"/>
  <c r="J40" i="110"/>
  <c r="E40" i="110"/>
  <c r="P39" i="110"/>
  <c r="J39" i="110"/>
  <c r="E39" i="110"/>
  <c r="P38" i="110"/>
  <c r="J38" i="110"/>
  <c r="E38" i="110"/>
  <c r="L38" i="110"/>
  <c r="L39" i="110"/>
  <c r="L40" i="110"/>
  <c r="L41" i="110"/>
  <c r="AB53" i="110"/>
  <c r="AB54" i="110"/>
  <c r="AC59" i="110"/>
  <c r="X60" i="110"/>
  <c r="AH60" i="110"/>
  <c r="AC61" i="110"/>
  <c r="X62" i="110"/>
  <c r="AH62" i="110"/>
  <c r="I66" i="110"/>
  <c r="L67" i="110"/>
  <c r="D68" i="110"/>
  <c r="N68" i="110"/>
  <c r="F69" i="110"/>
  <c r="Z62" i="110"/>
  <c r="O69" i="110"/>
  <c r="K69" i="110"/>
  <c r="G69" i="110"/>
  <c r="C69" i="110"/>
  <c r="O68" i="110"/>
  <c r="K68" i="110"/>
  <c r="G68" i="110"/>
  <c r="C68" i="110"/>
  <c r="O67" i="110"/>
  <c r="K67" i="110"/>
  <c r="G67" i="110"/>
  <c r="C67" i="110"/>
  <c r="O66" i="110"/>
  <c r="K66" i="110"/>
  <c r="G66" i="110"/>
  <c r="C66" i="110"/>
  <c r="P69" i="110"/>
  <c r="J69" i="110"/>
  <c r="E69" i="110"/>
  <c r="P68" i="110"/>
  <c r="J68" i="110"/>
  <c r="E68" i="110"/>
  <c r="P67" i="110"/>
  <c r="J67" i="110"/>
  <c r="E67" i="110"/>
  <c r="P66" i="110"/>
  <c r="J66" i="110"/>
  <c r="E66" i="110"/>
  <c r="R69" i="110"/>
  <c r="M69" i="110"/>
  <c r="H69" i="110"/>
  <c r="R68" i="110"/>
  <c r="M68" i="110"/>
  <c r="H68" i="110"/>
  <c r="R67" i="110"/>
  <c r="M67" i="110"/>
  <c r="H67" i="110"/>
  <c r="R66" i="110"/>
  <c r="M66" i="110"/>
  <c r="H66" i="110"/>
  <c r="L66" i="110"/>
  <c r="D67" i="110"/>
  <c r="N67" i="110"/>
  <c r="F68" i="110"/>
  <c r="Q68" i="110"/>
  <c r="I69" i="110"/>
  <c r="AI20" i="110"/>
  <c r="AE20" i="110"/>
  <c r="AA20" i="110"/>
  <c r="W20" i="110"/>
  <c r="AI19" i="110"/>
  <c r="AE19" i="110"/>
  <c r="AA19" i="110"/>
  <c r="W19" i="110"/>
  <c r="AI18" i="110"/>
  <c r="AE18" i="110"/>
  <c r="AA18" i="110"/>
  <c r="W18" i="110"/>
  <c r="AI17" i="110"/>
  <c r="AE17" i="110"/>
  <c r="AA17" i="110"/>
  <c r="W17" i="110"/>
  <c r="AF20" i="110"/>
  <c r="Z20" i="110"/>
  <c r="U20" i="110"/>
  <c r="AF19" i="110"/>
  <c r="Z19" i="110"/>
  <c r="U19" i="110"/>
  <c r="AF18" i="110"/>
  <c r="Z18" i="110"/>
  <c r="U18" i="110"/>
  <c r="AF17" i="110"/>
  <c r="Z17" i="110"/>
  <c r="U17" i="110"/>
  <c r="Y17" i="110"/>
  <c r="AG17" i="110"/>
  <c r="X18" i="110"/>
  <c r="AD18" i="110"/>
  <c r="V19" i="110"/>
  <c r="AC19" i="110"/>
  <c r="AJ19" i="110"/>
  <c r="AB20" i="110"/>
  <c r="AH20" i="110"/>
  <c r="U31" i="110"/>
  <c r="AC31" i="110"/>
  <c r="AJ31" i="110"/>
  <c r="Z32" i="110"/>
  <c r="AH32" i="110"/>
  <c r="Z33" i="110"/>
  <c r="U34" i="110"/>
  <c r="AF34" i="110"/>
  <c r="F38" i="110"/>
  <c r="Q38" i="110"/>
  <c r="F39" i="110"/>
  <c r="Q39" i="110"/>
  <c r="F40" i="110"/>
  <c r="Q40" i="110"/>
  <c r="F41" i="110"/>
  <c r="Q41" i="110"/>
  <c r="AG55" i="110"/>
  <c r="AC55" i="110"/>
  <c r="Y55" i="110"/>
  <c r="U55" i="110"/>
  <c r="AG54" i="110"/>
  <c r="AC54" i="110"/>
  <c r="Y54" i="110"/>
  <c r="U54" i="110"/>
  <c r="AG53" i="110"/>
  <c r="AC53" i="110"/>
  <c r="Y53" i="110"/>
  <c r="U53" i="110"/>
  <c r="AG52" i="110"/>
  <c r="AC52" i="110"/>
  <c r="Y52" i="110"/>
  <c r="U52" i="110"/>
  <c r="AF55" i="110"/>
  <c r="AA55" i="110"/>
  <c r="V55" i="110"/>
  <c r="AF54" i="110"/>
  <c r="AA54" i="110"/>
  <c r="V54" i="110"/>
  <c r="AF53" i="110"/>
  <c r="AA53" i="110"/>
  <c r="V53" i="110"/>
  <c r="AF52" i="110"/>
  <c r="AA52" i="110"/>
  <c r="V52" i="110"/>
  <c r="AI55" i="110"/>
  <c r="AD55" i="110"/>
  <c r="X55" i="110"/>
  <c r="AI54" i="110"/>
  <c r="AD54" i="110"/>
  <c r="X54" i="110"/>
  <c r="AI53" i="110"/>
  <c r="AD53" i="110"/>
  <c r="X53" i="110"/>
  <c r="AI52" i="110"/>
  <c r="AD52" i="110"/>
  <c r="X52" i="110"/>
  <c r="AH50" i="110"/>
  <c r="W52" i="110"/>
  <c r="AH52" i="110"/>
  <c r="W53" i="110"/>
  <c r="AH53" i="110"/>
  <c r="W54" i="110"/>
  <c r="AH54" i="110"/>
  <c r="W55" i="110"/>
  <c r="AH55" i="110"/>
  <c r="X59" i="110"/>
  <c r="AH59" i="110"/>
  <c r="AC60" i="110"/>
  <c r="X61" i="110"/>
  <c r="AH61" i="110"/>
  <c r="AC62" i="110"/>
  <c r="D66" i="110"/>
  <c r="N66" i="110"/>
  <c r="F67" i="110"/>
  <c r="Q67" i="110"/>
  <c r="I68" i="110"/>
  <c r="L69" i="110"/>
  <c r="AG41" i="110"/>
  <c r="AC41" i="110"/>
  <c r="Y41" i="110"/>
  <c r="U41" i="110"/>
  <c r="AG40" i="110"/>
  <c r="AC40" i="110"/>
  <c r="Y40" i="110"/>
  <c r="U40" i="110"/>
  <c r="AG39" i="110"/>
  <c r="AC39" i="110"/>
  <c r="Y39" i="110"/>
  <c r="U39" i="110"/>
  <c r="AG38" i="110"/>
  <c r="AC38" i="110"/>
  <c r="Y38" i="110"/>
  <c r="U38" i="110"/>
  <c r="W38" i="110"/>
  <c r="AB38" i="110"/>
  <c r="AH38" i="110"/>
  <c r="W39" i="110"/>
  <c r="AB39" i="110"/>
  <c r="AH39" i="110"/>
  <c r="W40" i="110"/>
  <c r="AB40" i="110"/>
  <c r="AH40" i="110"/>
  <c r="W41" i="110"/>
  <c r="AB41" i="110"/>
  <c r="AH41" i="110"/>
  <c r="U48" i="110"/>
  <c r="Z48" i="110"/>
  <c r="O55" i="110"/>
  <c r="K55" i="110"/>
  <c r="G55" i="110"/>
  <c r="C55" i="110"/>
  <c r="O54" i="110"/>
  <c r="K54" i="110"/>
  <c r="G54" i="110"/>
  <c r="C54" i="110"/>
  <c r="O53" i="110"/>
  <c r="K53" i="110"/>
  <c r="G53" i="110"/>
  <c r="C53" i="110"/>
  <c r="O52" i="110"/>
  <c r="K52" i="110"/>
  <c r="G52" i="110"/>
  <c r="C52" i="110"/>
  <c r="F52" i="110"/>
  <c r="L52" i="110"/>
  <c r="Q52" i="110"/>
  <c r="F53" i="110"/>
  <c r="L53" i="110"/>
  <c r="Q53" i="110"/>
  <c r="F54" i="110"/>
  <c r="L54" i="110"/>
  <c r="Q54" i="110"/>
  <c r="F55" i="110"/>
  <c r="L55" i="110"/>
  <c r="Q55" i="110"/>
  <c r="X76" i="110"/>
  <c r="AE74" i="110"/>
  <c r="AI83" i="110"/>
  <c r="AE83" i="110"/>
  <c r="AA83" i="110"/>
  <c r="Y83" i="110"/>
  <c r="AI82" i="110"/>
  <c r="AE82" i="110"/>
  <c r="AC82" i="110"/>
  <c r="AA82" i="110"/>
  <c r="Y82" i="110"/>
  <c r="U82" i="110"/>
  <c r="AG81" i="110"/>
  <c r="AA81" i="110"/>
  <c r="Y81" i="110"/>
  <c r="W81" i="110"/>
  <c r="AI80" i="110"/>
  <c r="AC80" i="110"/>
  <c r="AA80" i="110"/>
  <c r="Y80" i="110"/>
  <c r="AH83" i="110"/>
  <c r="AH82" i="110"/>
  <c r="AH81" i="110"/>
  <c r="Z81" i="110"/>
  <c r="AH80" i="110"/>
  <c r="AF80" i="110"/>
  <c r="AF82" i="110"/>
  <c r="O27" i="110"/>
  <c r="K27" i="110"/>
  <c r="G27" i="110"/>
  <c r="C27" i="110"/>
  <c r="O26" i="110"/>
  <c r="K26" i="110"/>
  <c r="G26" i="110"/>
  <c r="C26" i="110"/>
  <c r="O25" i="110"/>
  <c r="K25" i="110"/>
  <c r="G25" i="110"/>
  <c r="C25" i="110"/>
  <c r="O24" i="110"/>
  <c r="K24" i="110"/>
  <c r="G24" i="110"/>
  <c r="C24" i="110"/>
  <c r="F24" i="110"/>
  <c r="L24" i="110"/>
  <c r="Q24" i="110"/>
  <c r="F25" i="110"/>
  <c r="L25" i="110"/>
  <c r="Q25" i="110"/>
  <c r="F26" i="110"/>
  <c r="L26" i="110"/>
  <c r="Q26" i="110"/>
  <c r="F27" i="110"/>
  <c r="L27" i="110"/>
  <c r="Q27" i="110"/>
  <c r="Z38" i="110"/>
  <c r="AE38" i="110"/>
  <c r="AJ38" i="110"/>
  <c r="Z39" i="110"/>
  <c r="AE39" i="110"/>
  <c r="AJ39" i="110"/>
  <c r="Z40" i="110"/>
  <c r="AE40" i="110"/>
  <c r="AJ40" i="110"/>
  <c r="Z41" i="110"/>
  <c r="AE41" i="110"/>
  <c r="AJ41" i="110"/>
  <c r="AI48" i="110"/>
  <c r="AE48" i="110"/>
  <c r="AA48" i="110"/>
  <c r="W48" i="110"/>
  <c r="AI47" i="110"/>
  <c r="AE47" i="110"/>
  <c r="AA47" i="110"/>
  <c r="W47" i="110"/>
  <c r="AI46" i="110"/>
  <c r="AE46" i="110"/>
  <c r="AA46" i="110"/>
  <c r="W46" i="110"/>
  <c r="AI45" i="110"/>
  <c r="AE45" i="110"/>
  <c r="AA45" i="110"/>
  <c r="W45" i="110"/>
  <c r="X45" i="110"/>
  <c r="AC45" i="110"/>
  <c r="AH45" i="110"/>
  <c r="X46" i="110"/>
  <c r="AC46" i="110"/>
  <c r="AH46" i="110"/>
  <c r="X47" i="110"/>
  <c r="AC47" i="110"/>
  <c r="AH47" i="110"/>
  <c r="X48" i="110"/>
  <c r="AC48" i="110"/>
  <c r="AH48" i="110"/>
  <c r="D52" i="110"/>
  <c r="I52" i="110"/>
  <c r="N52" i="110"/>
  <c r="D53" i="110"/>
  <c r="I53" i="110"/>
  <c r="N53" i="110"/>
  <c r="D54" i="110"/>
  <c r="I54" i="110"/>
  <c r="N54" i="110"/>
  <c r="D55" i="110"/>
  <c r="I55" i="110"/>
  <c r="N55" i="110"/>
  <c r="AG69" i="110"/>
  <c r="AC69" i="110"/>
  <c r="Y69" i="110"/>
  <c r="U69" i="110"/>
  <c r="AG68" i="110"/>
  <c r="AC68" i="110"/>
  <c r="Y68" i="110"/>
  <c r="U68" i="110"/>
  <c r="AG67" i="110"/>
  <c r="AC67" i="110"/>
  <c r="Y67" i="110"/>
  <c r="U67" i="110"/>
  <c r="AG66" i="110"/>
  <c r="AC66" i="110"/>
  <c r="Y66" i="110"/>
  <c r="U66" i="110"/>
  <c r="W66" i="110"/>
  <c r="AB66" i="110"/>
  <c r="AH66" i="110"/>
  <c r="W67" i="110"/>
  <c r="AB67" i="110"/>
  <c r="AH67" i="110"/>
  <c r="W68" i="110"/>
  <c r="AB68" i="110"/>
  <c r="AH68" i="110"/>
  <c r="W69" i="110"/>
  <c r="AB69" i="110"/>
  <c r="AH69" i="110"/>
  <c r="O83" i="110"/>
  <c r="K83" i="110"/>
  <c r="Q81" i="110"/>
  <c r="G81" i="110"/>
  <c r="C81" i="110"/>
  <c r="C80" i="110"/>
  <c r="P82" i="110"/>
  <c r="P78" i="110"/>
  <c r="V80" i="110"/>
  <c r="V81" i="110"/>
  <c r="V82" i="110"/>
  <c r="AB82" i="110"/>
  <c r="V83" i="110"/>
  <c r="AG97" i="110"/>
  <c r="AG96" i="110"/>
  <c r="U96" i="110"/>
  <c r="U95" i="110"/>
  <c r="AF97" i="110"/>
  <c r="AF96" i="110"/>
  <c r="AF95" i="110"/>
  <c r="Z95" i="110"/>
  <c r="V95" i="110"/>
  <c r="AJ94" i="110"/>
  <c r="AH94" i="110"/>
  <c r="X94" i="110"/>
  <c r="Y94" i="110"/>
  <c r="E17" i="110"/>
  <c r="I17" i="110"/>
  <c r="M17" i="110"/>
  <c r="Q17" i="110"/>
  <c r="E18" i="110"/>
  <c r="I18" i="110"/>
  <c r="M18" i="110"/>
  <c r="Q18" i="110"/>
  <c r="E19" i="110"/>
  <c r="I19" i="110"/>
  <c r="M19" i="110"/>
  <c r="Q19" i="110"/>
  <c r="E20" i="110"/>
  <c r="I20" i="110"/>
  <c r="M20" i="110"/>
  <c r="E31" i="110"/>
  <c r="I31" i="110"/>
  <c r="M31" i="110"/>
  <c r="Q31" i="110"/>
  <c r="E32" i="110"/>
  <c r="I32" i="110"/>
  <c r="M32" i="110"/>
  <c r="Q32" i="110"/>
  <c r="E33" i="110"/>
  <c r="I33" i="110"/>
  <c r="M33" i="110"/>
  <c r="Q33" i="110"/>
  <c r="E34" i="110"/>
  <c r="I34" i="110"/>
  <c r="M34" i="110"/>
  <c r="E45" i="110"/>
  <c r="I45" i="110"/>
  <c r="M45" i="110"/>
  <c r="Q45" i="110"/>
  <c r="E46" i="110"/>
  <c r="I46" i="110"/>
  <c r="M46" i="110"/>
  <c r="Q46" i="110"/>
  <c r="E47" i="110"/>
  <c r="I47" i="110"/>
  <c r="M47" i="110"/>
  <c r="Q47" i="110"/>
  <c r="E48" i="110"/>
  <c r="I48" i="110"/>
  <c r="M48" i="110"/>
  <c r="E59" i="110"/>
  <c r="I59" i="110"/>
  <c r="M59" i="110"/>
  <c r="Q59" i="110"/>
  <c r="E60" i="110"/>
  <c r="I60" i="110"/>
  <c r="M60" i="110"/>
  <c r="Q60" i="110"/>
  <c r="E61" i="110"/>
  <c r="I61" i="110"/>
  <c r="M61" i="110"/>
  <c r="Q61" i="110"/>
  <c r="E62" i="110"/>
  <c r="I62" i="110"/>
  <c r="M62" i="110"/>
  <c r="Q76" i="110"/>
  <c r="M76" i="110"/>
  <c r="I76" i="110"/>
  <c r="E76" i="110"/>
  <c r="Q75" i="110"/>
  <c r="M75" i="110"/>
  <c r="I75" i="110"/>
  <c r="E75" i="110"/>
  <c r="Q74" i="110"/>
  <c r="M74" i="110"/>
  <c r="I74" i="110"/>
  <c r="E74" i="110"/>
  <c r="E73" i="110"/>
  <c r="I73" i="110"/>
  <c r="M73" i="110"/>
  <c r="Q73" i="110"/>
  <c r="D74" i="110"/>
  <c r="J74" i="110"/>
  <c r="O74" i="110"/>
  <c r="D75" i="110"/>
  <c r="J75" i="110"/>
  <c r="O75" i="110"/>
  <c r="D76" i="110"/>
  <c r="J76" i="110"/>
  <c r="O76" i="110"/>
  <c r="AF89" i="110"/>
  <c r="AD89" i="110"/>
  <c r="AJ88" i="110"/>
  <c r="AD88" i="110"/>
  <c r="Z87" i="110"/>
  <c r="H87" i="110"/>
  <c r="L87" i="110"/>
  <c r="P87" i="110"/>
  <c r="R87" i="110"/>
  <c r="D88" i="110"/>
  <c r="J88" i="110"/>
  <c r="R88" i="110"/>
  <c r="D89" i="110"/>
  <c r="J89" i="110"/>
  <c r="R89" i="110"/>
  <c r="D90" i="110"/>
  <c r="F90" i="110"/>
  <c r="AG104" i="110"/>
  <c r="AA104" i="110"/>
  <c r="U104" i="110"/>
  <c r="AG103" i="110"/>
  <c r="AA103" i="110"/>
  <c r="W103" i="110"/>
  <c r="U103" i="110"/>
  <c r="AG102" i="110"/>
  <c r="W102" i="110"/>
  <c r="AB104" i="110"/>
  <c r="AF103" i="110"/>
  <c r="AB103" i="110"/>
  <c r="AF102" i="110"/>
  <c r="AF101" i="110"/>
  <c r="AB101" i="110"/>
  <c r="AG101" i="110"/>
  <c r="AA101" i="110"/>
  <c r="W101" i="110"/>
  <c r="U101" i="110"/>
  <c r="D94" i="110"/>
  <c r="F94" i="110"/>
  <c r="H94" i="110"/>
  <c r="L94" i="110"/>
  <c r="N94" i="110"/>
  <c r="P94" i="110"/>
  <c r="H95" i="110"/>
  <c r="J95" i="110"/>
  <c r="N95" i="110"/>
  <c r="P95" i="110"/>
  <c r="R95" i="110"/>
  <c r="D96" i="110"/>
  <c r="F96" i="110"/>
  <c r="J96" i="110"/>
  <c r="L96" i="110"/>
  <c r="N96" i="110"/>
  <c r="P96" i="110"/>
  <c r="R96" i="110"/>
  <c r="D97" i="110"/>
  <c r="H97" i="110"/>
  <c r="J97" i="110"/>
  <c r="L97" i="110"/>
  <c r="N97" i="110"/>
  <c r="P97" i="110"/>
  <c r="E101" i="110"/>
  <c r="O101" i="110"/>
  <c r="E102" i="110"/>
  <c r="C96" i="110"/>
  <c r="G96" i="110"/>
  <c r="K96" i="110"/>
  <c r="O96" i="110"/>
  <c r="C97" i="110"/>
  <c r="G97" i="110"/>
  <c r="K97" i="110"/>
  <c r="O97" i="110"/>
  <c r="J101" i="110"/>
  <c r="J102" i="110"/>
  <c r="K6" i="95"/>
  <c r="K14" i="95"/>
  <c r="K10" i="95"/>
  <c r="J45" i="81" l="1"/>
  <c r="E52" i="81"/>
  <c r="AM204" i="100"/>
  <c r="AF198" i="100"/>
  <c r="AA199" i="100"/>
  <c r="AN199" i="100"/>
  <c r="AA204" i="100"/>
  <c r="M49" i="81"/>
  <c r="E49" i="81"/>
  <c r="E40" i="81"/>
  <c r="J61" i="81"/>
  <c r="M17" i="98"/>
  <c r="H96" i="98"/>
  <c r="H17" i="98"/>
  <c r="J17" i="98"/>
  <c r="H30" i="98"/>
  <c r="E73" i="81"/>
  <c r="F105" i="81"/>
  <c r="J39" i="81"/>
  <c r="AN197" i="100"/>
  <c r="AA202" i="100"/>
  <c r="AK202" i="100"/>
  <c r="AJ197" i="100"/>
  <c r="G97" i="98"/>
  <c r="AB203" i="100"/>
  <c r="AF205" i="100"/>
  <c r="AH202" i="100"/>
  <c r="AD202" i="100"/>
  <c r="AC198" i="100"/>
  <c r="AL197" i="100"/>
  <c r="AH198" i="100"/>
  <c r="AD200" i="100"/>
  <c r="AB204" i="100"/>
  <c r="AG205" i="100"/>
  <c r="AG200" i="100"/>
  <c r="AF200" i="100"/>
  <c r="AN204" i="100"/>
  <c r="AK197" i="100"/>
  <c r="AJ206" i="100"/>
  <c r="AI202" i="100"/>
  <c r="AI197" i="100"/>
  <c r="AH200" i="100"/>
  <c r="AM203" i="100"/>
  <c r="AA198" i="100"/>
  <c r="AD206" i="100"/>
  <c r="AD201" i="100"/>
  <c r="AC206" i="100"/>
  <c r="AM198" i="100"/>
  <c r="AJ202" i="100"/>
  <c r="AJ201" i="100"/>
  <c r="AA206" i="100"/>
  <c r="AK199" i="100"/>
  <c r="AH206" i="100"/>
  <c r="AH201" i="100"/>
  <c r="AH205" i="100"/>
  <c r="AN206" i="100"/>
  <c r="AN201" i="100"/>
  <c r="AM206" i="100"/>
  <c r="AM201" i="100"/>
  <c r="AD197" i="100"/>
  <c r="AC202" i="100"/>
  <c r="AC201" i="100"/>
  <c r="AL203" i="100"/>
  <c r="AA201" i="100"/>
  <c r="AH197" i="100"/>
  <c r="AI204" i="100"/>
  <c r="AN202" i="100"/>
  <c r="AM202" i="100"/>
  <c r="AM197" i="100"/>
  <c r="AM205" i="100"/>
  <c r="AF203" i="100"/>
  <c r="AE203" i="100"/>
  <c r="AC197" i="100"/>
  <c r="AB206" i="100"/>
  <c r="AL198" i="100"/>
  <c r="AC204" i="100"/>
  <c r="AA197" i="100"/>
  <c r="AJ204" i="100"/>
  <c r="AJ198" i="100"/>
  <c r="AG201" i="100"/>
  <c r="AF199" i="100"/>
  <c r="AC199" i="100"/>
  <c r="AF206" i="100"/>
  <c r="AF201" i="100"/>
  <c r="AE206" i="100"/>
  <c r="AE201" i="100"/>
  <c r="AE205" i="100"/>
  <c r="AM200" i="100"/>
  <c r="AL205" i="100"/>
  <c r="AL200" i="100"/>
  <c r="AE199" i="100"/>
  <c r="AB202" i="100"/>
  <c r="AB201" i="100"/>
  <c r="AJ205" i="100"/>
  <c r="AJ200" i="100"/>
  <c r="AG206" i="100"/>
  <c r="AG197" i="100"/>
  <c r="AN198" i="100"/>
  <c r="AA203" i="100"/>
  <c r="AK203" i="100"/>
  <c r="AF202" i="100"/>
  <c r="AF197" i="100"/>
  <c r="AE202" i="100"/>
  <c r="AE197" i="100"/>
  <c r="AE200" i="100"/>
  <c r="AD205" i="100"/>
  <c r="AK205" i="100"/>
  <c r="AD203" i="100"/>
  <c r="AB197" i="100"/>
  <c r="AB205" i="100"/>
  <c r="AB200" i="100"/>
  <c r="AG202" i="100"/>
  <c r="AI199" i="100"/>
  <c r="AH203" i="100"/>
  <c r="AG204" i="100"/>
  <c r="AG199" i="100"/>
  <c r="AL206" i="100"/>
  <c r="AC205" i="100"/>
  <c r="AK200" i="100"/>
  <c r="AD198" i="100"/>
  <c r="AI205" i="100"/>
  <c r="AI200" i="100"/>
  <c r="AB199" i="100"/>
  <c r="AH199" i="100"/>
  <c r="AN205" i="100"/>
  <c r="AN200" i="100"/>
  <c r="AL202" i="100"/>
  <c r="AL201" i="100"/>
  <c r="AK206" i="100"/>
  <c r="AK201" i="100"/>
  <c r="AC200" i="100"/>
  <c r="AI206" i="100"/>
  <c r="AI201" i="100"/>
  <c r="AA205" i="100"/>
  <c r="AA200" i="100"/>
  <c r="E88" i="81"/>
  <c r="E70" i="81"/>
  <c r="H92" i="81"/>
  <c r="E80" i="81"/>
  <c r="M55" i="81"/>
  <c r="K73" i="81"/>
  <c r="E30" i="101"/>
  <c r="E17" i="101"/>
  <c r="M62" i="81"/>
  <c r="M56" i="81"/>
  <c r="F117" i="81"/>
  <c r="H117" i="81"/>
  <c r="H42" i="81"/>
  <c r="G23" i="114"/>
  <c r="I18" i="117"/>
  <c r="M97" i="98"/>
  <c r="AJ112" i="98"/>
  <c r="E95" i="98"/>
  <c r="M97" i="101"/>
  <c r="L97" i="101"/>
  <c r="AH114" i="98"/>
  <c r="AJ107" i="98"/>
  <c r="G37" i="101"/>
  <c r="J17" i="114"/>
  <c r="G47" i="114"/>
  <c r="AF121" i="98"/>
  <c r="AD114" i="98"/>
  <c r="AH128" i="98"/>
  <c r="AJ113" i="98"/>
  <c r="P97" i="101"/>
  <c r="I54" i="106"/>
  <c r="I50" i="106"/>
  <c r="I42" i="106"/>
  <c r="I44" i="106"/>
  <c r="I37" i="106"/>
  <c r="I32" i="106"/>
  <c r="I23" i="106"/>
  <c r="I24" i="106"/>
  <c r="I19" i="106"/>
  <c r="I16" i="106"/>
  <c r="I11" i="106"/>
  <c r="I7" i="106"/>
  <c r="I38" i="106"/>
  <c r="I28" i="106"/>
  <c r="I20" i="106"/>
  <c r="I8" i="106"/>
  <c r="I53" i="106"/>
  <c r="I49" i="106"/>
  <c r="I41" i="106"/>
  <c r="I43" i="106"/>
  <c r="I36" i="106"/>
  <c r="I31" i="106"/>
  <c r="I27" i="106"/>
  <c r="I22" i="106"/>
  <c r="I18" i="106"/>
  <c r="I15" i="106"/>
  <c r="I10" i="106"/>
  <c r="I6" i="106"/>
  <c r="I52" i="106"/>
  <c r="I48" i="106"/>
  <c r="I47" i="106"/>
  <c r="I40" i="106"/>
  <c r="I39" i="106"/>
  <c r="I35" i="106"/>
  <c r="I34" i="106"/>
  <c r="I30" i="106"/>
  <c r="I29" i="106"/>
  <c r="I26" i="106"/>
  <c r="I21" i="106"/>
  <c r="I17" i="106"/>
  <c r="I14" i="106"/>
  <c r="I9" i="106"/>
  <c r="I51" i="106"/>
  <c r="I46" i="106"/>
  <c r="I45" i="106"/>
  <c r="I25" i="106"/>
  <c r="I13" i="106"/>
  <c r="I12" i="106"/>
  <c r="I33" i="106"/>
  <c r="X121" i="98"/>
  <c r="V114" i="98"/>
  <c r="AA105" i="98"/>
  <c r="G47" i="98"/>
  <c r="J38" i="81"/>
  <c r="E55" i="81"/>
  <c r="H28" i="101"/>
  <c r="H30" i="101" s="1"/>
  <c r="M53" i="81"/>
  <c r="M57" i="81"/>
  <c r="H30" i="114"/>
  <c r="AF107" i="98"/>
  <c r="D95" i="101"/>
  <c r="Z111" i="101"/>
  <c r="V111" i="101"/>
  <c r="X104" i="101"/>
  <c r="G14" i="87"/>
  <c r="E14" i="87" s="1"/>
  <c r="G18" i="87"/>
  <c r="H18" i="87" s="1"/>
  <c r="G16" i="87"/>
  <c r="H16" i="87" s="1"/>
  <c r="G20" i="87"/>
  <c r="H20" i="87" s="1"/>
  <c r="E62" i="81"/>
  <c r="H45" i="81"/>
  <c r="AG105" i="98"/>
  <c r="AG107" i="98"/>
  <c r="K96" i="101"/>
  <c r="R96" i="101"/>
  <c r="Q96" i="101"/>
  <c r="L96" i="101"/>
  <c r="N96" i="101"/>
  <c r="M96" i="101"/>
  <c r="H96" i="101"/>
  <c r="J96" i="101"/>
  <c r="I96" i="101"/>
  <c r="D96" i="101"/>
  <c r="E97" i="101"/>
  <c r="F96" i="101"/>
  <c r="D97" i="101"/>
  <c r="E96" i="101"/>
  <c r="P96" i="101"/>
  <c r="G15" i="87"/>
  <c r="H15" i="87" s="1"/>
  <c r="G17" i="87"/>
  <c r="H17" i="87" s="1"/>
  <c r="G19" i="87"/>
  <c r="H19" i="87" s="1"/>
  <c r="G22" i="87"/>
  <c r="G6" i="87"/>
  <c r="E6" i="87" s="1"/>
  <c r="G7" i="87"/>
  <c r="H7" i="87" s="1"/>
  <c r="G8" i="87"/>
  <c r="E8" i="87" s="1"/>
  <c r="G9" i="87"/>
  <c r="E9" i="87" s="1"/>
  <c r="G10" i="87"/>
  <c r="H10" i="87" s="1"/>
  <c r="G11" i="87"/>
  <c r="E11" i="87" s="1"/>
  <c r="G12" i="87"/>
  <c r="H12" i="87" s="1"/>
  <c r="G13" i="87"/>
  <c r="H13" i="87" s="1"/>
  <c r="E53" i="81"/>
  <c r="K30" i="114"/>
  <c r="E17" i="98"/>
  <c r="H121" i="81"/>
  <c r="I121" i="81" s="1"/>
  <c r="E43" i="81"/>
  <c r="H38" i="81"/>
  <c r="G23" i="98"/>
  <c r="F121" i="81"/>
  <c r="K79" i="81"/>
  <c r="H52" i="81"/>
  <c r="K30" i="98"/>
  <c r="H53" i="81"/>
  <c r="K75" i="81"/>
  <c r="E30" i="98"/>
  <c r="H113" i="81"/>
  <c r="I113" i="81" s="1"/>
  <c r="H78" i="81"/>
  <c r="H69" i="81"/>
  <c r="E77" i="81"/>
  <c r="F113" i="81"/>
  <c r="H84" i="81"/>
  <c r="M96" i="98"/>
  <c r="H94" i="101"/>
  <c r="V128" i="98"/>
  <c r="AJ120" i="98"/>
  <c r="Y124" i="101"/>
  <c r="V121" i="98"/>
  <c r="H86" i="81"/>
  <c r="AB128" i="98"/>
  <c r="I96" i="98"/>
  <c r="D94" i="101"/>
  <c r="O96" i="101"/>
  <c r="G96" i="101"/>
  <c r="E60" i="81"/>
  <c r="Y112" i="98"/>
  <c r="E96" i="98"/>
  <c r="E87" i="81"/>
  <c r="AJ127" i="98"/>
  <c r="AF118" i="101"/>
  <c r="AD111" i="101"/>
  <c r="AF104" i="101"/>
  <c r="I97" i="101"/>
  <c r="AJ124" i="101"/>
  <c r="M43" i="81"/>
  <c r="AG106" i="98"/>
  <c r="P94" i="101"/>
  <c r="AD128" i="98"/>
  <c r="AB121" i="98"/>
  <c r="Z114" i="98"/>
  <c r="AG124" i="101"/>
  <c r="X124" i="101"/>
  <c r="J18" i="117"/>
  <c r="K18" i="117"/>
  <c r="H70" i="81"/>
  <c r="E74" i="81"/>
  <c r="M17" i="114"/>
  <c r="AA121" i="98"/>
  <c r="AJ114" i="98"/>
  <c r="AB107" i="98"/>
  <c r="E97" i="98"/>
  <c r="V120" i="98"/>
  <c r="E94" i="101"/>
  <c r="H17" i="101"/>
  <c r="AA125" i="101"/>
  <c r="AC124" i="101"/>
  <c r="AB124" i="101"/>
  <c r="M17" i="101"/>
  <c r="AJ104" i="101"/>
  <c r="AH111" i="101"/>
  <c r="L94" i="101"/>
  <c r="H97" i="101"/>
  <c r="AB118" i="101"/>
  <c r="AH123" i="101"/>
  <c r="AB104" i="101"/>
  <c r="AK124" i="101"/>
  <c r="C96" i="101"/>
  <c r="W125" i="101"/>
  <c r="X118" i="101"/>
  <c r="AF124" i="101"/>
  <c r="AH107" i="98"/>
  <c r="V119" i="98"/>
  <c r="Q96" i="98"/>
  <c r="H95" i="98"/>
  <c r="AG128" i="98"/>
  <c r="C95" i="98"/>
  <c r="AC128" i="98"/>
  <c r="AI127" i="98"/>
  <c r="AE113" i="98"/>
  <c r="Y113" i="98"/>
  <c r="AF128" i="98"/>
  <c r="Y127" i="98"/>
  <c r="K95" i="98"/>
  <c r="AK128" i="98"/>
  <c r="AH121" i="98"/>
  <c r="AK114" i="98"/>
  <c r="AC105" i="98"/>
  <c r="Y114" i="98"/>
  <c r="AA119" i="98"/>
  <c r="AE111" i="98"/>
  <c r="AG118" i="98"/>
  <c r="AA107" i="98"/>
  <c r="V104" i="98"/>
  <c r="W105" i="98"/>
  <c r="X128" i="98"/>
  <c r="Z121" i="98"/>
  <c r="X114" i="98"/>
  <c r="Z107" i="98"/>
  <c r="AI120" i="98"/>
  <c r="AG113" i="98"/>
  <c r="AI106" i="98"/>
  <c r="AH105" i="98"/>
  <c r="AG121" i="98"/>
  <c r="AA120" i="98"/>
  <c r="AE112" i="98"/>
  <c r="V107" i="98"/>
  <c r="Y111" i="98"/>
  <c r="AG104" i="98"/>
  <c r="AA118" i="98"/>
  <c r="AJ111" i="98"/>
  <c r="AA104" i="98"/>
  <c r="AK121" i="98"/>
  <c r="AE120" i="98"/>
  <c r="AI114" i="98"/>
  <c r="AC113" i="98"/>
  <c r="AK107" i="98"/>
  <c r="AE106" i="98"/>
  <c r="W128" i="98"/>
  <c r="AD121" i="98"/>
  <c r="AB114" i="98"/>
  <c r="AD107" i="98"/>
  <c r="AC121" i="98"/>
  <c r="AF114" i="98"/>
  <c r="AC107" i="98"/>
  <c r="AG119" i="98"/>
  <c r="AE114" i="98"/>
  <c r="AA106" i="98"/>
  <c r="V105" i="98"/>
  <c r="V118" i="98"/>
  <c r="AE127" i="98"/>
  <c r="Y121" i="98"/>
  <c r="W114" i="98"/>
  <c r="Y107" i="98"/>
  <c r="W121" i="98"/>
  <c r="AA114" i="98"/>
  <c r="W107" i="98"/>
  <c r="AA127" i="98"/>
  <c r="AG120" i="98"/>
  <c r="V106" i="98"/>
  <c r="X107" i="98"/>
  <c r="Y128" i="98"/>
  <c r="Y126" i="98"/>
  <c r="AE121" i="98"/>
  <c r="Z120" i="98"/>
  <c r="AK118" i="98"/>
  <c r="AC114" i="98"/>
  <c r="X113" i="98"/>
  <c r="AI111" i="98"/>
  <c r="AE107" i="98"/>
  <c r="Z106" i="98"/>
  <c r="AK104" i="98"/>
  <c r="AE125" i="98"/>
  <c r="AI119" i="98"/>
  <c r="AD118" i="98"/>
  <c r="AG112" i="98"/>
  <c r="AB111" i="98"/>
  <c r="AI105" i="98"/>
  <c r="AD104" i="98"/>
  <c r="Q95" i="98"/>
  <c r="AK127" i="98"/>
  <c r="AK125" i="98"/>
  <c r="AH119" i="98"/>
  <c r="AC118" i="98"/>
  <c r="AK112" i="98"/>
  <c r="AF111" i="98"/>
  <c r="AC104" i="98"/>
  <c r="O95" i="98"/>
  <c r="AA125" i="98"/>
  <c r="C97" i="98"/>
  <c r="Z128" i="98"/>
  <c r="O96" i="98"/>
  <c r="AG127" i="98"/>
  <c r="AG125" i="98"/>
  <c r="AK119" i="98"/>
  <c r="AE118" i="98"/>
  <c r="AI112" i="98"/>
  <c r="AC111" i="98"/>
  <c r="AK105" i="98"/>
  <c r="AE104" i="98"/>
  <c r="W127" i="98"/>
  <c r="W125" i="98"/>
  <c r="AD119" i="98"/>
  <c r="Y118" i="98"/>
  <c r="AB112" i="98"/>
  <c r="W111" i="98"/>
  <c r="AD105" i="98"/>
  <c r="Y104" i="98"/>
  <c r="I95" i="98"/>
  <c r="AC127" i="98"/>
  <c r="AC125" i="98"/>
  <c r="AH120" i="98"/>
  <c r="AC119" i="98"/>
  <c r="W118" i="98"/>
  <c r="AK113" i="98"/>
  <c r="AF112" i="98"/>
  <c r="AA111" i="98"/>
  <c r="AH106" i="98"/>
  <c r="W104" i="98"/>
  <c r="G95" i="98"/>
  <c r="AI128" i="98"/>
  <c r="AI126" i="98"/>
  <c r="M95" i="98"/>
  <c r="K96" i="98"/>
  <c r="Y125" i="98"/>
  <c r="AK120" i="98"/>
  <c r="AE119" i="98"/>
  <c r="Z118" i="98"/>
  <c r="AI113" i="98"/>
  <c r="AC112" i="98"/>
  <c r="X111" i="98"/>
  <c r="AK106" i="98"/>
  <c r="AE105" i="98"/>
  <c r="Z104" i="98"/>
  <c r="AE128" i="98"/>
  <c r="AE126" i="98"/>
  <c r="AI121" i="98"/>
  <c r="AD120" i="98"/>
  <c r="Y119" i="98"/>
  <c r="AG114" i="98"/>
  <c r="AB113" i="98"/>
  <c r="W112" i="98"/>
  <c r="AI107" i="98"/>
  <c r="AD106" i="98"/>
  <c r="Y105" i="98"/>
  <c r="AK126" i="98"/>
  <c r="AC120" i="98"/>
  <c r="W119" i="98"/>
  <c r="AF113" i="98"/>
  <c r="AA112" i="98"/>
  <c r="AC106" i="98"/>
  <c r="AA128" i="98"/>
  <c r="AA126" i="98"/>
  <c r="G96" i="98"/>
  <c r="AG126" i="98"/>
  <c r="Z119" i="98"/>
  <c r="X112" i="98"/>
  <c r="Z105" i="98"/>
  <c r="W126" i="98"/>
  <c r="Y120" i="98"/>
  <c r="AI118" i="98"/>
  <c r="W113" i="98"/>
  <c r="AG111" i="98"/>
  <c r="Y106" i="98"/>
  <c r="AI104" i="98"/>
  <c r="AC126" i="98"/>
  <c r="W120" i="98"/>
  <c r="AH118" i="98"/>
  <c r="AA113" i="98"/>
  <c r="AK111" i="98"/>
  <c r="W106" i="98"/>
  <c r="AH104" i="98"/>
  <c r="AI125" i="98"/>
  <c r="E30" i="114"/>
  <c r="E83" i="81"/>
  <c r="E61" i="81"/>
  <c r="E79" i="81"/>
  <c r="I124" i="81"/>
  <c r="E38" i="81"/>
  <c r="H54" i="81"/>
  <c r="H46" i="81"/>
  <c r="E48" i="81"/>
  <c r="E71" i="81"/>
  <c r="K91" i="81"/>
  <c r="E82" i="81"/>
  <c r="E91" i="81"/>
  <c r="E44" i="81"/>
  <c r="I123" i="81"/>
  <c r="I115" i="81"/>
  <c r="I107" i="81"/>
  <c r="I99" i="81"/>
  <c r="M54" i="81"/>
  <c r="K17" i="115"/>
  <c r="J17" i="115"/>
  <c r="I17" i="115"/>
  <c r="AJ118" i="101"/>
  <c r="O94" i="101"/>
  <c r="G95" i="101"/>
  <c r="AI123" i="101"/>
  <c r="W118" i="101"/>
  <c r="AA111" i="101"/>
  <c r="W104" i="101"/>
  <c r="AI118" i="101"/>
  <c r="AD117" i="101"/>
  <c r="Y116" i="101"/>
  <c r="AG111" i="101"/>
  <c r="AB110" i="101"/>
  <c r="W109" i="101"/>
  <c r="AI104" i="101"/>
  <c r="AD103" i="101"/>
  <c r="Y102" i="101"/>
  <c r="AD125" i="101"/>
  <c r="O95" i="101"/>
  <c r="V125" i="101"/>
  <c r="AH118" i="101"/>
  <c r="AC117" i="101"/>
  <c r="AK111" i="101"/>
  <c r="AF110" i="101"/>
  <c r="AH104" i="101"/>
  <c r="AC103" i="101"/>
  <c r="Z124" i="101"/>
  <c r="K95" i="101"/>
  <c r="K94" i="101"/>
  <c r="AE123" i="101"/>
  <c r="V118" i="101"/>
  <c r="AG116" i="101"/>
  <c r="AA115" i="101"/>
  <c r="Y111" i="101"/>
  <c r="AJ109" i="101"/>
  <c r="AE108" i="101"/>
  <c r="V104" i="101"/>
  <c r="AG102" i="101"/>
  <c r="AA101" i="101"/>
  <c r="Z118" i="101"/>
  <c r="AK116" i="101"/>
  <c r="AE115" i="101"/>
  <c r="X111" i="101"/>
  <c r="AI109" i="101"/>
  <c r="AC108" i="101"/>
  <c r="Z104" i="101"/>
  <c r="AK102" i="101"/>
  <c r="AE101" i="101"/>
  <c r="AI122" i="101"/>
  <c r="AH117" i="101"/>
  <c r="AC116" i="101"/>
  <c r="W115" i="101"/>
  <c r="AK110" i="101"/>
  <c r="AF109" i="101"/>
  <c r="AA108" i="101"/>
  <c r="AH103" i="101"/>
  <c r="AC102" i="101"/>
  <c r="W101" i="101"/>
  <c r="AE125" i="101"/>
  <c r="AE122" i="101"/>
  <c r="AG117" i="101"/>
  <c r="AA116" i="101"/>
  <c r="V115" i="101"/>
  <c r="AJ110" i="101"/>
  <c r="AE109" i="101"/>
  <c r="Y108" i="101"/>
  <c r="AG103" i="101"/>
  <c r="AA102" i="101"/>
  <c r="V101" i="101"/>
  <c r="AA122" i="101"/>
  <c r="AK117" i="101"/>
  <c r="AE116" i="101"/>
  <c r="Z115" i="101"/>
  <c r="AI110" i="101"/>
  <c r="AC109" i="101"/>
  <c r="X108" i="101"/>
  <c r="AK103" i="101"/>
  <c r="AE102" i="101"/>
  <c r="Z101" i="101"/>
  <c r="W124" i="101"/>
  <c r="AD118" i="101"/>
  <c r="Y117" i="101"/>
  <c r="AI115" i="101"/>
  <c r="AB111" i="101"/>
  <c r="W110" i="101"/>
  <c r="AG108" i="101"/>
  <c r="AD104" i="101"/>
  <c r="Y103" i="101"/>
  <c r="AI101" i="101"/>
  <c r="W116" i="101"/>
  <c r="AA109" i="101"/>
  <c r="W102" i="101"/>
  <c r="AG118" i="101"/>
  <c r="AA117" i="101"/>
  <c r="V116" i="101"/>
  <c r="AJ111" i="101"/>
  <c r="AE110" i="101"/>
  <c r="Y109" i="101"/>
  <c r="AG104" i="101"/>
  <c r="AA103" i="101"/>
  <c r="V102" i="101"/>
  <c r="AK118" i="101"/>
  <c r="AE117" i="101"/>
  <c r="Z116" i="101"/>
  <c r="AI111" i="101"/>
  <c r="AC110" i="101"/>
  <c r="X109" i="101"/>
  <c r="AK104" i="101"/>
  <c r="AE103" i="101"/>
  <c r="Z102" i="101"/>
  <c r="W123" i="101"/>
  <c r="Y118" i="101"/>
  <c r="AI116" i="101"/>
  <c r="AD115" i="101"/>
  <c r="W111" i="101"/>
  <c r="AG109" i="101"/>
  <c r="AB108" i="101"/>
  <c r="Y104" i="101"/>
  <c r="AI102" i="101"/>
  <c r="AD101" i="101"/>
  <c r="AI124" i="101"/>
  <c r="AC118" i="101"/>
  <c r="W117" i="101"/>
  <c r="AH115" i="101"/>
  <c r="AF111" i="101"/>
  <c r="AA110" i="101"/>
  <c r="AK108" i="101"/>
  <c r="AC104" i="101"/>
  <c r="W103" i="101"/>
  <c r="AH101" i="101"/>
  <c r="AE124" i="101"/>
  <c r="AA118" i="101"/>
  <c r="V117" i="101"/>
  <c r="AG115" i="101"/>
  <c r="AE111" i="101"/>
  <c r="Y110" i="101"/>
  <c r="AJ108" i="101"/>
  <c r="AA104" i="101"/>
  <c r="V103" i="101"/>
  <c r="AG101" i="101"/>
  <c r="AA124" i="101"/>
  <c r="AE118" i="101"/>
  <c r="Z117" i="101"/>
  <c r="AK115" i="101"/>
  <c r="AC111" i="101"/>
  <c r="X110" i="101"/>
  <c r="AI108" i="101"/>
  <c r="AE104" i="101"/>
  <c r="Z103" i="101"/>
  <c r="AK101" i="101"/>
  <c r="W122" i="101"/>
  <c r="AI117" i="101"/>
  <c r="AD116" i="101"/>
  <c r="Y115" i="101"/>
  <c r="AG110" i="101"/>
  <c r="AB109" i="101"/>
  <c r="W108" i="101"/>
  <c r="AI103" i="101"/>
  <c r="AD102" i="101"/>
  <c r="Y101" i="101"/>
  <c r="AH116" i="101"/>
  <c r="AC115" i="101"/>
  <c r="AK109" i="101"/>
  <c r="AF108" i="101"/>
  <c r="AH102" i="101"/>
  <c r="AC101" i="101"/>
  <c r="AI125" i="101"/>
  <c r="AA123" i="101"/>
  <c r="M45" i="81"/>
  <c r="E54" i="81"/>
  <c r="I119" i="81"/>
  <c r="I111" i="81"/>
  <c r="I103" i="81"/>
  <c r="E50" i="81"/>
  <c r="E90" i="81"/>
  <c r="K83" i="81"/>
  <c r="E75" i="81"/>
  <c r="E63" i="81"/>
  <c r="E59" i="81"/>
  <c r="M41" i="81"/>
  <c r="M50" i="81"/>
  <c r="M42" i="81"/>
  <c r="I117" i="81"/>
  <c r="I109" i="81"/>
  <c r="I105" i="81"/>
  <c r="I101" i="81"/>
  <c r="H94" i="81"/>
  <c r="H50" i="81"/>
  <c r="E45" i="81"/>
  <c r="H82" i="81"/>
  <c r="H75" i="81"/>
  <c r="AB127" i="98"/>
  <c r="AB126" i="98"/>
  <c r="AB125" i="98"/>
  <c r="AH122" i="101"/>
  <c r="AJ117" i="101"/>
  <c r="AJ116" i="101"/>
  <c r="AJ115" i="101"/>
  <c r="AH110" i="101"/>
  <c r="AH109" i="101"/>
  <c r="AH108" i="101"/>
  <c r="AJ103" i="101"/>
  <c r="AJ102" i="101"/>
  <c r="AJ101" i="101"/>
  <c r="AH127" i="98"/>
  <c r="AH126" i="98"/>
  <c r="AH125" i="98"/>
  <c r="AF120" i="98"/>
  <c r="AF119" i="98"/>
  <c r="AF118" i="98"/>
  <c r="AD113" i="98"/>
  <c r="AD112" i="98"/>
  <c r="AD111" i="98"/>
  <c r="AF106" i="98"/>
  <c r="AF105" i="98"/>
  <c r="AF104" i="98"/>
  <c r="AK123" i="101"/>
  <c r="AK122" i="101"/>
  <c r="R95" i="101"/>
  <c r="C94" i="101"/>
  <c r="AJ123" i="101"/>
  <c r="AJ122" i="101"/>
  <c r="C97" i="101"/>
  <c r="E95" i="101"/>
  <c r="F94" i="101"/>
  <c r="AH125" i="101"/>
  <c r="F22" i="82"/>
  <c r="G22" i="82"/>
  <c r="G25" i="82"/>
  <c r="F25" i="82"/>
  <c r="J23" i="82"/>
  <c r="K23" i="82"/>
  <c r="J28" i="82"/>
  <c r="K28" i="82"/>
  <c r="G24" i="82"/>
  <c r="F24" i="82"/>
  <c r="F97" i="101"/>
  <c r="N96" i="98"/>
  <c r="AH124" i="101"/>
  <c r="L96" i="98"/>
  <c r="N97" i="101"/>
  <c r="C36" i="82"/>
  <c r="B36" i="82"/>
  <c r="F43" i="82"/>
  <c r="G43" i="82"/>
  <c r="C39" i="82"/>
  <c r="B39" i="82"/>
  <c r="F37" i="82"/>
  <c r="G37" i="82"/>
  <c r="G38" i="82"/>
  <c r="F38" i="82"/>
  <c r="H120" i="81"/>
  <c r="I120" i="81" s="1"/>
  <c r="F120" i="81"/>
  <c r="H116" i="81"/>
  <c r="I116" i="81" s="1"/>
  <c r="F116" i="81"/>
  <c r="H112" i="81"/>
  <c r="I112" i="81" s="1"/>
  <c r="F112" i="81"/>
  <c r="H108" i="81"/>
  <c r="I108" i="81" s="1"/>
  <c r="F108" i="81"/>
  <c r="H104" i="81"/>
  <c r="I104" i="81" s="1"/>
  <c r="F104" i="81"/>
  <c r="H100" i="81"/>
  <c r="I100" i="81" s="1"/>
  <c r="F100" i="81"/>
  <c r="H74" i="81"/>
  <c r="X127" i="98"/>
  <c r="X126" i="98"/>
  <c r="X125" i="98"/>
  <c r="AD124" i="101"/>
  <c r="AD123" i="101"/>
  <c r="AD122" i="101"/>
  <c r="AF117" i="101"/>
  <c r="AF116" i="101"/>
  <c r="AF115" i="101"/>
  <c r="AD110" i="101"/>
  <c r="AD109" i="101"/>
  <c r="AD108" i="101"/>
  <c r="AF103" i="101"/>
  <c r="AF102" i="101"/>
  <c r="AF101" i="101"/>
  <c r="AD127" i="98"/>
  <c r="AD126" i="98"/>
  <c r="AD125" i="98"/>
  <c r="AB120" i="98"/>
  <c r="AB119" i="98"/>
  <c r="AB118" i="98"/>
  <c r="Z113" i="98"/>
  <c r="Z112" i="98"/>
  <c r="Z111" i="98"/>
  <c r="AB106" i="98"/>
  <c r="AB105" i="98"/>
  <c r="AB104" i="98"/>
  <c r="AG123" i="101"/>
  <c r="AG122" i="101"/>
  <c r="N95" i="101"/>
  <c r="AF123" i="101"/>
  <c r="AF122" i="101"/>
  <c r="O97" i="101"/>
  <c r="Q95" i="101"/>
  <c r="R94" i="101"/>
  <c r="J97" i="101"/>
  <c r="K24" i="82"/>
  <c r="J24" i="82"/>
  <c r="J27" i="82"/>
  <c r="K27" i="82"/>
  <c r="K26" i="82"/>
  <c r="J26" i="82"/>
  <c r="G29" i="82"/>
  <c r="F29" i="82"/>
  <c r="J25" i="82"/>
  <c r="K25" i="82"/>
  <c r="H95" i="101"/>
  <c r="F96" i="98"/>
  <c r="R97" i="101"/>
  <c r="D96" i="98"/>
  <c r="P95" i="101"/>
  <c r="F39" i="82"/>
  <c r="G39" i="82"/>
  <c r="C35" i="82"/>
  <c r="B35" i="82"/>
  <c r="B37" i="82"/>
  <c r="C37" i="82"/>
  <c r="B41" i="82"/>
  <c r="C41" i="82"/>
  <c r="F40" i="82"/>
  <c r="G40" i="82"/>
  <c r="H91" i="81"/>
  <c r="AJ126" i="98"/>
  <c r="AJ125" i="98"/>
  <c r="Z123" i="101"/>
  <c r="Z122" i="101"/>
  <c r="AB117" i="101"/>
  <c r="AB116" i="101"/>
  <c r="AB115" i="101"/>
  <c r="Z110" i="101"/>
  <c r="Z109" i="101"/>
  <c r="Z108" i="101"/>
  <c r="AB103" i="101"/>
  <c r="AB102" i="101"/>
  <c r="AB101" i="101"/>
  <c r="Z127" i="98"/>
  <c r="Z126" i="98"/>
  <c r="Z125" i="98"/>
  <c r="X120" i="98"/>
  <c r="X119" i="98"/>
  <c r="X118" i="98"/>
  <c r="V113" i="98"/>
  <c r="V112" i="98"/>
  <c r="V111" i="98"/>
  <c r="X106" i="98"/>
  <c r="X105" i="98"/>
  <c r="X104" i="98"/>
  <c r="AC123" i="101"/>
  <c r="AC122" i="101"/>
  <c r="J95" i="101"/>
  <c r="AB123" i="101"/>
  <c r="AB122" i="101"/>
  <c r="K97" i="101"/>
  <c r="M95" i="101"/>
  <c r="N94" i="101"/>
  <c r="R96" i="98"/>
  <c r="AG125" i="101"/>
  <c r="L95" i="101"/>
  <c r="K22" i="82"/>
  <c r="J22" i="82"/>
  <c r="J20" i="82"/>
  <c r="K20" i="82"/>
  <c r="F23" i="82"/>
  <c r="G23" i="82"/>
  <c r="F20" i="82"/>
  <c r="G20" i="82"/>
  <c r="F28" i="82"/>
  <c r="G28" i="82"/>
  <c r="P96" i="98"/>
  <c r="AK125" i="101"/>
  <c r="I94" i="101"/>
  <c r="AJ125" i="101"/>
  <c r="AC125" i="101"/>
  <c r="Q94" i="101"/>
  <c r="C43" i="82"/>
  <c r="B43" i="82"/>
  <c r="C44" i="82"/>
  <c r="B44" i="82"/>
  <c r="C38" i="82"/>
  <c r="B38" i="82"/>
  <c r="C42" i="82"/>
  <c r="B42" i="82"/>
  <c r="G42" i="82"/>
  <c r="F42" i="82"/>
  <c r="H122" i="81"/>
  <c r="I122" i="81" s="1"/>
  <c r="F122" i="81"/>
  <c r="H118" i="81"/>
  <c r="I118" i="81" s="1"/>
  <c r="F118" i="81"/>
  <c r="H114" i="81"/>
  <c r="I114" i="81" s="1"/>
  <c r="F114" i="81"/>
  <c r="H110" i="81"/>
  <c r="I110" i="81" s="1"/>
  <c r="F110" i="81"/>
  <c r="H106" i="81"/>
  <c r="I106" i="81" s="1"/>
  <c r="F106" i="81"/>
  <c r="H102" i="81"/>
  <c r="I102" i="81" s="1"/>
  <c r="F102" i="81"/>
  <c r="H98" i="81"/>
  <c r="I98" i="81" s="1"/>
  <c r="F98" i="81"/>
  <c r="H90" i="81"/>
  <c r="H83" i="81"/>
  <c r="AF127" i="98"/>
  <c r="AF126" i="98"/>
  <c r="AF125" i="98"/>
  <c r="Z125" i="101"/>
  <c r="V124" i="101"/>
  <c r="V123" i="101"/>
  <c r="V122" i="101"/>
  <c r="X117" i="101"/>
  <c r="X116" i="101"/>
  <c r="X115" i="101"/>
  <c r="V110" i="101"/>
  <c r="V109" i="101"/>
  <c r="V108" i="101"/>
  <c r="X103" i="101"/>
  <c r="X102" i="101"/>
  <c r="X101" i="101"/>
  <c r="C95" i="101"/>
  <c r="V127" i="98"/>
  <c r="V126" i="98"/>
  <c r="V125" i="98"/>
  <c r="AJ119" i="98"/>
  <c r="AJ118" i="98"/>
  <c r="AH113" i="98"/>
  <c r="AH112" i="98"/>
  <c r="AH111" i="98"/>
  <c r="AJ106" i="98"/>
  <c r="AJ105" i="98"/>
  <c r="AJ104" i="98"/>
  <c r="Y123" i="101"/>
  <c r="Y122" i="101"/>
  <c r="F95" i="101"/>
  <c r="G94" i="101"/>
  <c r="X123" i="101"/>
  <c r="X122" i="101"/>
  <c r="G97" i="101"/>
  <c r="I95" i="101"/>
  <c r="J94" i="101"/>
  <c r="J96" i="98"/>
  <c r="AB125" i="101"/>
  <c r="M94" i="101"/>
  <c r="G27" i="82"/>
  <c r="F27" i="82"/>
  <c r="G21" i="82"/>
  <c r="F21" i="82"/>
  <c r="F26" i="82"/>
  <c r="G26" i="82"/>
  <c r="K21" i="82"/>
  <c r="J21" i="82"/>
  <c r="K29" i="82"/>
  <c r="J29" i="82"/>
  <c r="B6" i="87"/>
  <c r="C21" i="87"/>
  <c r="D27" i="82"/>
  <c r="C27" i="82" s="1"/>
  <c r="B27" i="82" s="1"/>
  <c r="D23" i="82"/>
  <c r="C23" i="82" s="1"/>
  <c r="B23" i="82" s="1"/>
  <c r="D24" i="82"/>
  <c r="C24" i="82" s="1"/>
  <c r="B24" i="82" s="1"/>
  <c r="D21" i="82"/>
  <c r="C21" i="82" s="1"/>
  <c r="B21" i="82" s="1"/>
  <c r="D29" i="82"/>
  <c r="C29" i="82" s="1"/>
  <c r="B29" i="82" s="1"/>
  <c r="D26" i="82"/>
  <c r="C26" i="82" s="1"/>
  <c r="B26" i="82" s="1"/>
  <c r="D28" i="82"/>
  <c r="C28" i="82" s="1"/>
  <c r="B28" i="82" s="1"/>
  <c r="D22" i="82"/>
  <c r="C22" i="82" s="1"/>
  <c r="B22" i="82" s="1"/>
  <c r="D25" i="82"/>
  <c r="C25" i="82" s="1"/>
  <c r="B25" i="82" s="1"/>
  <c r="D20" i="82"/>
  <c r="C20" i="82" s="1"/>
  <c r="B20" i="82" s="1"/>
  <c r="AJ121" i="98"/>
  <c r="AF125" i="101"/>
  <c r="Y125" i="101"/>
  <c r="AJ128" i="98"/>
  <c r="X125" i="101"/>
  <c r="C40" i="82"/>
  <c r="B40" i="82"/>
  <c r="F35" i="82"/>
  <c r="G35" i="82"/>
  <c r="F41" i="82"/>
  <c r="G41" i="82"/>
  <c r="F36" i="82"/>
  <c r="G36" i="82"/>
  <c r="F44" i="82"/>
  <c r="G44" i="82"/>
  <c r="M18" i="117" l="1"/>
  <c r="M17" i="115"/>
  <c r="H8" i="87"/>
  <c r="E18" i="87"/>
  <c r="E16" i="87"/>
  <c r="H14" i="87"/>
  <c r="E20" i="87"/>
  <c r="H11" i="87"/>
  <c r="E7" i="87"/>
  <c r="E15" i="87"/>
  <c r="E10" i="87"/>
  <c r="E19" i="87"/>
  <c r="E17" i="87"/>
  <c r="E13" i="87"/>
  <c r="H6" i="87"/>
  <c r="E12" i="87"/>
  <c r="G21" i="87"/>
  <c r="H9" i="8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<sst xmlns="http://schemas.openxmlformats.org/spreadsheetml/2006/main" count="7629" uniqueCount="1376">
  <si>
    <t xml:space="preserve">Workload Measurement Tool Dashboard </t>
  </si>
  <si>
    <t xml:space="preserve">HMIP - Regional caseload per FTE </t>
  </si>
  <si>
    <t>HMIP - PDU caseload per FTE</t>
  </si>
  <si>
    <t>Regional overview</t>
  </si>
  <si>
    <t>PDU capacity top ten rankings</t>
  </si>
  <si>
    <t>Regional over-capacity ratios</t>
  </si>
  <si>
    <t>Regional reasons for reduction</t>
  </si>
  <si>
    <t>PDU reasons for reduction</t>
  </si>
  <si>
    <t>Regional reduction in hours</t>
  </si>
  <si>
    <t>National caseload allocation by tier</t>
  </si>
  <si>
    <t>National breakdown ratios of caseload allocation by tier</t>
  </si>
  <si>
    <t>Regional overall allocation of cases</t>
  </si>
  <si>
    <t>Regional overall allocation of cases as percentage</t>
  </si>
  <si>
    <t>Regional allocation of custody cases</t>
  </si>
  <si>
    <t>Regional allocation of custody cases as percentage</t>
  </si>
  <si>
    <t>Regional allocation of cases in the community</t>
  </si>
  <si>
    <t>Regional allocation of cases in the community as percentage</t>
  </si>
  <si>
    <t>East Midlands Region</t>
  </si>
  <si>
    <t>East of England</t>
  </si>
  <si>
    <t>Greater Manchester</t>
  </si>
  <si>
    <t>Kent Surrey Sussex Region</t>
  </si>
  <si>
    <t>London</t>
  </si>
  <si>
    <t>North East Region</t>
  </si>
  <si>
    <t>North West Region</t>
  </si>
  <si>
    <t>South Central</t>
  </si>
  <si>
    <t>South West</t>
  </si>
  <si>
    <t>Wales</t>
  </si>
  <si>
    <t>West Midlands Region</t>
  </si>
  <si>
    <t>Yorkshire and The Humber</t>
  </si>
  <si>
    <t>All East Midlands Region</t>
  </si>
  <si>
    <t>Accredited Programmes and Structured Interventions - N56</t>
  </si>
  <si>
    <t>All Greater Manchester</t>
  </si>
  <si>
    <t>Brighton and East Sussex</t>
  </si>
  <si>
    <t>Barking and Dagenham and Havering</t>
  </si>
  <si>
    <t>Corporate Services - N54</t>
  </si>
  <si>
    <t>Accredited Programmes and Structured Interventions - N51</t>
  </si>
  <si>
    <t>All South Central</t>
  </si>
  <si>
    <t>Accredited Programmes and Structured Interventions - N58</t>
  </si>
  <si>
    <t>Cardiff and Vale - N03</t>
  </si>
  <si>
    <t>All West Midlands</t>
  </si>
  <si>
    <t>Accredited Programmes and Structured Interventions - N55</t>
  </si>
  <si>
    <t>Boston - N53</t>
  </si>
  <si>
    <t>BDS-Bedford SM</t>
  </si>
  <si>
    <t>GM Bolton 1 - N50</t>
  </si>
  <si>
    <t>SXE-Brighton</t>
  </si>
  <si>
    <t>Attendance Centre 1 - N07</t>
  </si>
  <si>
    <t>Awaiting Allocation Gateshead and S Tyneside</t>
  </si>
  <si>
    <t>Accrington 1 - N51</t>
  </si>
  <si>
    <t>Awaiting Allocation Cardiff and Vale</t>
  </si>
  <si>
    <t>Birmingham East Short Term Custody</t>
  </si>
  <si>
    <t>Awaiting Allocation Barnsley and Rotherham</t>
  </si>
  <si>
    <t>Derby City - N53</t>
  </si>
  <si>
    <t>Bedfordshire - N56</t>
  </si>
  <si>
    <t>Bolton - N50</t>
  </si>
  <si>
    <t>East Kent</t>
  </si>
  <si>
    <t>Brent - N07</t>
  </si>
  <si>
    <t>County Durham and Darlington</t>
  </si>
  <si>
    <t>All North West</t>
  </si>
  <si>
    <t>Buckinghamshire and M Keynes - N59</t>
  </si>
  <si>
    <t>All South West</t>
  </si>
  <si>
    <t>Cwm Taf Morgannwg</t>
  </si>
  <si>
    <t>Birmingham Central and South - N52</t>
  </si>
  <si>
    <t>All YaTH</t>
  </si>
  <si>
    <t>Buxton - N53</t>
  </si>
  <si>
    <t>BDS-Luton SM</t>
  </si>
  <si>
    <t>GM Bolton 2</t>
  </si>
  <si>
    <t>Inactive Team(N57)</t>
  </si>
  <si>
    <t>Awaiting Allocation BARNET</t>
  </si>
  <si>
    <t>Awaiting Allocation N Tyneside Northumberland</t>
  </si>
  <si>
    <t>Accrington 2 - N51</t>
  </si>
  <si>
    <t>Black Country Women's Team - N52</t>
  </si>
  <si>
    <t>Awaiting Allocation Bradford and Calderdale</t>
  </si>
  <si>
    <t>Derbyshire - N53</t>
  </si>
  <si>
    <t>Cambridgeshire and Peterborough</t>
  </si>
  <si>
    <t>Bury and Rochdale</t>
  </si>
  <si>
    <t>Inactive Level 2(N57)</t>
  </si>
  <si>
    <t>Camden, Islington</t>
  </si>
  <si>
    <t>Gateshead and South Tyneside</t>
  </si>
  <si>
    <t>Blackburn and Darwen - N51</t>
  </si>
  <si>
    <t>East Berkshire</t>
  </si>
  <si>
    <t>Bath and North Somerset - N58</t>
  </si>
  <si>
    <t>Dyfed Powys</t>
  </si>
  <si>
    <t>Birmingham North, East and Solihull - N52</t>
  </si>
  <si>
    <t>Barnsley and Rotherham</t>
  </si>
  <si>
    <t>Chesterfield - N53</t>
  </si>
  <si>
    <t>BDS-Resettlement OM - N56</t>
  </si>
  <si>
    <t>GM Bolton 3 - N50</t>
  </si>
  <si>
    <t>KTE-Ashford - N57</t>
  </si>
  <si>
    <t>Awaiting Allocation BEXLEY</t>
  </si>
  <si>
    <t>Awaiting Allocation Newcastle Upon Tyne</t>
  </si>
  <si>
    <t>All Liverpool North (Team Unknown)</t>
  </si>
  <si>
    <t>Bridgend - IOM Team</t>
  </si>
  <si>
    <t>Burton - N52</t>
  </si>
  <si>
    <t>Awaiting Allocation Doncaster</t>
  </si>
  <si>
    <t>Leicester, Leicestershire and Rutland</t>
  </si>
  <si>
    <t>Essex North - N56</t>
  </si>
  <si>
    <t>Manchester North - N50</t>
  </si>
  <si>
    <t>Surrey - N57</t>
  </si>
  <si>
    <t>Community Integration</t>
  </si>
  <si>
    <t>Inactive Level 2(N54)</t>
  </si>
  <si>
    <t>Central Lancashire</t>
  </si>
  <si>
    <t>Hampshire North and East - N59</t>
  </si>
  <si>
    <t>Bristol and South Gloucestershire - N58</t>
  </si>
  <si>
    <t>Gwent</t>
  </si>
  <si>
    <t>Coventry - N52</t>
  </si>
  <si>
    <t>Bradford and Calderdale</t>
  </si>
  <si>
    <t>Leics County North East</t>
  </si>
  <si>
    <t>BDS-UPW SA</t>
  </si>
  <si>
    <t>GM Bolton 4</t>
  </si>
  <si>
    <t>KTE-Canterbury</t>
  </si>
  <si>
    <t>Awaiting Allocation BRENT</t>
  </si>
  <si>
    <t>Awaiting Allocation Sunderland</t>
  </si>
  <si>
    <t>Awaiting Allocation Liverpool MSIDE</t>
  </si>
  <si>
    <t>Bridgend - STS Team</t>
  </si>
  <si>
    <t>Cannock - N52</t>
  </si>
  <si>
    <t>Awaiting Allocation Grimsby</t>
  </si>
  <si>
    <t>Lincolnshire East and West - N53</t>
  </si>
  <si>
    <t>Essex South - N56</t>
  </si>
  <si>
    <t>Manchester South - N50</t>
  </si>
  <si>
    <t>Unallocated Level2(N57)</t>
  </si>
  <si>
    <t>Corporate Services - N07</t>
  </si>
  <si>
    <t>Newcastle Upon Tyne - N54</t>
  </si>
  <si>
    <t>Cheshire East</t>
  </si>
  <si>
    <t>Oxfordshire</t>
  </si>
  <si>
    <t>Cornwall and Isles of Scilly</t>
  </si>
  <si>
    <t>Inactive Level 2(N03)</t>
  </si>
  <si>
    <t>Dudley and Sandwell</t>
  </si>
  <si>
    <t>Doncaster - N55</t>
  </si>
  <si>
    <t>Derby City  - N53</t>
  </si>
  <si>
    <t>CBS-Cambridge SM</t>
  </si>
  <si>
    <t>GM BR Bury 1</t>
  </si>
  <si>
    <t>KTE-CP Standalone</t>
  </si>
  <si>
    <t>Awaiting Allocation BROMLEY</t>
  </si>
  <si>
    <t>Awaiting Allocation Sefton MSIDE</t>
  </si>
  <si>
    <t>Bridgend - Team 1</t>
  </si>
  <si>
    <t>Central Birmingham 1</t>
  </si>
  <si>
    <t>Awaiting Allocation Hull</t>
  </si>
  <si>
    <t>Nottingham City</t>
  </si>
  <si>
    <t>Hertfordshire - N56</t>
  </si>
  <si>
    <t>Oldham</t>
  </si>
  <si>
    <t>West Kent</t>
  </si>
  <si>
    <t>Croydon - N07</t>
  </si>
  <si>
    <t>North Tyneside and Northumberland</t>
  </si>
  <si>
    <t>Cheshire West</t>
  </si>
  <si>
    <t>Portsmouth and IoW</t>
  </si>
  <si>
    <t>Devon and Torbay - N58</t>
  </si>
  <si>
    <t>North Wales</t>
  </si>
  <si>
    <t>Herefordshire, Shropshire and Telford</t>
  </si>
  <si>
    <t>Hull and East Riding</t>
  </si>
  <si>
    <t>Derby City 2 - N53</t>
  </si>
  <si>
    <t>CBS-Huntingdon SM</t>
  </si>
  <si>
    <t>GM BR Bury 2 - N50</t>
  </si>
  <si>
    <t>KTE-Ramsgate - N57</t>
  </si>
  <si>
    <t>Awaiting Allocation CAMDEN</t>
  </si>
  <si>
    <t>Awaiting Allocation Wirral MSIDE</t>
  </si>
  <si>
    <t>Bridgend - Team 2</t>
  </si>
  <si>
    <t>Central Birmingham 2</t>
  </si>
  <si>
    <t>Awaiting Allocation Kirklees</t>
  </si>
  <si>
    <t>Nottinghamshire - N53</t>
  </si>
  <si>
    <t>Inactive Level 2(N56)</t>
  </si>
  <si>
    <t>Public Protection Community - N50</t>
  </si>
  <si>
    <t>West Sussex</t>
  </si>
  <si>
    <t>Ealing and Hillingdon</t>
  </si>
  <si>
    <t>Redcar, Cleveland and Middlesbrough</t>
  </si>
  <si>
    <t>Corporate Services - N51</t>
  </si>
  <si>
    <t>Southampton, Eastleigh and New Forest</t>
  </si>
  <si>
    <t>Dorset - N58</t>
  </si>
  <si>
    <t>Swansea, Neath Port-Talbot</t>
  </si>
  <si>
    <t>Personality Disorder Projects - N52</t>
  </si>
  <si>
    <t>Inactive Level 2(N55)</t>
  </si>
  <si>
    <t>Derby City 3 - N53</t>
  </si>
  <si>
    <t>CBS-Peterborough OM2 - N56</t>
  </si>
  <si>
    <t>GM BR Rochdale 1 - N50</t>
  </si>
  <si>
    <t>KTE-Sittingbourne - N57</t>
  </si>
  <si>
    <t>Awaiting Allocation CROYDON</t>
  </si>
  <si>
    <t>Barrow 1</t>
  </si>
  <si>
    <t>Caerphilly\Blaenau Gwent Team 1</t>
  </si>
  <si>
    <t>Central Birmingham 3</t>
  </si>
  <si>
    <t>Awaiting Allocation Leeds</t>
  </si>
  <si>
    <t>Unpaid Work and Attendance Centres - N53</t>
  </si>
  <si>
    <t>Norfolk - N56</t>
  </si>
  <si>
    <t>Salford - N50</t>
  </si>
  <si>
    <t>Enfield and Haringey</t>
  </si>
  <si>
    <t>Stockton and Hartlepool</t>
  </si>
  <si>
    <t>Cumbria - N51</t>
  </si>
  <si>
    <t>Unpaid Work and Attendance Centres - N59</t>
  </si>
  <si>
    <t>Gloucestershire - N58</t>
  </si>
  <si>
    <t>Unallocated Level 2(N03)</t>
  </si>
  <si>
    <t>Staffordshire and Stoke</t>
  </si>
  <si>
    <t>Kirklees - N55</t>
  </si>
  <si>
    <t xml:space="preserve">Derby City 4 </t>
  </si>
  <si>
    <t>CBS-Peterborough SM</t>
  </si>
  <si>
    <t>GM BR Rochdale 2 - N50</t>
  </si>
  <si>
    <t>KTE-South East Kent</t>
  </si>
  <si>
    <t>Awaiting Allocation EALING</t>
  </si>
  <si>
    <t>Barrow 2 - N51</t>
  </si>
  <si>
    <t>CP North - N59</t>
  </si>
  <si>
    <t>Caerphilly\Blaenau Gwent Team 2</t>
  </si>
  <si>
    <t>Central Birmingham 4</t>
  </si>
  <si>
    <t>Awaiting Allocation North Yorkshire</t>
  </si>
  <si>
    <t>Northamptonshire - N56</t>
  </si>
  <si>
    <t>Stockport and Trafford</t>
  </si>
  <si>
    <t>Greenwich and Bexley</t>
  </si>
  <si>
    <t>Sunderland - N54</t>
  </si>
  <si>
    <t>East Lancashire</t>
  </si>
  <si>
    <t>West Berkshire</t>
  </si>
  <si>
    <t>Plymouth - N58</t>
  </si>
  <si>
    <t>Unpaid Work and Attendance Centres - N52</t>
  </si>
  <si>
    <t>Leeds - N55</t>
  </si>
  <si>
    <t>CBS-UPW SA</t>
  </si>
  <si>
    <t>GM BR Rochdale 3</t>
  </si>
  <si>
    <t>KTE-Thanet</t>
  </si>
  <si>
    <t>Awaiting Allocation ENFIELD</t>
  </si>
  <si>
    <t>Blackburn 1</t>
  </si>
  <si>
    <t>CP South East</t>
  </si>
  <si>
    <t>Caerphilly\Blaenau Gwent Team 3</t>
  </si>
  <si>
    <t>Central Birmingham 5</t>
  </si>
  <si>
    <t>Awaiting Allocation Sheffield</t>
  </si>
  <si>
    <t>Suffolk</t>
  </si>
  <si>
    <t>Tameside - N50</t>
  </si>
  <si>
    <t>Hackney and City</t>
  </si>
  <si>
    <t>Unallocated Level(N54)</t>
  </si>
  <si>
    <t>Halton and Warrington</t>
  </si>
  <si>
    <t>Somerset - N58</t>
  </si>
  <si>
    <t>Walsall and Wolverhampton</t>
  </si>
  <si>
    <t>North and North East Lincs - N55</t>
  </si>
  <si>
    <t>Derby City IOM - N53</t>
  </si>
  <si>
    <t>CBS-Wisbech SM</t>
  </si>
  <si>
    <t>GM CP Bolton Wigan Salford</t>
  </si>
  <si>
    <t>KTW-CP Standalone</t>
  </si>
  <si>
    <t>Awaiting Allocation HACKNEY</t>
  </si>
  <si>
    <t>DTV UPW Team</t>
  </si>
  <si>
    <t>Blackburn 2</t>
  </si>
  <si>
    <t>CP South West</t>
  </si>
  <si>
    <t>Cardiff - East Team</t>
  </si>
  <si>
    <t>Awaiting Allocation Wakefield</t>
  </si>
  <si>
    <t>Unallocated Level2(N56)</t>
  </si>
  <si>
    <t>Unpaid Work and Attendance Centres - N50</t>
  </si>
  <si>
    <t>Hammersmith, Fulham, Kensington, Chelsea and Westminster</t>
  </si>
  <si>
    <t>Unpaid Work and Attendance Centres - N54</t>
  </si>
  <si>
    <t>Knowsley and St Helens</t>
  </si>
  <si>
    <t>Swindon and Wiltshire</t>
  </si>
  <si>
    <t>Warwickshire - N52</t>
  </si>
  <si>
    <t>North Yorkshire - N55</t>
  </si>
  <si>
    <t>Derby City PQiP</t>
  </si>
  <si>
    <t>GM CP Manchester Stockport Trafford</t>
  </si>
  <si>
    <t>KTW-Dartford and Gravesham</t>
  </si>
  <si>
    <t>Awaiting Allocation HARINGEY</t>
  </si>
  <si>
    <t>Blackburn 3 - N51</t>
  </si>
  <si>
    <t>East Berks ACE Team</t>
  </si>
  <si>
    <t>Cardiff - IOM Wisdom Team</t>
  </si>
  <si>
    <t>Central Birmingham PQiP</t>
  </si>
  <si>
    <t>Bradford OMU 1 (BNA)</t>
  </si>
  <si>
    <t>Unpaid Work and Attendance Centres - N56</t>
  </si>
  <si>
    <t>Wigan - N50</t>
  </si>
  <si>
    <t>Harrow and Barnet</t>
  </si>
  <si>
    <t>Liverpool North - N51</t>
  </si>
  <si>
    <t>Unpaid Work and Attendance Centres - N58</t>
  </si>
  <si>
    <t>Worcestershire - N52</t>
  </si>
  <si>
    <t>Public Protection Community - N55</t>
  </si>
  <si>
    <t>Derbyshire County East</t>
  </si>
  <si>
    <t>EXN-Chelmsford SM</t>
  </si>
  <si>
    <t>GM Manchester N1 - N50</t>
  </si>
  <si>
    <t>KTW-Gravesend - N57</t>
  </si>
  <si>
    <t>Awaiting Allocation HARROW</t>
  </si>
  <si>
    <t>Blackpool 1</t>
  </si>
  <si>
    <t>East Berkshire 1</t>
  </si>
  <si>
    <t>Cardiff - North Team</t>
  </si>
  <si>
    <t>Bradford OMU 2 (BNB)</t>
  </si>
  <si>
    <t>Inactive Level 2(N07)</t>
  </si>
  <si>
    <t>Liverpool South - N51</t>
  </si>
  <si>
    <t>Birmingham Central Short Term Custody</t>
  </si>
  <si>
    <t>Sheffield - N55</t>
  </si>
  <si>
    <t>Derbyshire County South</t>
  </si>
  <si>
    <t>EXN-Colchester SM</t>
  </si>
  <si>
    <t>GM Manchester N2</t>
  </si>
  <si>
    <t>KTW-Maidstone - N57</t>
  </si>
  <si>
    <t>Awaiting Allocation HFKCW</t>
  </si>
  <si>
    <t>Gateshead - N54</t>
  </si>
  <si>
    <t>Blackpool 2</t>
  </si>
  <si>
    <t>East Berkshire 2</t>
  </si>
  <si>
    <t>Cardiff - South Team</t>
  </si>
  <si>
    <t>Coventry Team 1 - N52</t>
  </si>
  <si>
    <t>Bradford OMU 4 YOT (BND)</t>
  </si>
  <si>
    <t>Kingston, Richmond and Hounslow</t>
  </si>
  <si>
    <t>Merseyside Resettle - N51</t>
  </si>
  <si>
    <t>Birmingham South Short Term Custody</t>
  </si>
  <si>
    <t>Unallocated Level 2(N55)</t>
  </si>
  <si>
    <t>Derbyshire PQiP</t>
  </si>
  <si>
    <t>EXN-Harlow SM</t>
  </si>
  <si>
    <t>GM Manchester N3</t>
  </si>
  <si>
    <t>KTW-Medway</t>
  </si>
  <si>
    <t>Awaiting Allocation HOUNSLOW</t>
  </si>
  <si>
    <t>Gateshead 2</t>
  </si>
  <si>
    <t>Blackpool 3</t>
  </si>
  <si>
    <t>East Berkshire 3</t>
  </si>
  <si>
    <t>Inactive Team(N58)</t>
  </si>
  <si>
    <t>Cardiff - West Team</t>
  </si>
  <si>
    <t>Coventry Team 2 - N52</t>
  </si>
  <si>
    <t>Bradford OMU 5 (BNE)</t>
  </si>
  <si>
    <t>Lambeth - N07</t>
  </si>
  <si>
    <t>North West Lancashire</t>
  </si>
  <si>
    <t>Unpaid Work and Attendance Centres - N55</t>
  </si>
  <si>
    <t>Grantham - N53</t>
  </si>
  <si>
    <t>GM Manchester N4</t>
  </si>
  <si>
    <t>KTW-Mid Kent</t>
  </si>
  <si>
    <t>Awaiting Allocation ISLINGTON</t>
  </si>
  <si>
    <t>Hartlepool 1</t>
  </si>
  <si>
    <t>Blackpool 5 - N51</t>
  </si>
  <si>
    <t>East Berkshire 4</t>
  </si>
  <si>
    <t>Cardiff - Women's Pathfinder Team</t>
  </si>
  <si>
    <t>Coventry Team 3 - N52</t>
  </si>
  <si>
    <t>Bradford OMU 6 - N55</t>
  </si>
  <si>
    <t>Lewisham and Bromley</t>
  </si>
  <si>
    <t>Public Protection Residential - N51</t>
  </si>
  <si>
    <t>Wakefield - N55</t>
  </si>
  <si>
    <t>Inactive Team(N53)</t>
  </si>
  <si>
    <t>EXN-UPW SA</t>
  </si>
  <si>
    <t>GM Manchester S1 - N50</t>
  </si>
  <si>
    <t>KTW-Tunbridge Wells - N57</t>
  </si>
  <si>
    <t>Awaiting Allocation KINGSTON &amp; RICHMOND</t>
  </si>
  <si>
    <t>Hartlepool 2</t>
  </si>
  <si>
    <t>Blackpool 6 - N51</t>
  </si>
  <si>
    <t>East Berkshire 5</t>
  </si>
  <si>
    <t>Cardiff and Vale - STS Team</t>
  </si>
  <si>
    <t>Coventry Team 4</t>
  </si>
  <si>
    <t>Calderdale OMU 1 (CNA)</t>
  </si>
  <si>
    <t>Newham - N07</t>
  </si>
  <si>
    <t>Sefton</t>
  </si>
  <si>
    <t>York - N55</t>
  </si>
  <si>
    <t>Leicester City 1 - N53</t>
  </si>
  <si>
    <t>EXS-Basildon SM</t>
  </si>
  <si>
    <t>GM Manchester S2</t>
  </si>
  <si>
    <t>SRY-CP Standalone</t>
  </si>
  <si>
    <t>Awaiting Allocation LAMBETH</t>
  </si>
  <si>
    <t>Inactive Team(N54)</t>
  </si>
  <si>
    <t>Blackpool 7  - N51</t>
  </si>
  <si>
    <t>East Berkshire 6</t>
  </si>
  <si>
    <t>Carmarthenshire - Team 1</t>
  </si>
  <si>
    <t>Dudley Team 1 - N52</t>
  </si>
  <si>
    <t>Calderdale OMU 2 - N55</t>
  </si>
  <si>
    <t>Public Protection London</t>
  </si>
  <si>
    <t>Unpaid Work and Attendance Centres - N51</t>
  </si>
  <si>
    <t>Leicester City 2 - N53</t>
  </si>
  <si>
    <t>EXS-Southend SM</t>
  </si>
  <si>
    <t>GM Manchester S3</t>
  </si>
  <si>
    <t>SRY-Guildford - N57</t>
  </si>
  <si>
    <t>Awaiting Allocation LEWISHAM</t>
  </si>
  <si>
    <t>Middlesbrough 1</t>
  </si>
  <si>
    <t>Burnley 1</t>
  </si>
  <si>
    <t>East Berkshire Business Support Unit</t>
  </si>
  <si>
    <t>Carmarthenshire - Team 2</t>
  </si>
  <si>
    <t>Dudley Team 2 - N52</t>
  </si>
  <si>
    <t>Redbridge and Waltham Forest</t>
  </si>
  <si>
    <t>Wirral - N51</t>
  </si>
  <si>
    <t>Leicester City 3 - N53</t>
  </si>
  <si>
    <t>EXS-Thurrock SM</t>
  </si>
  <si>
    <t>GM Manchester S4</t>
  </si>
  <si>
    <t>SRY-Redhill - N57</t>
  </si>
  <si>
    <t>Awaiting Allocation MERTON &amp; SUTTON</t>
  </si>
  <si>
    <t>Middlesbrough 2</t>
  </si>
  <si>
    <t>Burnley 2</t>
  </si>
  <si>
    <t>Ceredigion - Team 1</t>
  </si>
  <si>
    <t>Dudley Team 3 - N52</t>
  </si>
  <si>
    <t>Southwark - N07</t>
  </si>
  <si>
    <t>Leicester City 4 - N53</t>
  </si>
  <si>
    <t>HFS-Cheshunt SM</t>
  </si>
  <si>
    <t>GM Manchester S5</t>
  </si>
  <si>
    <t>SRY-Staines - N57</t>
  </si>
  <si>
    <t>Awaiting Allocation NEWHAM</t>
  </si>
  <si>
    <t>Middlesbrough 3</t>
  </si>
  <si>
    <t>Burnley 3 - N51</t>
  </si>
  <si>
    <t>Conwy - Team 1</t>
  </si>
  <si>
    <t>East Birmingham 1</t>
  </si>
  <si>
    <t>Tower Hamlets</t>
  </si>
  <si>
    <t>Leicester City 5 - N53</t>
  </si>
  <si>
    <t>GM Oldham 1 - N50</t>
  </si>
  <si>
    <t>Awaiting Allocation REDBRIDGE</t>
  </si>
  <si>
    <t>NBR Gateshead LMC - N54</t>
  </si>
  <si>
    <t>Carlisle 1</t>
  </si>
  <si>
    <t>Denbighshire - Team 1</t>
  </si>
  <si>
    <t>East Birmingham 2</t>
  </si>
  <si>
    <t>GRI PPU1</t>
  </si>
  <si>
    <t>Unallocated Level 2(N07)</t>
  </si>
  <si>
    <t>Leicester City 6</t>
  </si>
  <si>
    <t>GM Oldham 2</t>
  </si>
  <si>
    <t>Awaiting Allocation SOUTHWARK</t>
  </si>
  <si>
    <t>NBR Hub Team</t>
  </si>
  <si>
    <t>Carlisle 2</t>
  </si>
  <si>
    <t>East Gwent Team</t>
  </si>
  <si>
    <t>East Birmingham 3</t>
  </si>
  <si>
    <t>GRI PPU2</t>
  </si>
  <si>
    <t>Unpaid Work and Attendance Centres - N07</t>
  </si>
  <si>
    <t>Leicester City 7</t>
  </si>
  <si>
    <t>HFS-St Albans SM</t>
  </si>
  <si>
    <t>GM Oldham 3 - N50</t>
  </si>
  <si>
    <t>SXE-Brighton 2 - N57</t>
  </si>
  <si>
    <t>Awaiting Allocation TOWER HAMLETS</t>
  </si>
  <si>
    <t>NBR North Tyneside LMC - N54</t>
  </si>
  <si>
    <t>Carlisle 3 - N51</t>
  </si>
  <si>
    <t>Flintshire - Team 1</t>
  </si>
  <si>
    <t>Hereford</t>
  </si>
  <si>
    <t>GRI PPU3 - N55</t>
  </si>
  <si>
    <t>Wandsworth, Merton and Sutton</t>
  </si>
  <si>
    <t>Leicester City PQUIP - N53</t>
  </si>
  <si>
    <t>HFS-Stevenage SM</t>
  </si>
  <si>
    <t>GM Salford 1</t>
  </si>
  <si>
    <t>SXE-CP Standalone</t>
  </si>
  <si>
    <t>Awaiting Allocation WALTHAM FOREST</t>
  </si>
  <si>
    <t>NBR Northumberland LMC - N54</t>
  </si>
  <si>
    <t>Chester 1</t>
  </si>
  <si>
    <t>Gwent - IOM Team</t>
  </si>
  <si>
    <t>Inactive Team(N52)</t>
  </si>
  <si>
    <t>GRI PPU4 - N55</t>
  </si>
  <si>
    <t>Leicester City Resettlement - N53</t>
  </si>
  <si>
    <t>HFS-UPW SA</t>
  </si>
  <si>
    <t>GM Salford 2</t>
  </si>
  <si>
    <t>SXE-Eastbourne</t>
  </si>
  <si>
    <t>Awaiting Allocation WANDSWORTH</t>
  </si>
  <si>
    <t>NBR South Tyneside LMC - N54</t>
  </si>
  <si>
    <t>Chester 2 - N51</t>
  </si>
  <si>
    <t>Inactive Team(N59)</t>
  </si>
  <si>
    <t>Gwent - STS Team</t>
  </si>
  <si>
    <t>IOM Birmingham Central &amp; South</t>
  </si>
  <si>
    <t>Leicester Young Adults</t>
  </si>
  <si>
    <t>HFS-Watford SM</t>
  </si>
  <si>
    <t>GM Salford 3 - N50</t>
  </si>
  <si>
    <t>SXE-Hastings</t>
  </si>
  <si>
    <t>BAR 1</t>
  </si>
  <si>
    <t>NBR Sunderland LMC - N54</t>
  </si>
  <si>
    <t>Chorley 1</t>
  </si>
  <si>
    <t>Gwynedd - Team 1</t>
  </si>
  <si>
    <t>IOM Birmingham North, East</t>
  </si>
  <si>
    <t>Leicester Women's</t>
  </si>
  <si>
    <t>Inactive Team(N56)</t>
  </si>
  <si>
    <t>GM Salford 4</t>
  </si>
  <si>
    <t>SXE-Hastings 2 - N57</t>
  </si>
  <si>
    <t>BAR 2 - N07</t>
  </si>
  <si>
    <t>NBR UPW Hub Practitioner - N54</t>
  </si>
  <si>
    <t>Chorley 2  - N51</t>
  </si>
  <si>
    <t>Inactive Team(N03)</t>
  </si>
  <si>
    <t>IOM Staffordshire</t>
  </si>
  <si>
    <t>Leics County South West</t>
  </si>
  <si>
    <t>NFK-King's Lynn SM</t>
  </si>
  <si>
    <t>GM SM CP Bolton Wigan Salford</t>
  </si>
  <si>
    <t>SXW-CP Standalone</t>
  </si>
  <si>
    <t>BAR PQIP</t>
  </si>
  <si>
    <t>Newcastle 1</t>
  </si>
  <si>
    <t>CL Allocations Team - N51</t>
  </si>
  <si>
    <t>Merthyr - STS Team</t>
  </si>
  <si>
    <t>Kidderminster</t>
  </si>
  <si>
    <t>Leicestershire Priority IOM - N53</t>
  </si>
  <si>
    <t>NFK-Norwich SM - N56</t>
  </si>
  <si>
    <t>GM SM CP Bury Rochdale Oldham Tameside</t>
  </si>
  <si>
    <t>SXW-Crawley</t>
  </si>
  <si>
    <t>BDH 1</t>
  </si>
  <si>
    <t>Newcastle 2</t>
  </si>
  <si>
    <t>Crewe 1</t>
  </si>
  <si>
    <t>Merthyr - Team 2</t>
  </si>
  <si>
    <t>Kidderminster PQiPs</t>
  </si>
  <si>
    <t>Lincoln - N53</t>
  </si>
  <si>
    <t>GM SM CP Manchester Stockport Trafford</t>
  </si>
  <si>
    <t>SXW-Crawley 2 - N57</t>
  </si>
  <si>
    <t>BDH 2</t>
  </si>
  <si>
    <t>Newcastle 3</t>
  </si>
  <si>
    <t>Crewe 2 - N51</t>
  </si>
  <si>
    <t>Unallocated Team(N58)</t>
  </si>
  <si>
    <t>Merthyr - Team 3</t>
  </si>
  <si>
    <t>Leamington</t>
  </si>
  <si>
    <t>Lincoln 2 - N53</t>
  </si>
  <si>
    <t>NFK-UPW SA</t>
  </si>
  <si>
    <t>GM ST Stockport 1 - N50</t>
  </si>
  <si>
    <t>SXW-Littlehampton</t>
  </si>
  <si>
    <t>BDH 3</t>
  </si>
  <si>
    <t>Newcastle 4</t>
  </si>
  <si>
    <t>Cumbria and Lancashire UPW Hub - N51</t>
  </si>
  <si>
    <t>Neath, PTalbot - Team 1</t>
  </si>
  <si>
    <t>Leamington 2 - N52</t>
  </si>
  <si>
    <t>Lincolnshire PQiP</t>
  </si>
  <si>
    <t>GM ST Stockport 2</t>
  </si>
  <si>
    <t>SXW-Littlehampton 2 - N57</t>
  </si>
  <si>
    <t>BDH 4 - N07</t>
  </si>
  <si>
    <t>Cumbria and Lancashire UPW Hub Completed - N51</t>
  </si>
  <si>
    <t>Newport - Team 1</t>
  </si>
  <si>
    <t>Multi-Agency Gang Unit (MAGU) - N52</t>
  </si>
  <si>
    <t>Inactive Team(N55)</t>
  </si>
  <si>
    <t>Mansfield and Ashfield - N53</t>
  </si>
  <si>
    <t>NTH-Kettering SM</t>
  </si>
  <si>
    <t>GM ST Stockport 3</t>
  </si>
  <si>
    <t>SXW-Worthing</t>
  </si>
  <si>
    <t>BDH 5 - N07</t>
  </si>
  <si>
    <t>North Tyneside</t>
  </si>
  <si>
    <t>Halton 1</t>
  </si>
  <si>
    <t>Newport - Team 2</t>
  </si>
  <si>
    <t>North Birmingham 1</t>
  </si>
  <si>
    <t>North Nottinghamshire</t>
  </si>
  <si>
    <t>NTH-Northampton SM</t>
  </si>
  <si>
    <t>GM ST Trafford 1</t>
  </si>
  <si>
    <t>Unallocated Team(N57)</t>
  </si>
  <si>
    <t>BDH PQIP</t>
  </si>
  <si>
    <t>Northumberland</t>
  </si>
  <si>
    <t>Halton 2 - N51</t>
  </si>
  <si>
    <t>Other Third Party EM Supervision - N59</t>
  </si>
  <si>
    <t>Newport - Team 3</t>
  </si>
  <si>
    <t>North Birmingham 2</t>
  </si>
  <si>
    <t>Nottingham City - N53</t>
  </si>
  <si>
    <t>NTH-UPW SA</t>
  </si>
  <si>
    <t>GM ST Trafford 2 - N50</t>
  </si>
  <si>
    <t>BEX 1</t>
  </si>
  <si>
    <t>Inactive Team(N51)</t>
  </si>
  <si>
    <t>North Wales - Central IOM STC Team</t>
  </si>
  <si>
    <t>North Birmingham 3</t>
  </si>
  <si>
    <t>Nottingham City Allocations</t>
  </si>
  <si>
    <t>NTH-Wellingborough SM</t>
  </si>
  <si>
    <t>GM Tameside 1</t>
  </si>
  <si>
    <t>BEX 2 - N07</t>
  </si>
  <si>
    <t>Redcar 1</t>
  </si>
  <si>
    <t>Kendal 1</t>
  </si>
  <si>
    <t>Oxon ACE - N59</t>
  </si>
  <si>
    <t>North Wales - West IOM STC Team</t>
  </si>
  <si>
    <t>Nuneaton and Rugby - N52</t>
  </si>
  <si>
    <t>Leeds Sentence Management Team 1</t>
  </si>
  <si>
    <t>Nottingham City North - N53</t>
  </si>
  <si>
    <t>SFK-Bury St Edmunds SM</t>
  </si>
  <si>
    <t>GM Tameside 2</t>
  </si>
  <si>
    <t>BEX PQIP</t>
  </si>
  <si>
    <t>Redcar 2</t>
  </si>
  <si>
    <t>Kendal 2</t>
  </si>
  <si>
    <t>Nuneaton and Rugby 2 - N52</t>
  </si>
  <si>
    <t>SCU PPU1</t>
  </si>
  <si>
    <t>Nottingham City PQiP</t>
  </si>
  <si>
    <t>SFK-Ipswich SM</t>
  </si>
  <si>
    <t>GM Tameside 3 - N50</t>
  </si>
  <si>
    <t>BRE 1</t>
  </si>
  <si>
    <t>Redcar, Cleveland and Middlesbrough IOM</t>
  </si>
  <si>
    <t>Knowsley 1</t>
  </si>
  <si>
    <t>Pembrokeshire - Team 1</t>
  </si>
  <si>
    <t>SCU PPU2 - N55</t>
  </si>
  <si>
    <t>Nottingham City South - N53</t>
  </si>
  <si>
    <t>SFK-Lowestoft SM</t>
  </si>
  <si>
    <t>GM Wigan 1 - N50</t>
  </si>
  <si>
    <t>BRE 2</t>
  </si>
  <si>
    <t>South Tyneside</t>
  </si>
  <si>
    <t>Knowsley 2</t>
  </si>
  <si>
    <t>Powys - Team 1</t>
  </si>
  <si>
    <t>PROSPER West Midlands - N52</t>
  </si>
  <si>
    <t>Nottingham IOM - N53</t>
  </si>
  <si>
    <t>SFK-UPW SA</t>
  </si>
  <si>
    <t>GM Wigan 2</t>
  </si>
  <si>
    <t>BRE 3 - N07</t>
  </si>
  <si>
    <t>Stockton 1</t>
  </si>
  <si>
    <t>Knowsley 3</t>
  </si>
  <si>
    <t>RCT - IOM Team</t>
  </si>
  <si>
    <t>Redditch - N52</t>
  </si>
  <si>
    <t>Wakefield Community Integration Team</t>
  </si>
  <si>
    <t>Nottinghamshire IOM - N53</t>
  </si>
  <si>
    <t>Unallocated Team(N56)</t>
  </si>
  <si>
    <t>GM Wigan 3 - N50</t>
  </si>
  <si>
    <t>BRE 4 - N07</t>
  </si>
  <si>
    <t>Stockton 2</t>
  </si>
  <si>
    <t>Knowsley 4</t>
  </si>
  <si>
    <t>RCT - STS Team</t>
  </si>
  <si>
    <t>Redditch PQiPs</t>
  </si>
  <si>
    <t>Wakefield Sentence Management Team 1</t>
  </si>
  <si>
    <t>Nottinghamshire PQiP</t>
  </si>
  <si>
    <t>ITTG Forest Bank</t>
  </si>
  <si>
    <t>BRE PQIP</t>
  </si>
  <si>
    <t>Sunderland North</t>
  </si>
  <si>
    <t>Knowsley Unallocated</t>
  </si>
  <si>
    <t>RCT - Team 1</t>
  </si>
  <si>
    <t>Sandwell Team 1 - N52</t>
  </si>
  <si>
    <t>Wakefield Sentence Management Team 2</t>
  </si>
  <si>
    <t>Nottinghamshire South - N53</t>
  </si>
  <si>
    <t>BRO 1</t>
  </si>
  <si>
    <t>Sunderland South</t>
  </si>
  <si>
    <t>Lancaster 1</t>
  </si>
  <si>
    <t>RCT - Team 2</t>
  </si>
  <si>
    <t>Sandwell Team 2 - N52</t>
  </si>
  <si>
    <t>Wakefield Sentence Management Team 3</t>
  </si>
  <si>
    <t>Skegness - N53</t>
  </si>
  <si>
    <t>MAPPT - MAPPA and Public Protection Team</t>
  </si>
  <si>
    <t>BRO 2 - N07</t>
  </si>
  <si>
    <t>Unallocated Team(N54)</t>
  </si>
  <si>
    <t>Lancaster 2</t>
  </si>
  <si>
    <t>RCT - Team 3</t>
  </si>
  <si>
    <t>Sandwell Team 4 PQUIP - N52</t>
  </si>
  <si>
    <t>Wakefield Sentence Management Team 4</t>
  </si>
  <si>
    <t>Unallocated Team(N53)</t>
  </si>
  <si>
    <t>Unallocated Team(N50)</t>
  </si>
  <si>
    <t>BRO PQIP</t>
  </si>
  <si>
    <t>Liverpool North 1</t>
  </si>
  <si>
    <t>RCT - Team 4</t>
  </si>
  <si>
    <t>Sandwell Team 5 - N52</t>
  </si>
  <si>
    <t>Wakefield Sentence Management Team 5</t>
  </si>
  <si>
    <t>UPW Bassetlaw - N53</t>
  </si>
  <si>
    <t>Bromley Service Centre - N07</t>
  </si>
  <si>
    <t>Liverpool North 10 - N51</t>
  </si>
  <si>
    <t>Swansea - Team 1</t>
  </si>
  <si>
    <t>Shrewsbury</t>
  </si>
  <si>
    <t>YSN Harrogate PP OMU</t>
  </si>
  <si>
    <t>UPW Buxton - N53</t>
  </si>
  <si>
    <t>CAI 1</t>
  </si>
  <si>
    <t>Liverpool North 2</t>
  </si>
  <si>
    <t>Swansea - Team 2</t>
  </si>
  <si>
    <t>Solihull A</t>
  </si>
  <si>
    <t>YSN Northallerton PP OMU</t>
  </si>
  <si>
    <t>UPW Chesterfield - N53</t>
  </si>
  <si>
    <t>CAI 2</t>
  </si>
  <si>
    <t>Liverpool North 3</t>
  </si>
  <si>
    <t>Swansea - Team 3</t>
  </si>
  <si>
    <t>Solihull B</t>
  </si>
  <si>
    <t>UPW Derby - N53</t>
  </si>
  <si>
    <t>CAI 3</t>
  </si>
  <si>
    <t>Liverpool North 4</t>
  </si>
  <si>
    <t>Swansea - Team 4</t>
  </si>
  <si>
    <t>South Birmingham 1</t>
  </si>
  <si>
    <t>YSN Scarborough PP OMU</t>
  </si>
  <si>
    <t>UPW Leicestershire - N53</t>
  </si>
  <si>
    <t>CAI 4 PQIP</t>
  </si>
  <si>
    <t>Swansea - Team 5</t>
  </si>
  <si>
    <t>South Birmingham 2</t>
  </si>
  <si>
    <t>YSN Scarborough PP OMU2</t>
  </si>
  <si>
    <t>UPW Lincolnshire</t>
  </si>
  <si>
    <t>CAI 6 - N07</t>
  </si>
  <si>
    <t>Liverpool North 8 - N51</t>
  </si>
  <si>
    <t>Swansea - Team 6</t>
  </si>
  <si>
    <t>South Birmingham 3</t>
  </si>
  <si>
    <t>YSN Skipton PP OMU</t>
  </si>
  <si>
    <t>UPW Mansfield and Ashfield  - N53</t>
  </si>
  <si>
    <t>CP North East 1 - N07</t>
  </si>
  <si>
    <t>Unallocated Team(N03)</t>
  </si>
  <si>
    <t>South Birmingham PQiP</t>
  </si>
  <si>
    <t>UPW Newark and Sherwood  - N53</t>
  </si>
  <si>
    <t>CP North East 2 - N07</t>
  </si>
  <si>
    <t>Liverpool North Unallocated</t>
  </si>
  <si>
    <t>Vale - IOM Women Team</t>
  </si>
  <si>
    <t>Stafford - N52</t>
  </si>
  <si>
    <t>UPW Nottingham - N53</t>
  </si>
  <si>
    <t>CP North East Legacy Caseload - N07</t>
  </si>
  <si>
    <t>Liverpool South 1</t>
  </si>
  <si>
    <t>Vale - Team</t>
  </si>
  <si>
    <t>Staffordshire Community Hub - N52</t>
  </si>
  <si>
    <t>YSS Barnsley OMU 1</t>
  </si>
  <si>
    <t>Liverpool South 2</t>
  </si>
  <si>
    <t>Unallocated Team(N59)</t>
  </si>
  <si>
    <t>Wrexham - Team 1</t>
  </si>
  <si>
    <t>Staffordshire Short Term Custody</t>
  </si>
  <si>
    <t>YSS Barnsley OMU 2</t>
  </si>
  <si>
    <t>CP South 1 - N07</t>
  </si>
  <si>
    <t>Liverpool South 3</t>
  </si>
  <si>
    <t>UPW North Hub - N59</t>
  </si>
  <si>
    <t>Ynys Mon - Team 1</t>
  </si>
  <si>
    <t>Stoke Allocations - N52</t>
  </si>
  <si>
    <t>YSS Barnsley OMU 3 - N55</t>
  </si>
  <si>
    <t>CP South 2 - N07</t>
  </si>
  <si>
    <t>Liverpool South 4</t>
  </si>
  <si>
    <t>UPW South Hub - N59</t>
  </si>
  <si>
    <t>Stoke Team 1 - N52</t>
  </si>
  <si>
    <t>YSS Barnsley OMU 4 - N55</t>
  </si>
  <si>
    <t>Liverpool South 5</t>
  </si>
  <si>
    <t>West Berks ACE - N59</t>
  </si>
  <si>
    <t>Stoke Team 2 - N52</t>
  </si>
  <si>
    <t>CP South Legacy Caseload - N07</t>
  </si>
  <si>
    <t>Liverpool South 7 - N51</t>
  </si>
  <si>
    <t>Stoke Team 3 - N52</t>
  </si>
  <si>
    <t>CP West 1 - N07</t>
  </si>
  <si>
    <t>Liverpool South IOM</t>
  </si>
  <si>
    <t>Stoke Team 4 - N52</t>
  </si>
  <si>
    <t>CP West 2 - N07</t>
  </si>
  <si>
    <t>Liverpool South Unallocated</t>
  </si>
  <si>
    <t>West Berkshire Business Support Unit</t>
  </si>
  <si>
    <t>Tamworth - N52</t>
  </si>
  <si>
    <t>CRO 1</t>
  </si>
  <si>
    <t>Macclesfield 1</t>
  </si>
  <si>
    <t>Telford - N52</t>
  </si>
  <si>
    <t>CRO 2</t>
  </si>
  <si>
    <t>Merseyside and Cheshire UPW Hub Team 1</t>
  </si>
  <si>
    <t>Unallocated Team(N52)</t>
  </si>
  <si>
    <t>YSS Rotherham OMU 1</t>
  </si>
  <si>
    <t>CRO 3</t>
  </si>
  <si>
    <t>Merseyside and Cheshire UPW Hub Team 2</t>
  </si>
  <si>
    <t>YSS Rotherham OMU 2</t>
  </si>
  <si>
    <t>CRO 4</t>
  </si>
  <si>
    <t>Merseyside and Cheshire UPW Hub Team 3</t>
  </si>
  <si>
    <t>YSS Rotherham OMU 3 - N55</t>
  </si>
  <si>
    <t>CRO 5 - N07</t>
  </si>
  <si>
    <t>Merseyside Resettle</t>
  </si>
  <si>
    <t>YSS Rotherham OMU 4 - N55</t>
  </si>
  <si>
    <t>CRO PQIP</t>
  </si>
  <si>
    <t>Merseyside SO IOM - N51</t>
  </si>
  <si>
    <t>EAH PQIP</t>
  </si>
  <si>
    <t>EAL 1</t>
  </si>
  <si>
    <t>Northwich 1</t>
  </si>
  <si>
    <t>EAL 2</t>
  </si>
  <si>
    <t>Northwich 2 - N51</t>
  </si>
  <si>
    <t>EAL 4 - N07</t>
  </si>
  <si>
    <t>Preston 1</t>
  </si>
  <si>
    <t>ENF 1</t>
  </si>
  <si>
    <t>Preston 2</t>
  </si>
  <si>
    <t>ZZ_Awaiting Reassignment - N59</t>
  </si>
  <si>
    <t>ENF 2</t>
  </si>
  <si>
    <t>Preston 3</t>
  </si>
  <si>
    <t>Walsall Team 1 - N52</t>
  </si>
  <si>
    <t>YSW Bfd Engagement</t>
  </si>
  <si>
    <t>ENF 3 - N07</t>
  </si>
  <si>
    <t>Preston 4 - N51</t>
  </si>
  <si>
    <t>Walsall Team 2 - N52</t>
  </si>
  <si>
    <t>YSW Bfd Female - N55</t>
  </si>
  <si>
    <t>ENF 4 - N07</t>
  </si>
  <si>
    <t>Preston 5  - N51</t>
  </si>
  <si>
    <t>Walsall Team 3 - N52</t>
  </si>
  <si>
    <t>YSW Bfd Resettlement 1 - N55</t>
  </si>
  <si>
    <t>Sefton 2</t>
  </si>
  <si>
    <t>Wolverhampton and Walsall Team 5 PQuiP</t>
  </si>
  <si>
    <t>YSW Bfd Resettlement 2 - N55</t>
  </si>
  <si>
    <t>GRE 1</t>
  </si>
  <si>
    <t>Sefton 3</t>
  </si>
  <si>
    <t>Wolverhampton Team 1 - N52</t>
  </si>
  <si>
    <t>GRE 2</t>
  </si>
  <si>
    <t>Sefton 4</t>
  </si>
  <si>
    <t>Wolverhampton Team 2 - N52</t>
  </si>
  <si>
    <t>GRE 3 - N07</t>
  </si>
  <si>
    <t>Sefton 5 - N51</t>
  </si>
  <si>
    <t>Wolverhampton Team 4 - N52</t>
  </si>
  <si>
    <t>GRE PQIP</t>
  </si>
  <si>
    <t>Sefton 6 - N51</t>
  </si>
  <si>
    <t>Women's Team Central Birmingham</t>
  </si>
  <si>
    <t>Leeds Sentence Management Team 2</t>
  </si>
  <si>
    <t>HAC 1</t>
  </si>
  <si>
    <t>Sefton IOM</t>
  </si>
  <si>
    <t>Women's Team South Birmingham</t>
  </si>
  <si>
    <t>Leeds Sentence Management Team 3</t>
  </si>
  <si>
    <t>HAC 2</t>
  </si>
  <si>
    <t>Sefton Unallocated</t>
  </si>
  <si>
    <t>Worcester - N52</t>
  </si>
  <si>
    <t>Leeds Sentence Management Team 4</t>
  </si>
  <si>
    <t>HAC 3 - N07</t>
  </si>
  <si>
    <t>Skelmersdale 1</t>
  </si>
  <si>
    <t>Worcester PQiPs</t>
  </si>
  <si>
    <t>Leeds Sentence Management Team 5</t>
  </si>
  <si>
    <t>HAC 4 - N07</t>
  </si>
  <si>
    <t>Skelmersdale 2 - N51</t>
  </si>
  <si>
    <t>Young Adults Central Birmingham</t>
  </si>
  <si>
    <t>Leeds Sentence Management Team 6</t>
  </si>
  <si>
    <t>HAR 1</t>
  </si>
  <si>
    <t>St Helens 1</t>
  </si>
  <si>
    <t>Young Adults East Birmingham</t>
  </si>
  <si>
    <t>Leeds Sentence Management Team 9</t>
  </si>
  <si>
    <t>HAR 2</t>
  </si>
  <si>
    <t>St Helens 2</t>
  </si>
  <si>
    <t>Young Adults North Birmingham</t>
  </si>
  <si>
    <t>Leeds Sentence Management Team 10</t>
  </si>
  <si>
    <t>HAR 3 - N07</t>
  </si>
  <si>
    <t>St Helens Unallocated</t>
  </si>
  <si>
    <t>Young Adults South Birmingham</t>
  </si>
  <si>
    <t>Leeds Sentence Management Team 11</t>
  </si>
  <si>
    <t>HAR 4</t>
  </si>
  <si>
    <t>TTG HMP Hindley - N51</t>
  </si>
  <si>
    <t>Leeds Sentence Management Team 12</t>
  </si>
  <si>
    <t>HFKCW 1</t>
  </si>
  <si>
    <t>Unallocated Team(N51) - N51</t>
  </si>
  <si>
    <t>Leeds Sentence Management Team 13</t>
  </si>
  <si>
    <t>HFKCW 2</t>
  </si>
  <si>
    <t>Warrington 1</t>
  </si>
  <si>
    <t>Leeds Sentence Management Team 14</t>
  </si>
  <si>
    <t>HFKCW 3</t>
  </si>
  <si>
    <t>Warrington 2 - N51</t>
  </si>
  <si>
    <t>Leeds Sentence Management Team 15</t>
  </si>
  <si>
    <t>HFKCW 4</t>
  </si>
  <si>
    <t>Wirral 1</t>
  </si>
  <si>
    <t>HIL 1</t>
  </si>
  <si>
    <t>Wirral 2</t>
  </si>
  <si>
    <t>HIL 2</t>
  </si>
  <si>
    <t>Wirral 3</t>
  </si>
  <si>
    <t>Wirral 4</t>
  </si>
  <si>
    <t>HOU 1</t>
  </si>
  <si>
    <t>Wirral 5</t>
  </si>
  <si>
    <t>HOU 2 - N07</t>
  </si>
  <si>
    <t>Women 1</t>
  </si>
  <si>
    <t>HRW 1</t>
  </si>
  <si>
    <t>Women 2 - N51</t>
  </si>
  <si>
    <t>HRW 2</t>
  </si>
  <si>
    <t>Women 3 - N51</t>
  </si>
  <si>
    <t>HRW PQIP</t>
  </si>
  <si>
    <t>Women 4 - N51</t>
  </si>
  <si>
    <t>Inactive Team(N07)</t>
  </si>
  <si>
    <t>Women Unallocated</t>
  </si>
  <si>
    <t>KAR 1</t>
  </si>
  <si>
    <t>Workington 1</t>
  </si>
  <si>
    <t>KAR PQIP</t>
  </si>
  <si>
    <t>Workington 2 - N51</t>
  </si>
  <si>
    <t>LAM 1</t>
  </si>
  <si>
    <t>LAM 2</t>
  </si>
  <si>
    <t>LAM 3</t>
  </si>
  <si>
    <t>LAM 4 - N07</t>
  </si>
  <si>
    <t>LAM Business Support Team</t>
  </si>
  <si>
    <t>LEW 1</t>
  </si>
  <si>
    <t>LEW 2</t>
  </si>
  <si>
    <t>LEW 3 - N07</t>
  </si>
  <si>
    <t>LEW 4 - N07</t>
  </si>
  <si>
    <t>LEW PQIP</t>
  </si>
  <si>
    <t>MAS 1</t>
  </si>
  <si>
    <t>MAS 2</t>
  </si>
  <si>
    <t>MAS 3</t>
  </si>
  <si>
    <t>NEW 1</t>
  </si>
  <si>
    <t>NEW 2</t>
  </si>
  <si>
    <t>NEW 3</t>
  </si>
  <si>
    <t>NEW 4 - N07</t>
  </si>
  <si>
    <t>NEW 5 - N07</t>
  </si>
  <si>
    <t>New Case Allocation London</t>
  </si>
  <si>
    <t>Other Third Party EM Supervision - N07</t>
  </si>
  <si>
    <t>RWF 1</t>
  </si>
  <si>
    <t>RWF 2</t>
  </si>
  <si>
    <t>RWF 3</t>
  </si>
  <si>
    <t>RWF 4</t>
  </si>
  <si>
    <t>RWF 5</t>
  </si>
  <si>
    <t>RWF 6</t>
  </si>
  <si>
    <t>RWF Business Support Team</t>
  </si>
  <si>
    <t>SAC East - N07</t>
  </si>
  <si>
    <t>SAC North - N07</t>
  </si>
  <si>
    <t>SAC South - N07</t>
  </si>
  <si>
    <t>SAC West - N07</t>
  </si>
  <si>
    <t>SOU 1</t>
  </si>
  <si>
    <t>SOU 2</t>
  </si>
  <si>
    <t>SOU 3 PQIP</t>
  </si>
  <si>
    <t>SOU 4 - N07</t>
  </si>
  <si>
    <t>SOU 5 - N07</t>
  </si>
  <si>
    <t>Structured Interventions Team</t>
  </si>
  <si>
    <t>TWR 1</t>
  </si>
  <si>
    <t>TWR 2</t>
  </si>
  <si>
    <t>TWR 3 - N07</t>
  </si>
  <si>
    <t>TWR 4 - N07</t>
  </si>
  <si>
    <t>TWR 5 PQIP</t>
  </si>
  <si>
    <t>Unallocated Team(N07)</t>
  </si>
  <si>
    <t>WAN 1</t>
  </si>
  <si>
    <t>WAN 3 - N07</t>
  </si>
  <si>
    <t>WAN PQIP</t>
  </si>
  <si>
    <t>WSAC - N07</t>
  </si>
  <si>
    <t>Region</t>
  </si>
  <si>
    <t>LDU cluster</t>
  </si>
  <si>
    <t>team</t>
  </si>
  <si>
    <t>offender manager</t>
  </si>
  <si>
    <t>grade code</t>
  </si>
  <si>
    <t>capacity percentage</t>
  </si>
  <si>
    <t>capacity points</t>
  </si>
  <si>
    <t>remaining points</t>
  </si>
  <si>
    <t>contracted hours</t>
  </si>
  <si>
    <t>reduction hours</t>
  </si>
  <si>
    <t>total cases</t>
  </si>
  <si>
    <t>CMS points</t>
  </si>
  <si>
    <t>CMS percentage</t>
  </si>
  <si>
    <t>Division</t>
  </si>
  <si>
    <t>Cluster</t>
  </si>
  <si>
    <t>PO capacity</t>
  </si>
  <si>
    <t>PSO capacity</t>
  </si>
  <si>
    <t>PO/PSO range</t>
  </si>
  <si>
    <t>PSO  CMS % of overall available capacity</t>
  </si>
  <si>
    <t>TPO CMS % of overall available</t>
  </si>
  <si>
    <t>All West Yorkshire</t>
  </si>
  <si>
    <t>Corporate Services - N55</t>
  </si>
  <si>
    <t>PSC - C05</t>
  </si>
  <si>
    <t>sentence type</t>
  </si>
  <si>
    <t>cluster</t>
  </si>
  <si>
    <t>grade</t>
  </si>
  <si>
    <t>A0</t>
  </si>
  <si>
    <t>A1</t>
  </si>
  <si>
    <t>A2</t>
  </si>
  <si>
    <t>A3</t>
  </si>
  <si>
    <t>B0</t>
  </si>
  <si>
    <t>B1</t>
  </si>
  <si>
    <t>B2</t>
  </si>
  <si>
    <t>B3</t>
  </si>
  <si>
    <t>C0</t>
  </si>
  <si>
    <t>C1</t>
  </si>
  <si>
    <t>C2</t>
  </si>
  <si>
    <t>C3</t>
  </si>
  <si>
    <t>D0</t>
  </si>
  <si>
    <t>D1</t>
  </si>
  <si>
    <t>D2</t>
  </si>
  <si>
    <t>D3</t>
  </si>
  <si>
    <t>untiered</t>
  </si>
  <si>
    <t>overall</t>
  </si>
  <si>
    <t>reason</t>
  </si>
  <si>
    <t>hours</t>
  </si>
  <si>
    <t>start date</t>
  </si>
  <si>
    <t>end date</t>
  </si>
  <si>
    <t>status</t>
  </si>
  <si>
    <t>additional notes</t>
  </si>
  <si>
    <t>National frequency of applied active caseload reductions</t>
  </si>
  <si>
    <t>Reduction reason</t>
  </si>
  <si>
    <t>Overall reduction in hours</t>
  </si>
  <si>
    <t>% of total reduction in hours</t>
  </si>
  <si>
    <t>Adoption Leave</t>
  </si>
  <si>
    <t>Co-Worked Cases</t>
  </si>
  <si>
    <t>Court Duty</t>
  </si>
  <si>
    <t>Disability</t>
  </si>
  <si>
    <t>Groups (Group supervision)</t>
  </si>
  <si>
    <t>Groups (Induction)</t>
  </si>
  <si>
    <t>Learning &amp; Development</t>
  </si>
  <si>
    <t>Level 4 and Level 5 Access</t>
  </si>
  <si>
    <t>Long Term Sickness Absence</t>
  </si>
  <si>
    <t>MARAC SPOC</t>
  </si>
  <si>
    <t>Maternity Leave</t>
  </si>
  <si>
    <t>Mentoring-early 1</t>
  </si>
  <si>
    <t>Mentoring-mid 1</t>
  </si>
  <si>
    <t>Mentoring-Early 2</t>
  </si>
  <si>
    <t>Mentoring -Mid 2</t>
  </si>
  <si>
    <t>Mentoring-mid 2</t>
  </si>
  <si>
    <t>Mentoring-Early 3</t>
  </si>
  <si>
    <t>Mentoring-Mid 3</t>
  </si>
  <si>
    <t>NQO</t>
  </si>
  <si>
    <t>OM Custody</t>
  </si>
  <si>
    <t>Other</t>
  </si>
  <si>
    <t>Other Paid Leave (e.g. Jury Service)</t>
  </si>
  <si>
    <t>Other Unpaid Leave</t>
  </si>
  <si>
    <t>Phased Return to Work</t>
  </si>
  <si>
    <t>Pregnancy</t>
  </si>
  <si>
    <t>PQiP21 Part-time 0-9 mths</t>
  </si>
  <si>
    <t>PQiP21 Part-time 10-16 mths</t>
  </si>
  <si>
    <t>PQiP21 Part-time 17-21 mths</t>
  </si>
  <si>
    <t>PQiP30 Part-time 0-9 mths</t>
  </si>
  <si>
    <t>PQiP30 Part-time 10-24 mths</t>
  </si>
  <si>
    <t>PQiP30 Part-time 25-30 mths</t>
  </si>
  <si>
    <t>PSO Learning &amp; Development</t>
  </si>
  <si>
    <t>Special Leave</t>
  </si>
  <si>
    <t>Split Role</t>
  </si>
  <si>
    <t>SPOC Lead</t>
  </si>
  <si>
    <t>Trade Union Facility Time</t>
  </si>
  <si>
    <t>VQ3</t>
  </si>
  <si>
    <t>Wales Pilot Only - Short Term Sentences</t>
  </si>
  <si>
    <t>Wellbeing/Work-life balance</t>
  </si>
  <si>
    <t>Total frequency of active caseload reductions nationally</t>
  </si>
  <si>
    <t>Grand Total Hours</t>
  </si>
  <si>
    <t xml:space="preserve">Frequently Asked Questions
</t>
  </si>
  <si>
    <r>
      <rPr>
        <b/>
        <sz val="22"/>
        <color rgb="FF7030A0"/>
        <rFont val="Tahoma"/>
        <family val="2"/>
      </rPr>
      <t>Regional Overview</t>
    </r>
    <r>
      <rPr>
        <sz val="22"/>
        <color rgb="FF7030A0"/>
        <rFont val="Tahoma"/>
        <family val="2"/>
      </rPr>
      <t xml:space="preserve">
</t>
    </r>
  </si>
  <si>
    <t>Please select your region in the cell below:</t>
  </si>
  <si>
    <t>OM capacity in use</t>
  </si>
  <si>
    <t>PO capacity in use</t>
  </si>
  <si>
    <t>PSO capacity in use</t>
  </si>
  <si>
    <t>TPO capacity in use</t>
  </si>
  <si>
    <t>all OM capacity in use</t>
  </si>
  <si>
    <t>PSO CMS % of capacity  in use (see FAQ page)</t>
  </si>
  <si>
    <t>PSO  CMS % of overall available capacity (see FAQ page)</t>
  </si>
  <si>
    <t>TPO CMS % of capacity  in use (see FAQ page)</t>
  </si>
  <si>
    <t>TPO CMS % of overall capacity (see FAQ page)</t>
  </si>
  <si>
    <t>Average</t>
  </si>
  <si>
    <t>Variance</t>
  </si>
  <si>
    <t>Capacity over 110% and under 90%</t>
  </si>
  <si>
    <t>Total POs present on WMT</t>
  </si>
  <si>
    <t>Frequency of POs above 110% capacity</t>
  </si>
  <si>
    <t>Percentage of POs above 110% capacity</t>
  </si>
  <si>
    <t>Total PSOs present on WMT</t>
  </si>
  <si>
    <t>Frequency of PSOs above 110% capacity</t>
  </si>
  <si>
    <t>Percentage of PSOs above 110% capacity</t>
  </si>
  <si>
    <t>Frequency of PSOs below 90% capacity</t>
  </si>
  <si>
    <t>Percentage of PSOs below 90% capacity</t>
  </si>
  <si>
    <t>Total TPOs present on WMT</t>
  </si>
  <si>
    <t>Frequency of TPOs above 110% capacity</t>
  </si>
  <si>
    <t>Percentage of TPOs above 110% capacity</t>
  </si>
  <si>
    <t>Total</t>
  </si>
  <si>
    <t>N/A</t>
  </si>
  <si>
    <t>Unallocated cases</t>
  </si>
  <si>
    <t>held by SPOs</t>
  </si>
  <si>
    <t>held by 'DMY' profiles</t>
  </si>
  <si>
    <t>Sum of 'DMY' and profiles held by SPOs</t>
  </si>
  <si>
    <t>Total cases overall</t>
  </si>
  <si>
    <t xml:space="preserve"> 'DMY' and SPO held profiles  as % of Total cases</t>
  </si>
  <si>
    <t>untiered cases</t>
  </si>
  <si>
    <t>Reductions as % of contract hours</t>
  </si>
  <si>
    <t>PO contract hours</t>
  </si>
  <si>
    <t xml:space="preserve">PO reduction hours </t>
  </si>
  <si>
    <t>PO reductions as % of contract hours</t>
  </si>
  <si>
    <t>PSO contract hours</t>
  </si>
  <si>
    <t xml:space="preserve">PSO reduction hours </t>
  </si>
  <si>
    <t>PSO reductions as % of contract hours</t>
  </si>
  <si>
    <t>TPO contract hours</t>
  </si>
  <si>
    <t xml:space="preserve">TPO reduction hours </t>
  </si>
  <si>
    <t>TPO reductions as % of contract hours</t>
  </si>
  <si>
    <t>National</t>
  </si>
  <si>
    <t>Region level applied active caseload reductions</t>
  </si>
  <si>
    <t>Region reductions summary</t>
  </si>
  <si>
    <t>reason for reduction</t>
  </si>
  <si>
    <t>frequency of application of reduction</t>
  </si>
  <si>
    <t>hours of reduction applied by reason</t>
  </si>
  <si>
    <t>Total frequency of applied reductions within division</t>
  </si>
  <si>
    <t>Total division reduction in hours</t>
  </si>
  <si>
    <t>Total division contracted hours</t>
  </si>
  <si>
    <t>reduction as % of Total division contract hours</t>
  </si>
  <si>
    <t>variance on national reductions as % of contract hours</t>
  </si>
  <si>
    <t>Mentoring-Mid 2</t>
  </si>
  <si>
    <t>Total cases within the division by tier and sentence type</t>
  </si>
  <si>
    <t>Custody</t>
  </si>
  <si>
    <t>Licence</t>
  </si>
  <si>
    <t>Community</t>
  </si>
  <si>
    <t>Overall</t>
  </si>
  <si>
    <t>Ratio of Total cases within the division by tier and sentence type</t>
  </si>
  <si>
    <t>Role</t>
  </si>
  <si>
    <t>PO</t>
  </si>
  <si>
    <t>Allocation of community order/SSO cases by grade</t>
  </si>
  <si>
    <t>Divisional allocation of community cases by grade as percentage</t>
  </si>
  <si>
    <t>Staff grade</t>
  </si>
  <si>
    <t>staff grade</t>
  </si>
  <si>
    <t>PSO</t>
  </si>
  <si>
    <t>TPO</t>
  </si>
  <si>
    <t>SPO</t>
  </si>
  <si>
    <t>Allocation of licence cases by grade</t>
  </si>
  <si>
    <t>Allocation of custody cases by grade</t>
  </si>
  <si>
    <t>Overall allocation of cases by grade</t>
  </si>
  <si>
    <t xml:space="preserve">HMIP Regional caseload per FTE Overview
</t>
  </si>
  <si>
    <t>Average PP's caseload (all)</t>
  </si>
  <si>
    <t>PP's capacity in use</t>
  </si>
  <si>
    <t>PO average caseload per FTE</t>
  </si>
  <si>
    <t>PSO average caseload per FTE</t>
  </si>
  <si>
    <t>TPO average caseload per FTE</t>
  </si>
  <si>
    <t>All PP's average caseload per FTE</t>
  </si>
  <si>
    <t>Average PO capacity in use</t>
  </si>
  <si>
    <t>Average PSO capacity in use</t>
  </si>
  <si>
    <t>Average TPO capacity in use</t>
  </si>
  <si>
    <t>Average PP's capacity in use</t>
  </si>
  <si>
    <t>Combined Average PO &amp; PSO capacity in use</t>
  </si>
  <si>
    <t>National Average</t>
  </si>
  <si>
    <t>Average PP's caseload (Community)</t>
  </si>
  <si>
    <t>Total caseloads (all PP's)</t>
  </si>
  <si>
    <t>Caseload</t>
  </si>
  <si>
    <t>Average PP's caseload (Licence)</t>
  </si>
  <si>
    <t>Average PP's caseload (Custody)</t>
  </si>
  <si>
    <t>Untiered</t>
  </si>
  <si>
    <t>Overall allocation of community cases by grade</t>
  </si>
  <si>
    <t>Overall allocation of licence cases by grade</t>
  </si>
  <si>
    <t>Overall allocation of custody cases by grade</t>
  </si>
  <si>
    <t>Average caseload by grade</t>
  </si>
  <si>
    <r>
      <rPr>
        <b/>
        <sz val="22"/>
        <color rgb="FF7030A0"/>
        <rFont val="Arial"/>
        <family val="2"/>
      </rPr>
      <t xml:space="preserve">                 HMIP PDU Caseload per FTE overview</t>
    </r>
    <r>
      <rPr>
        <b/>
        <sz val="22"/>
        <color theme="0"/>
        <rFont val="Arial"/>
        <family val="2"/>
      </rPr>
      <t xml:space="preserve">
</t>
    </r>
  </si>
  <si>
    <t>Please select your Region &amp; PDU in the cells below:</t>
  </si>
  <si>
    <t>PP capacity in use</t>
  </si>
  <si>
    <t>All OM average caseload per FTE</t>
  </si>
  <si>
    <t>Average OM capacity in use</t>
  </si>
  <si>
    <t>variance</t>
  </si>
  <si>
    <t>PDU Total caseload (all PP's)</t>
  </si>
  <si>
    <t>Average PP caseload (Custody)</t>
  </si>
  <si>
    <t xml:space="preserve">                  PDU Overview
</t>
  </si>
  <si>
    <t>Please select your region in the cell below, and your cluster in the box below that:</t>
  </si>
  <si>
    <t>All OM capacity in use</t>
  </si>
  <si>
    <t>PSO CMS % of capacity in use (see FAQ page)</t>
  </si>
  <si>
    <t>National total</t>
  </si>
  <si>
    <t>Held by SPOs</t>
  </si>
  <si>
    <t>Held by unallocated profiles</t>
  </si>
  <si>
    <t>Total cases that require allocation</t>
  </si>
  <si>
    <t>Unallocated cases as % of total cases</t>
  </si>
  <si>
    <t xml:space="preserve">Untiered cases </t>
  </si>
  <si>
    <t>National Total</t>
  </si>
  <si>
    <t>PDU level applied active caseload reductions</t>
  </si>
  <si>
    <t>PDU reductions summary</t>
  </si>
  <si>
    <t>Reason for reduction</t>
  </si>
  <si>
    <t>Frequency of application of reduction</t>
  </si>
  <si>
    <t>Hours of reduction applied by reason</t>
  </si>
  <si>
    <t>Total frequency of applied reductions within cluster</t>
  </si>
  <si>
    <t>Total cluster reduction in hours</t>
  </si>
  <si>
    <t>Total cluster contracted hours</t>
  </si>
  <si>
    <t>Reductions as % of total cluster contract hours</t>
  </si>
  <si>
    <t>Variance on national reductions as % of contract hours</t>
  </si>
  <si>
    <t>Total cases within the cluster by tier and sentence type</t>
  </si>
  <si>
    <t>Ratio of total cases within the cluster by tier and sentence type</t>
  </si>
  <si>
    <r>
      <rPr>
        <b/>
        <sz val="22"/>
        <color rgb="FF7030A0"/>
        <rFont val="Arial"/>
        <family val="2"/>
      </rPr>
      <t xml:space="preserve"> Team Overview</t>
    </r>
    <r>
      <rPr>
        <b/>
        <sz val="22"/>
        <color theme="0"/>
        <rFont val="Arial"/>
        <family val="2"/>
      </rPr>
      <t xml:space="preserve">
</t>
    </r>
  </si>
  <si>
    <t>Please select your region in the cell below, and your team in the box below that:</t>
  </si>
  <si>
    <t>`</t>
  </si>
  <si>
    <t>Unallocated cases as % of Total cases</t>
  </si>
  <si>
    <t>Team level applied active caseload reductions</t>
  </si>
  <si>
    <t>Team reductions summary</t>
  </si>
  <si>
    <t>Total Frequency of applied reductions within team</t>
  </si>
  <si>
    <t>Total team reduction in hours</t>
  </si>
  <si>
    <t>Total team contracted hours</t>
  </si>
  <si>
    <t>Reductions as % of Total team contract hours</t>
  </si>
  <si>
    <r>
      <rPr>
        <b/>
        <sz val="22"/>
        <color rgb="FF7030A0"/>
        <rFont val="Arial"/>
        <family val="2"/>
      </rPr>
      <t>National Caseload Allocation by Tier</t>
    </r>
    <r>
      <rPr>
        <b/>
        <sz val="12"/>
        <color rgb="FF7030A0"/>
        <rFont val="Arial"/>
        <family val="2"/>
      </rPr>
      <t xml:space="preserve">
</t>
    </r>
    <r>
      <rPr>
        <sz val="12"/>
        <color rgb="FF7030A0"/>
        <rFont val="Arial"/>
        <family val="2"/>
      </rPr>
      <t>These summations do NOT include unallocated cases</t>
    </r>
  </si>
  <si>
    <t>Overall caseload allocation by grade</t>
  </si>
  <si>
    <t>Overall caseload allocation by grade as percentage</t>
  </si>
  <si>
    <t>role</t>
  </si>
  <si>
    <r>
      <t>Total (</t>
    </r>
    <r>
      <rPr>
        <b/>
        <sz val="10"/>
        <color rgb="FFFF0000"/>
        <rFont val="Arial"/>
        <family val="2"/>
      </rPr>
      <t>including unallocated cases</t>
    </r>
    <r>
      <rPr>
        <b/>
        <sz val="10"/>
        <color theme="1"/>
        <rFont val="Arial"/>
        <family val="2"/>
      </rPr>
      <t>)</t>
    </r>
  </si>
  <si>
    <t>Allocation of cases in the community by grade</t>
  </si>
  <si>
    <t>Allocation of cases in the community by grade as percentage</t>
  </si>
  <si>
    <t>Allocation of cases in custody by grade</t>
  </si>
  <si>
    <t>Allocation of cases in custody by grade as percentage</t>
  </si>
  <si>
    <t xml:space="preserve"> National Breakdown Ratios of Caseload Allocation by Tier
</t>
  </si>
  <si>
    <t>Overall total cases within regions by tier as percentage</t>
  </si>
  <si>
    <t>Overall Total</t>
  </si>
  <si>
    <t>Total custody cases within regions by tier</t>
  </si>
  <si>
    <t>Ratios of total custody cases within regions by tier</t>
  </si>
  <si>
    <t>Total licence cases within regions by tier</t>
  </si>
  <si>
    <t>Ratios of total licence cases within regions by tier</t>
  </si>
  <si>
    <t xml:space="preserve">South West </t>
  </si>
  <si>
    <t>Total community cases within regions by tier</t>
  </si>
  <si>
    <t>Ratios of total community cases within regions by tier</t>
  </si>
  <si>
    <t>Regional Overall Allocation of Cases</t>
  </si>
  <si>
    <t>Total cases within cluster (including dummy officers):</t>
  </si>
  <si>
    <t>Total cases within cluster including dummy officers):</t>
  </si>
  <si>
    <t>Total cases within cluster (including dummy officers:</t>
  </si>
  <si>
    <t xml:space="preserve">Regional Overall Allocation of Cases as Percentage
</t>
  </si>
  <si>
    <t>Total case percentages within cluster (including dummy officers):</t>
  </si>
  <si>
    <t xml:space="preserve"> PDU Level Capacities, Reduction of Hours and Unallocated Cases</t>
  </si>
  <si>
    <t>PDU</t>
  </si>
  <si>
    <t>PO capacity (in use)</t>
  </si>
  <si>
    <t>PSO capacity (in use)</t>
  </si>
  <si>
    <t>TPO capacity (in use)</t>
  </si>
  <si>
    <t>Midlands</t>
  </si>
  <si>
    <t>North East</t>
  </si>
  <si>
    <t>North West</t>
  </si>
  <si>
    <t>South East and Eastern</t>
  </si>
  <si>
    <t>South West and South Central</t>
  </si>
  <si>
    <t>total cluster POs present on WMT</t>
  </si>
  <si>
    <t>frequency of cluster POs above 110% capacity</t>
  </si>
  <si>
    <t>percentage of cluster POs above 110% capacity</t>
  </si>
  <si>
    <t>total cluster PSOs present on WMT</t>
  </si>
  <si>
    <t>frequency of cluster PSOs above 110% capacity</t>
  </si>
  <si>
    <t>percentage of cluster PSOs above 110% capacity</t>
  </si>
  <si>
    <t>frequency of cluster PSOs below 90% capacity</t>
  </si>
  <si>
    <t>percentage of cluster PSOs below 90% capacity</t>
  </si>
  <si>
    <t>total cluster TPOs present on WMT</t>
  </si>
  <si>
    <t>frequency of cluster TPOs above 110% capacity</t>
  </si>
  <si>
    <t>percentage of cluster TPOs above 110% capacity</t>
  </si>
  <si>
    <t>total active cases by cluster</t>
  </si>
  <si>
    <t>dummy officers</t>
  </si>
  <si>
    <t>cases held by dummy officers</t>
  </si>
  <si>
    <t>% of active cases held by dummy officers</t>
  </si>
  <si>
    <t>cases held by SPOs</t>
  </si>
  <si>
    <t>total cases that require allocation</t>
  </si>
  <si>
    <t>cases that require allocation as % of total</t>
  </si>
  <si>
    <t xml:space="preserve">Regional Allocation of Custody Cases
</t>
  </si>
  <si>
    <t>Total custody cases within cluster (including dummy officers):</t>
  </si>
  <si>
    <t>Total custody cases within cluster including dummy officers):</t>
  </si>
  <si>
    <t>Regional Allocation of Custody Cases as Percentage</t>
  </si>
  <si>
    <t xml:space="preserve">              Regional Allocation of Cases in the Community</t>
  </si>
  <si>
    <t>Total cases in the community within cluster (including dummy officers):</t>
  </si>
  <si>
    <t>Total cases in the community within cluster including dummy officers):</t>
  </si>
  <si>
    <t xml:space="preserve">Regional Allocation of Cases in the Community as Percentage
</t>
  </si>
  <si>
    <t>Please select your region below:</t>
  </si>
  <si>
    <t>Total cases in the community within cluster as percentage (including dummy officers):</t>
  </si>
  <si>
    <t>Probation Practitioner Capacity In Use</t>
  </si>
  <si>
    <t>PDU Top Ten Cluster OM Capacity Rankings</t>
  </si>
  <si>
    <t>Highest capacity PO PDU</t>
  </si>
  <si>
    <t>Lowest capacity PSO PDU</t>
  </si>
  <si>
    <t>region</t>
  </si>
  <si>
    <t>PDU with greatest range between PO and PSO capacity (average PO capacity minus average PSO capacity)</t>
  </si>
  <si>
    <t>PDU with highest capacity of PSO CMS activity as percentage of overall available capacity (most use of PSO CMS)</t>
  </si>
  <si>
    <t>PDU with lowest capacity of PSO CMS activity as percentage of overall available capacity (least use of PSO CMS)</t>
  </si>
  <si>
    <t>PO to PSO capacity range</t>
  </si>
  <si>
    <t>capacity</t>
  </si>
  <si>
    <t>PDU with highest capacity of TPO CMS activity as percentage of overall available capacity (most use of TPO CMS)</t>
  </si>
  <si>
    <t>PDU with lowest capacity of TPO CMS activity as percentage of overall available capacity (least use of TPO CMS)</t>
  </si>
  <si>
    <t xml:space="preserve">  Over Capacity Probation Practitioners By Region</t>
  </si>
  <si>
    <t>Incidence of PO grade staff over 110% capacity</t>
  </si>
  <si>
    <t>Incidence of PSO grade staff over 110% capacity</t>
  </si>
  <si>
    <t>Total Region POs present on WMT</t>
  </si>
  <si>
    <t>Percentage of Region POs above 110% capacity</t>
  </si>
  <si>
    <t>Region highest capacity individual PO</t>
  </si>
  <si>
    <t>Total Region PSOs present on WMT</t>
  </si>
  <si>
    <t>Frequency of Region PSOs above 110% capacity</t>
  </si>
  <si>
    <t>Percentage of Region PSOs over 110% capacity</t>
  </si>
  <si>
    <t>Region highest capacity individual PSO</t>
  </si>
  <si>
    <t>Incidence of TPO grade staff over 110% capacity</t>
  </si>
  <si>
    <t>Incidence of PSO grade staff below 90% capacity</t>
  </si>
  <si>
    <t>Total Region TPOs present on WMT</t>
  </si>
  <si>
    <t>Frequency of Region TPOs above 110% capacity</t>
  </si>
  <si>
    <t>Percentage of Region TPOs over 110% capacity</t>
  </si>
  <si>
    <t>Region highest capacity individual TPO</t>
  </si>
  <si>
    <t>Frequency of Region PSOs below 90% capacity</t>
  </si>
  <si>
    <t>Percentage of Region PSOs below 90% capacity</t>
  </si>
  <si>
    <t>Unallocated Cases</t>
  </si>
  <si>
    <t>Other unallocated profiles</t>
  </si>
  <si>
    <t>Total unallocated</t>
  </si>
  <si>
    <t>Total cases</t>
  </si>
  <si>
    <t>Cases</t>
  </si>
  <si>
    <t>% of total</t>
  </si>
  <si>
    <t>Regional Reasons for Reduction</t>
  </si>
  <si>
    <t>National number of applied active caseload reductions (top 15 displayed)</t>
  </si>
  <si>
    <t>National sum hours of applied active caseload reductions (top 15 displayed)</t>
  </si>
  <si>
    <t>as percentage of total reduction hours</t>
  </si>
  <si>
    <t>Total number of top fifteen active caseload reductions as above</t>
  </si>
  <si>
    <t>Total sum hours of top fifteen active caseload reductions as above</t>
  </si>
  <si>
    <t>Total number of all active caseload reductions nationally</t>
  </si>
  <si>
    <t>Total sum hours of all active caseload reductions nationally</t>
  </si>
  <si>
    <t>Regional level - Number of applied active caseload reductions</t>
  </si>
  <si>
    <t>total</t>
  </si>
  <si>
    <t>Regional level - Hours of reduction by reason</t>
  </si>
  <si>
    <t>Total regional contracted hours</t>
  </si>
  <si>
    <t>% of total regional contracted hours</t>
  </si>
  <si>
    <t>PDU Reasons for Reduction</t>
  </si>
  <si>
    <t>total frequency of applied reductions within PDU</t>
  </si>
  <si>
    <t>total PDU reduction in hours</t>
  </si>
  <si>
    <t>total PDU contracted hours</t>
  </si>
  <si>
    <t>reductions as % of total PDU contract hours</t>
  </si>
  <si>
    <t>Regional Reductions as % of Contracted Hours</t>
  </si>
  <si>
    <t xml:space="preserve"> Region</t>
  </si>
  <si>
    <t>Overall Totals</t>
  </si>
  <si>
    <t>Contracted hours</t>
  </si>
  <si>
    <t>Reduction in hours</t>
  </si>
  <si>
    <t>Reductions as % of contracted hours</t>
  </si>
  <si>
    <t>Reduction hours</t>
  </si>
  <si>
    <t>Caseload Data</t>
  </si>
  <si>
    <t>Allocation By Tier Data Last Updated</t>
  </si>
  <si>
    <t xml:space="preserve"> </t>
  </si>
  <si>
    <t xml:space="preserve">                          Capacity Data</t>
  </si>
  <si>
    <t xml:space="preserve">                                         Reductions Data</t>
  </si>
  <si>
    <t>Buckinghamshire and Milton Keynes 1</t>
  </si>
  <si>
    <t>Buckinghamshire and Milton Keynes 2</t>
  </si>
  <si>
    <t>Buckinghamshire and Milton Keynes 3</t>
  </si>
  <si>
    <t>Buckinghamshire and Milton Keynes 4</t>
  </si>
  <si>
    <t>Buckinghamshire and Milton Keynes 5</t>
  </si>
  <si>
    <t>Buckinghamshire and Milton Keynes 6</t>
  </si>
  <si>
    <t>Buckinghamshire and Milton Keynes 7</t>
  </si>
  <si>
    <t>Hampshire North and East 1</t>
  </si>
  <si>
    <t>Hampshire North and East 2</t>
  </si>
  <si>
    <t>Hampshire North and East 3</t>
  </si>
  <si>
    <t>Hampshire North and East 4</t>
  </si>
  <si>
    <t>Hampshire North and East 5</t>
  </si>
  <si>
    <t>Hampshire North and East 6</t>
  </si>
  <si>
    <t>Hampshire North and East 7</t>
  </si>
  <si>
    <t>Hampshire North and East Business Support Unit</t>
  </si>
  <si>
    <t>Oxfordshire 1</t>
  </si>
  <si>
    <t>Oxfordshire 2</t>
  </si>
  <si>
    <t>Oxfordshire 3</t>
  </si>
  <si>
    <t>Oxfordshire 4</t>
  </si>
  <si>
    <t>Oxfordshire 5</t>
  </si>
  <si>
    <t>Oxfordshire 6</t>
  </si>
  <si>
    <t>Oxfordshire Business Support Unit</t>
  </si>
  <si>
    <t>Portsmouth and Isle of Wight 1</t>
  </si>
  <si>
    <t>Portsmouth and Isle of Wight 2</t>
  </si>
  <si>
    <t>Portsmouth and Isle of Wight 3</t>
  </si>
  <si>
    <t>Portsmouth and Isle of Wight 4</t>
  </si>
  <si>
    <t>Portsmouth and Isle of Wight 5</t>
  </si>
  <si>
    <t>Portsmouth and Isle of Wight Business Support Unit</t>
  </si>
  <si>
    <t>Southampton, Eastleigh and New Forest 1</t>
  </si>
  <si>
    <t>Southampton, Eastleigh and New Forest 2</t>
  </si>
  <si>
    <t>Southampton, Eastleigh and New Forest 3</t>
  </si>
  <si>
    <t>Southampton, Eastleigh and New Forest 4</t>
  </si>
  <si>
    <t>Southampton, Eastleigh and New Forest 5</t>
  </si>
  <si>
    <t>Southampton, Eastleigh and New Forest 6</t>
  </si>
  <si>
    <t>West Berkshire 1</t>
  </si>
  <si>
    <t>West Berkshire 2</t>
  </si>
  <si>
    <t>West Berkshire 3</t>
  </si>
  <si>
    <t>West Berkshire 4</t>
  </si>
  <si>
    <t>West Berkshire 5</t>
  </si>
  <si>
    <t>West Berkshire 6</t>
  </si>
  <si>
    <t xml:space="preserve"> PO &amp; PSO Combined Average  Caseload per FTE</t>
  </si>
  <si>
    <t>Toal Number of Cases</t>
  </si>
  <si>
    <t>Number of Hours</t>
  </si>
  <si>
    <t>Total FTE</t>
  </si>
  <si>
    <t>National Cases</t>
  </si>
  <si>
    <t>Total hours</t>
  </si>
  <si>
    <t>SXE-Short Term Sentences</t>
  </si>
  <si>
    <t>PQIP15 Standard 0-6 mths</t>
  </si>
  <si>
    <t>PQIP15 Standard 12-15 mths</t>
  </si>
  <si>
    <t>PQiP15 Established 0-12 mths</t>
  </si>
  <si>
    <t>PQiP15 Established 13-15 mths</t>
  </si>
  <si>
    <t>PQiP21 Established 0-18 mths</t>
  </si>
  <si>
    <t>PQiP21 Established 19-21 mths</t>
  </si>
  <si>
    <t>PQIP21 Standard 0-6 mths</t>
  </si>
  <si>
    <t>PQIP21 Standard 18-21 mths</t>
  </si>
  <si>
    <t>PQIP21 Standard 6-18 mths</t>
  </si>
  <si>
    <t>Left Service</t>
  </si>
  <si>
    <t>PQIP15 Standard 7-12 mths</t>
  </si>
  <si>
    <t>PQIP21 Standard 7-18 mths</t>
  </si>
  <si>
    <t>York Sentence Management Team 1</t>
  </si>
  <si>
    <t>York Sentence Management Team 2</t>
  </si>
  <si>
    <t>York Sentence Management Team 3</t>
  </si>
  <si>
    <t>York Sentence Management Team 4</t>
  </si>
  <si>
    <t>York Community Integration Team</t>
  </si>
  <si>
    <t>Coventry Team 5</t>
  </si>
  <si>
    <t>Southampton, Eastleigh and New Forest Bus Sup Unit</t>
  </si>
  <si>
    <t>Buckinghamshire and Milton Keynes 8</t>
  </si>
  <si>
    <t>Buckinghamshire and Milton Keynes Bus Sup Unit</t>
  </si>
  <si>
    <t>BDH Business Support Team</t>
  </si>
  <si>
    <t>CRO Business Support Team</t>
  </si>
  <si>
    <t>Darlington 1</t>
  </si>
  <si>
    <t>Darlington 2</t>
  </si>
  <si>
    <t>Durham &amp; Darlington IOM</t>
  </si>
  <si>
    <t>North Durham 1</t>
  </si>
  <si>
    <t>North Durham 2</t>
  </si>
  <si>
    <t>Peterlee 1</t>
  </si>
  <si>
    <t>Peterlee 2</t>
  </si>
  <si>
    <t>South Durham 1</t>
  </si>
  <si>
    <t>South Durham 2</t>
  </si>
  <si>
    <t>Other Third Party EM Supervision</t>
  </si>
  <si>
    <t>BNS Sent Mgmt - Bath</t>
  </si>
  <si>
    <t>BNS Sent Mgmt - Weston</t>
  </si>
  <si>
    <t>BSG Sent Mgmt - Bristol</t>
  </si>
  <si>
    <t>BSG Sent Mgmt - Bristol CP Standalone</t>
  </si>
  <si>
    <t>BSG Sent Mgmt - Bristol IOM</t>
  </si>
  <si>
    <t>BSG Sent Mgmt - Bristol Under 25</t>
  </si>
  <si>
    <t>BSG Sent Mgmt - Bristol Women</t>
  </si>
  <si>
    <t>BSG Sent Mgmt - Sth Glos</t>
  </si>
  <si>
    <t>CIOS Sent Mgmt - Camborne &amp; Truro</t>
  </si>
  <si>
    <t>CIOS Sent Mgmt - St Austell</t>
  </si>
  <si>
    <t>DEV Sent Mgmt - Barnstaple</t>
  </si>
  <si>
    <t>DEV Sent Mgmt - Exeter</t>
  </si>
  <si>
    <t>DEV Sent Mgmt - Torbay</t>
  </si>
  <si>
    <t>DOR Sent Mgmt - Bournemouth</t>
  </si>
  <si>
    <t>DOR Sent Mgmt - Dorchester</t>
  </si>
  <si>
    <t>DOR Sent Mgmt - Poole</t>
  </si>
  <si>
    <t>DOR Sent Mgmt - Weymouth</t>
  </si>
  <si>
    <t>GCS Sent Mgmt - Cheltenham &amp; Tewkesbury 1</t>
  </si>
  <si>
    <t>GCS Sent Mgmt - Cheltenham &amp; Tewkesbury 2</t>
  </si>
  <si>
    <t>GCS Sent Mgmt - Gloucester</t>
  </si>
  <si>
    <t>GCS Sent Mgmt - Gloucester &amp; Coleford</t>
  </si>
  <si>
    <t>PLY Sent Mgmt - Plymouth 1</t>
  </si>
  <si>
    <t>PLY Sent Mgmt - Plymouth 2</t>
  </si>
  <si>
    <t>SOM Sent Mgmt - Bridgwater</t>
  </si>
  <si>
    <t>SOM Sent Mgmt - Taunton</t>
  </si>
  <si>
    <t>SOM Sent Mgmt - Yeovil</t>
  </si>
  <si>
    <t>WTS Sent Mgmt - Chippenham</t>
  </si>
  <si>
    <t>WTS Sent Mgmt - Salisbury</t>
  </si>
  <si>
    <t>WTS Sent Mgmt - Swindon 1</t>
  </si>
  <si>
    <t>Overall total cases within regions by tier</t>
  </si>
  <si>
    <t>Regional Unallocated Cases</t>
  </si>
  <si>
    <t xml:space="preserve">Wolverhampton Team 3 </t>
  </si>
  <si>
    <t>UPW SRO Central and North</t>
  </si>
  <si>
    <t>UPW SRO South and East</t>
  </si>
  <si>
    <t>UPW SRO</t>
  </si>
  <si>
    <t>GM Oldham 4</t>
  </si>
  <si>
    <t>National average</t>
  </si>
  <si>
    <t>Regional Probation Practitioners capacity in use</t>
  </si>
  <si>
    <t>National Reports</t>
  </si>
  <si>
    <t>Regional Reports</t>
  </si>
  <si>
    <t>PDU Reports</t>
  </si>
  <si>
    <t>HMIP Reports</t>
  </si>
  <si>
    <t>Team overviews</t>
  </si>
  <si>
    <t>PDU overviews</t>
  </si>
  <si>
    <t>Sheffield Community Integration Team</t>
  </si>
  <si>
    <t>Sheffield Sentence Management Team 1</t>
  </si>
  <si>
    <t>Sheffield Sentence Management Team 2</t>
  </si>
  <si>
    <t>Sheffield Sentence Management Team 3</t>
  </si>
  <si>
    <t>Sheffield Sentence Management Team 4</t>
  </si>
  <si>
    <t>Sheffield Sentence Management Team 5</t>
  </si>
  <si>
    <t>Sheffield Sentence Management Team 6</t>
  </si>
  <si>
    <t>Leeds Community Integration Team 1 (LSM7)</t>
  </si>
  <si>
    <t>Leeds Community Integration Team 2 (LSM8)</t>
  </si>
  <si>
    <t>Kirklees Sentence Management Team 1</t>
  </si>
  <si>
    <t>Kirklees Sentence Management Team 2</t>
  </si>
  <si>
    <t>Kirklees Sentence Management Team 3</t>
  </si>
  <si>
    <t>Kirklees Sentence Management Team 4</t>
  </si>
  <si>
    <t>Kirklees Community Integration Team</t>
  </si>
  <si>
    <t>DMY</t>
  </si>
  <si>
    <t>Unallocated</t>
  </si>
  <si>
    <t>Regional capacities by PDU, unallocated cases &amp; reductions in hours</t>
  </si>
  <si>
    <t>PQiPs North Staffordshire Team</t>
  </si>
  <si>
    <t>PQiPs South Staffordshire Team</t>
  </si>
  <si>
    <t>Awaiting Allocation East Yorkshire</t>
  </si>
  <si>
    <t>Awaiting Allocation North and N East Lincs</t>
  </si>
  <si>
    <t>Unallocated Team(N55)</t>
  </si>
  <si>
    <t>Accredited Programmes and Structured Interventions</t>
  </si>
  <si>
    <t>Public Protection Community</t>
  </si>
  <si>
    <t>Hull Sentence Management Team 1</t>
  </si>
  <si>
    <t>Hull Sentence Management Team 2</t>
  </si>
  <si>
    <t>Hull Sentence Management Team 3</t>
  </si>
  <si>
    <t>Hull Sentence Management Team 4</t>
  </si>
  <si>
    <t>Hull Sentence Management Team 5</t>
  </si>
  <si>
    <t>Hull Sentence Management Team 6</t>
  </si>
  <si>
    <t>Hull Community Intergration Team 1</t>
  </si>
  <si>
    <t>Hull Community Intergration Team 2</t>
  </si>
  <si>
    <t>Hull Community Intergration Team 3</t>
  </si>
  <si>
    <t>Beverley Sentence Management Team 7</t>
  </si>
  <si>
    <t>Bridlington Sentence Management Team 8</t>
  </si>
  <si>
    <t>Goole Sentence Management Team 9</t>
  </si>
  <si>
    <t>East Riding Community Integration Team</t>
  </si>
  <si>
    <t>Cluster allocation of Custody Cases by grade as percentage</t>
  </si>
  <si>
    <t>Cluster allocation of community cases by grade as percentage</t>
  </si>
  <si>
    <t>Cluster allocation of licence cases by grade as percentage</t>
  </si>
  <si>
    <t xml:space="preserve"> Cluster overall allocation of Cases by grade as percentage</t>
  </si>
  <si>
    <t>Gateshead 1</t>
  </si>
  <si>
    <t>Gateshead 3</t>
  </si>
  <si>
    <t>South Tyneside 1</t>
  </si>
  <si>
    <t>South Tyneside 2</t>
  </si>
  <si>
    <t>Doncaster Sentence Management Team 1</t>
  </si>
  <si>
    <t>Doncaster Sentence Management Team 2</t>
  </si>
  <si>
    <t>Doncaster Sentence Management Team 3</t>
  </si>
  <si>
    <t>Doncaster Sentence Management Team 4</t>
  </si>
  <si>
    <t>Doncaster Sentence Management Team 5</t>
  </si>
  <si>
    <t>Doncaster Community Integration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</si>
</sst>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WMT Data As At: &quot;dd/mm/yyyy"/>
  </numFmts>
  <fonts count="115" x14ac:knownFonts="1">
    <font>
      <sz val="11"/>
      <color theme="1"/>
      <name val="Times New Roman"/>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sz val="12"/>
      <color theme="1"/>
      <name val="Arial"/>
      <family val="2"/>
    </font>
    <font>
      <sz val="11"/>
      <color theme="1"/>
      <name val="Arial"/>
      <family val="2"/>
    </font>
    <font>
      <sz val="26"/>
      <color theme="0"/>
      <name val="Arial"/>
      <family val="2"/>
    </font>
    <font>
      <sz val="12"/>
      <color theme="0"/>
      <name val="Arial"/>
      <family val="2"/>
    </font>
    <font>
      <b/>
      <sz val="12"/>
      <color theme="0"/>
      <name val="Arial"/>
      <family val="2"/>
    </font>
    <font>
      <b/>
      <sz val="16"/>
      <color rgb="FF7030A0"/>
      <name val="Arial"/>
      <family val="2"/>
    </font>
    <font>
      <b/>
      <sz val="12"/>
      <color rgb="FF7030A0"/>
      <name val="Arial"/>
      <family val="2"/>
    </font>
    <font>
      <b/>
      <sz val="18"/>
      <color theme="1"/>
      <name val="Arial"/>
      <family val="2"/>
    </font>
    <font>
      <b/>
      <sz val="11"/>
      <color theme="1"/>
      <name val="Times New Roman"/>
      <family val="1"/>
    </font>
    <font>
      <b/>
      <sz val="11"/>
      <color theme="0"/>
      <name val="Arial"/>
      <family val="2"/>
    </font>
    <font>
      <b/>
      <sz val="12"/>
      <name val="Arial"/>
      <family val="2"/>
    </font>
    <font>
      <sz val="11"/>
      <color theme="1"/>
      <name val="Times New Roman"/>
      <family val="2"/>
    </font>
    <font>
      <b/>
      <sz val="11"/>
      <color theme="1"/>
      <name val="Times New Roman"/>
      <family val="2"/>
    </font>
    <font>
      <u/>
      <sz val="11"/>
      <color theme="10"/>
      <name val="Times New Roman"/>
      <family val="2"/>
    </font>
    <font>
      <sz val="11"/>
      <color theme="1"/>
      <name val="Calibri"/>
      <family val="2"/>
      <scheme val="minor"/>
    </font>
    <font>
      <b/>
      <u/>
      <sz val="12"/>
      <color theme="1"/>
      <name val="Arial"/>
      <family val="2"/>
    </font>
    <font>
      <b/>
      <sz val="20"/>
      <color theme="1"/>
      <name val="Arial"/>
      <family val="2"/>
    </font>
    <font>
      <sz val="10"/>
      <color theme="1"/>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1"/>
      <name val="Arial"/>
      <family val="2"/>
    </font>
    <font>
      <b/>
      <sz val="10"/>
      <color theme="0"/>
      <name val="Arial"/>
      <family val="2"/>
    </font>
    <font>
      <b/>
      <sz val="14"/>
      <color theme="1"/>
      <name val="Arial"/>
      <family val="2"/>
    </font>
    <font>
      <sz val="36"/>
      <color theme="0"/>
      <name val="Arial"/>
      <family val="2"/>
    </font>
    <font>
      <b/>
      <sz val="14"/>
      <color rgb="FF7030A0"/>
      <name val="Arial"/>
      <family val="2"/>
    </font>
    <font>
      <b/>
      <sz val="12"/>
      <color rgb="FFF2F2F2"/>
      <name val="Arial"/>
      <family val="2"/>
    </font>
    <font>
      <sz val="11"/>
      <color theme="0"/>
      <name val="Times New Roman"/>
      <family val="2"/>
    </font>
    <font>
      <sz val="11"/>
      <name val="Times New Roman"/>
      <family val="2"/>
    </font>
    <font>
      <sz val="18"/>
      <color theme="1"/>
      <name val="Arial"/>
      <family val="2"/>
    </font>
    <font>
      <sz val="14"/>
      <color theme="1"/>
      <name val="Arial"/>
      <family val="2"/>
    </font>
    <font>
      <sz val="14"/>
      <color theme="1"/>
      <name val="Times New Roman"/>
      <family val="2"/>
    </font>
    <font>
      <u/>
      <sz val="14"/>
      <color theme="10"/>
      <name val="Arial"/>
      <family val="2"/>
    </font>
    <font>
      <sz val="10"/>
      <color theme="1"/>
      <name val="Times New Roman"/>
      <family val="2"/>
    </font>
    <font>
      <b/>
      <sz val="10"/>
      <color rgb="FFF2F2F2"/>
      <name val="Arial"/>
      <family val="2"/>
    </font>
    <font>
      <b/>
      <sz val="18"/>
      <color theme="0"/>
      <name val="Arial"/>
      <family val="2"/>
    </font>
    <font>
      <sz val="10"/>
      <name val="Arial"/>
      <family val="2"/>
    </font>
    <font>
      <b/>
      <sz val="10"/>
      <color theme="1"/>
      <name val="Arial"/>
      <family val="2"/>
    </font>
    <font>
      <b/>
      <sz val="22"/>
      <color theme="0"/>
      <name val="Arial"/>
      <family val="2"/>
    </font>
    <font>
      <b/>
      <sz val="10"/>
      <name val="Arial"/>
      <family val="2"/>
    </font>
    <font>
      <sz val="10"/>
      <name val="Times New Roman"/>
      <family val="2"/>
    </font>
    <font>
      <sz val="22"/>
      <color theme="0"/>
      <name val="Arial"/>
      <family val="2"/>
    </font>
    <font>
      <b/>
      <sz val="11"/>
      <color rgb="FF7030A0"/>
      <name val="Arial"/>
      <family val="2"/>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Times New Roman"/>
      <family val="2"/>
    </font>
    <font>
      <sz val="22"/>
      <color theme="0"/>
      <name val="Tahoma"/>
      <family val="2"/>
    </font>
    <font>
      <sz val="22"/>
      <color rgb="FF7030A0"/>
      <name val="Tahoma"/>
      <family val="2"/>
    </font>
    <font>
      <b/>
      <sz val="22"/>
      <color rgb="FF7030A0"/>
      <name val="Tahoma"/>
      <family val="2"/>
    </font>
    <font>
      <b/>
      <sz val="16"/>
      <color theme="1"/>
      <name val="Arial"/>
      <family val="2"/>
    </font>
    <font>
      <b/>
      <sz val="22"/>
      <color rgb="FF7030A0"/>
      <name val="Arial"/>
      <family val="2"/>
    </font>
    <font>
      <sz val="11"/>
      <name val="Calibri"/>
      <family val="2"/>
      <scheme val="minor"/>
    </font>
    <font>
      <b/>
      <u/>
      <sz val="11"/>
      <color theme="1"/>
      <name val="Calibri"/>
      <family val="2"/>
      <scheme val="minor"/>
    </font>
    <font>
      <sz val="12"/>
      <color rgb="FF7030A0"/>
      <name val="Arial"/>
      <family val="2"/>
    </font>
    <font>
      <b/>
      <sz val="21"/>
      <color rgb="FF7030A0"/>
      <name val="Arial"/>
      <family val="2"/>
    </font>
    <font>
      <b/>
      <sz val="10"/>
      <color rgb="FFFF0000"/>
      <name val="Arial"/>
      <family val="2"/>
    </font>
    <font>
      <sz val="12"/>
      <color rgb="FF7030A0"/>
      <name val="Times New Roman"/>
      <family val="2"/>
    </font>
    <font>
      <b/>
      <sz val="11"/>
      <name val="Arial"/>
      <family val="2"/>
    </font>
    <font>
      <b/>
      <sz val="14"/>
      <color theme="0"/>
      <name val="Arial"/>
      <family val="2"/>
    </font>
    <font>
      <b/>
      <sz val="18"/>
      <color rgb="FF7030A0"/>
      <name val="Arial"/>
      <family val="2"/>
    </font>
    <font>
      <b/>
      <sz val="20"/>
      <color rgb="FF7030A0"/>
      <name val="Arial"/>
      <family val="2"/>
    </font>
    <font>
      <b/>
      <sz val="18"/>
      <color rgb="FF7030A0"/>
      <name val="Times New Roman"/>
      <family val="2"/>
    </font>
    <font>
      <sz val="18"/>
      <color rgb="FF7030A0"/>
      <name val="Times New Roman"/>
      <family val="2"/>
    </font>
    <font>
      <sz val="16"/>
      <color rgb="FF7030A0"/>
      <name val="Times New Roman"/>
      <family val="2"/>
    </font>
    <font>
      <b/>
      <sz val="10"/>
      <color rgb="FF7030A0"/>
      <name val="Arial"/>
      <family val="2"/>
    </font>
    <font>
      <b/>
      <sz val="11"/>
      <color rgb="FF7030A0"/>
      <name val="Times New Roman"/>
      <family val="2"/>
    </font>
    <font>
      <sz val="14"/>
      <color rgb="FF7030A0"/>
      <name val="Arial"/>
      <family val="2"/>
    </font>
    <font>
      <sz val="11"/>
      <color rgb="FF7030A0"/>
      <name val="Arial"/>
      <family val="2"/>
    </font>
    <font>
      <b/>
      <sz val="12"/>
      <color rgb="FF7030A0"/>
      <name val="Times New Roman"/>
      <family val="2"/>
    </font>
    <font>
      <sz val="11"/>
      <color rgb="FF7030A0"/>
      <name val="Times New Roman"/>
      <family val="2"/>
    </font>
    <font>
      <b/>
      <sz val="16"/>
      <color rgb="FF7030A0"/>
      <name val="Times New Roman"/>
      <family val="2"/>
    </font>
    <font>
      <sz val="12"/>
      <color theme="1"/>
      <name val="Times New Roman"/>
      <family val="2"/>
    </font>
    <font>
      <sz val="10"/>
      <color theme="1"/>
      <name val="Calibri"/>
      <family val="2"/>
    </font>
    <font>
      <sz val="11"/>
      <color theme="1"/>
      <name val="Calibri"/>
      <family val="2"/>
    </font>
    <font>
      <sz val="11"/>
      <color rgb="FF000000"/>
      <name val="Calibri"/>
      <family val="2"/>
    </font>
    <font>
      <sz val="11"/>
      <color theme="2"/>
      <name val="Times New Roman"/>
      <family val="2"/>
    </font>
    <font>
      <sz val="8"/>
      <color theme="1"/>
      <name val="Times New Roman"/>
      <family val="2"/>
    </font>
    <font>
      <sz val="10"/>
      <color rgb="FF000000"/>
      <name val="Arial"/>
      <family val="2"/>
    </font>
    <font>
      <sz val="11"/>
      <color rgb="FF000000"/>
      <name val="Arial"/>
      <family val="2"/>
    </font>
    <font>
      <sz val="11"/>
      <color rgb="FFFF0000"/>
      <name val="Times New Roman"/>
      <family val="2"/>
    </font>
    <font>
      <sz val="10"/>
      <color rgb="FF7030A0"/>
      <name val="Tahoma"/>
      <family val="2"/>
    </font>
    <font>
      <b/>
      <sz val="16"/>
      <color theme="0"/>
      <name val="Arial"/>
      <family val="2"/>
    </font>
    <font>
      <sz val="26"/>
      <color rgb="FF7030A0"/>
      <name val="Arial"/>
      <family val="2"/>
    </font>
    <font>
      <sz val="11"/>
      <color rgb="FF000000"/>
      <name val="Calibri"/>
      <family val="2"/>
      <scheme val="minor"/>
    </font>
  </fonts>
  <fills count="5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4" tint="0.59999389629810485"/>
        <bgColor indexed="64"/>
      </patternFill>
    </fill>
    <fill>
      <gradientFill degree="180">
        <stop position="0">
          <color theme="0"/>
        </stop>
        <stop position="1">
          <color rgb="FF7030A0"/>
        </stop>
      </gradientFill>
    </fill>
    <fill>
      <patternFill patternType="solid">
        <fgColor rgb="FF7030A0"/>
        <bgColor indexed="64"/>
      </patternFill>
    </fill>
    <fill>
      <gradientFill degree="180">
        <stop position="0">
          <color theme="0"/>
        </stop>
        <stop position="1">
          <color theme="0" tint="-0.1490218817712943"/>
        </stop>
      </gradientFill>
    </fill>
    <fill>
      <patternFill patternType="solid">
        <fgColor theme="2" tint="-9.9978637043366805E-2"/>
        <bgColor indexed="64"/>
      </patternFill>
    </fill>
    <fill>
      <patternFill patternType="solid">
        <fgColor rgb="FF00B0F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0"/>
        <bgColor auto="1"/>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tint="-0.14999847407452621"/>
        <bgColor auto="1"/>
      </patternFill>
    </fill>
    <fill>
      <patternFill patternType="solid">
        <fgColor theme="3" tint="0.79998168889431442"/>
        <bgColor indexed="64"/>
      </patternFill>
    </fill>
    <fill>
      <patternFill patternType="solid">
        <fgColor rgb="FFE27070"/>
        <bgColor indexed="64"/>
      </patternFill>
    </fill>
    <fill>
      <patternFill patternType="solid">
        <fgColor theme="6" tint="0.59999389629810485"/>
        <bgColor indexed="64"/>
      </patternFill>
    </fill>
    <fill>
      <gradientFill degree="90">
        <stop position="0">
          <color theme="0"/>
        </stop>
        <stop position="1">
          <color theme="4"/>
        </stop>
      </gradientFill>
    </fill>
    <fill>
      <patternFill patternType="solid">
        <fgColor rgb="FFB07BD7"/>
        <bgColor indexed="64"/>
      </patternFill>
    </fill>
    <fill>
      <patternFill patternType="solid">
        <fgColor rgb="FFDCC5ED"/>
        <bgColor indexed="64"/>
      </patternFill>
    </fill>
    <fill>
      <patternFill patternType="solid">
        <fgColor theme="4" tint="0.79998168889431442"/>
        <bgColor indexed="64"/>
      </patternFill>
    </fill>
    <fill>
      <patternFill patternType="solid">
        <fgColor theme="4" tint="0.79998168889431442"/>
        <bgColor rgb="FFFFFFFF"/>
      </patternFill>
    </fill>
    <fill>
      <patternFill patternType="solid">
        <fgColor theme="4" tint="0.79998168889431442"/>
        <bgColor auto="1"/>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s>
  <cellStyleXfs count="228">
    <xf numFmtId="0" fontId="0" fillId="0" borderId="0"/>
    <xf numFmtId="9" fontId="17" fillId="0" borderId="0" applyFont="0" applyFill="0" applyBorder="0" applyAlignment="0" applyProtection="0"/>
    <xf numFmtId="0" fontId="19" fillId="0" borderId="0" applyNumberFormat="0" applyFill="0" applyBorder="0" applyAlignment="0" applyProtection="0"/>
    <xf numFmtId="0" fontId="20" fillId="0" borderId="0"/>
    <xf numFmtId="0" fontId="24" fillId="0" borderId="0" applyNumberFormat="0" applyFill="0" applyBorder="0" applyAlignment="0" applyProtection="0"/>
    <xf numFmtId="0" fontId="25" fillId="0" borderId="36" applyNumberFormat="0" applyFill="0" applyAlignment="0" applyProtection="0"/>
    <xf numFmtId="0" fontId="26" fillId="0" borderId="37" applyNumberFormat="0" applyFill="0" applyAlignment="0" applyProtection="0"/>
    <xf numFmtId="0" fontId="27" fillId="0" borderId="38" applyNumberFormat="0" applyFill="0" applyAlignment="0" applyProtection="0"/>
    <xf numFmtId="0" fontId="27" fillId="0" borderId="0" applyNumberFormat="0" applyFill="0" applyBorder="0" applyAlignment="0" applyProtection="0"/>
    <xf numFmtId="0" fontId="28" fillId="14" borderId="0" applyNumberFormat="0" applyBorder="0" applyAlignment="0" applyProtection="0"/>
    <xf numFmtId="0" fontId="29" fillId="15" borderId="0" applyNumberFormat="0" applyBorder="0" applyAlignment="0" applyProtection="0"/>
    <xf numFmtId="0" fontId="30" fillId="16" borderId="0" applyNumberFormat="0" applyBorder="0" applyAlignment="0" applyProtection="0"/>
    <xf numFmtId="0" fontId="31" fillId="17" borderId="39" applyNumberFormat="0" applyAlignment="0" applyProtection="0"/>
    <xf numFmtId="0" fontId="32" fillId="18" borderId="40" applyNumberFormat="0" applyAlignment="0" applyProtection="0"/>
    <xf numFmtId="0" fontId="33" fillId="18" borderId="39" applyNumberFormat="0" applyAlignment="0" applyProtection="0"/>
    <xf numFmtId="0" fontId="34" fillId="0" borderId="41" applyNumberFormat="0" applyFill="0" applyAlignment="0" applyProtection="0"/>
    <xf numFmtId="0" fontId="35" fillId="19" borderId="42" applyNumberFormat="0" applyAlignment="0" applyProtection="0"/>
    <xf numFmtId="0" fontId="36" fillId="0" borderId="0" applyNumberFormat="0" applyFill="0" applyBorder="0" applyAlignment="0" applyProtection="0"/>
    <xf numFmtId="0" fontId="20" fillId="20" borderId="43" applyNumberFormat="0" applyFont="0" applyAlignment="0" applyProtection="0"/>
    <xf numFmtId="0" fontId="37" fillId="0" borderId="0" applyNumberFormat="0" applyFill="0" applyBorder="0" applyAlignment="0" applyProtection="0"/>
    <xf numFmtId="0" fontId="38" fillId="0" borderId="44" applyNumberFormat="0" applyFill="0" applyAlignment="0" applyProtection="0"/>
    <xf numFmtId="0" fontId="39"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39"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39"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xf numFmtId="0" fontId="39" fillId="33" borderId="0" applyNumberFormat="0" applyBorder="0" applyAlignment="0" applyProtection="0"/>
    <xf numFmtId="0" fontId="20" fillId="34" borderId="0" applyNumberFormat="0" applyBorder="0" applyAlignment="0" applyProtection="0"/>
    <xf numFmtId="0" fontId="20" fillId="35" borderId="0" applyNumberFormat="0" applyBorder="0" applyAlignment="0" applyProtection="0"/>
    <xf numFmtId="0" fontId="20" fillId="36" borderId="0" applyNumberFormat="0" applyBorder="0" applyAlignment="0" applyProtection="0"/>
    <xf numFmtId="0" fontId="39" fillId="37" borderId="0" applyNumberFormat="0" applyBorder="0" applyAlignment="0" applyProtection="0"/>
    <xf numFmtId="0" fontId="20" fillId="38" borderId="0" applyNumberFormat="0" applyBorder="0" applyAlignment="0" applyProtection="0"/>
    <xf numFmtId="0" fontId="20" fillId="39" borderId="0" applyNumberFormat="0" applyBorder="0" applyAlignment="0" applyProtection="0"/>
    <xf numFmtId="0" fontId="20" fillId="40" borderId="0" applyNumberFormat="0" applyBorder="0" applyAlignment="0" applyProtection="0"/>
    <xf numFmtId="0" fontId="39" fillId="41" borderId="0" applyNumberFormat="0" applyBorder="0" applyAlignment="0" applyProtection="0"/>
    <xf numFmtId="0" fontId="20" fillId="42" borderId="0" applyNumberFormat="0" applyBorder="0" applyAlignment="0" applyProtection="0"/>
    <xf numFmtId="0" fontId="20" fillId="43" borderId="0" applyNumberFormat="0" applyBorder="0" applyAlignment="0" applyProtection="0"/>
    <xf numFmtId="0" fontId="20" fillId="44" borderId="0" applyNumberFormat="0" applyBorder="0" applyAlignment="0" applyProtection="0"/>
    <xf numFmtId="0" fontId="40" fillId="0" borderId="0" applyNumberFormat="0" applyFill="0" applyBorder="0" applyAlignment="0" applyProtection="0"/>
    <xf numFmtId="0" fontId="4" fillId="0" borderId="0"/>
    <xf numFmtId="0" fontId="4" fillId="20" borderId="43" applyNumberFormat="0" applyFont="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xf numFmtId="0" fontId="29" fillId="15" borderId="0" applyNumberFormat="0" applyBorder="0" applyAlignment="0" applyProtection="0"/>
    <xf numFmtId="0" fontId="25" fillId="0" borderId="36" applyNumberFormat="0" applyFill="0" applyAlignment="0" applyProtection="0"/>
    <xf numFmtId="0" fontId="26" fillId="0" borderId="37" applyNumberFormat="0" applyFill="0" applyAlignment="0" applyProtection="0"/>
    <xf numFmtId="0" fontId="27" fillId="0" borderId="38" applyNumberFormat="0" applyFill="0" applyAlignment="0" applyProtection="0"/>
    <xf numFmtId="0" fontId="27" fillId="0" borderId="0" applyNumberFormat="0" applyFill="0" applyBorder="0" applyAlignment="0" applyProtection="0"/>
    <xf numFmtId="0" fontId="63" fillId="0" borderId="0"/>
    <xf numFmtId="0" fontId="64" fillId="14" borderId="0" applyNumberFormat="0" applyBorder="0" applyAlignment="0" applyProtection="0"/>
    <xf numFmtId="0" fontId="65" fillId="15" borderId="0" applyNumberFormat="0" applyBorder="0" applyAlignment="0" applyProtection="0"/>
    <xf numFmtId="0" fontId="66" fillId="16" borderId="0" applyNumberFormat="0" applyBorder="0" applyAlignment="0" applyProtection="0"/>
    <xf numFmtId="0" fontId="67" fillId="17" borderId="39" applyNumberFormat="0" applyAlignment="0" applyProtection="0"/>
    <xf numFmtId="0" fontId="68" fillId="18" borderId="40" applyNumberFormat="0" applyAlignment="0" applyProtection="0"/>
    <xf numFmtId="0" fontId="69" fillId="18" borderId="39" applyNumberFormat="0" applyAlignment="0" applyProtection="0"/>
    <xf numFmtId="0" fontId="70" fillId="0" borderId="41" applyNumberFormat="0" applyFill="0" applyAlignment="0" applyProtection="0"/>
    <xf numFmtId="0" fontId="71" fillId="19" borderId="42" applyNumberFormat="0" applyAlignment="0" applyProtection="0"/>
    <xf numFmtId="0" fontId="72" fillId="0" borderId="0" applyNumberFormat="0" applyFill="0" applyBorder="0" applyAlignment="0" applyProtection="0"/>
    <xf numFmtId="0" fontId="63" fillId="20" borderId="43" applyNumberFormat="0" applyFont="0" applyAlignment="0" applyProtection="0"/>
    <xf numFmtId="0" fontId="73" fillId="0" borderId="0" applyNumberFormat="0" applyFill="0" applyBorder="0" applyAlignment="0" applyProtection="0"/>
    <xf numFmtId="0" fontId="74" fillId="0" borderId="44" applyNumberFormat="0" applyFill="0" applyAlignment="0" applyProtection="0"/>
    <xf numFmtId="0" fontId="75" fillId="21" borderId="0" applyNumberFormat="0" applyBorder="0" applyAlignment="0" applyProtection="0"/>
    <xf numFmtId="0" fontId="63"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75" fillId="25" borderId="0" applyNumberFormat="0" applyBorder="0" applyAlignment="0" applyProtection="0"/>
    <xf numFmtId="0" fontId="63"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75" fillId="29" borderId="0" applyNumberFormat="0" applyBorder="0" applyAlignment="0" applyProtection="0"/>
    <xf numFmtId="0" fontId="63"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75" fillId="33" borderId="0" applyNumberFormat="0" applyBorder="0" applyAlignment="0" applyProtection="0"/>
    <xf numFmtId="0" fontId="63"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75" fillId="37" borderId="0" applyNumberFormat="0" applyBorder="0" applyAlignment="0" applyProtection="0"/>
    <xf numFmtId="0" fontId="63" fillId="38" borderId="0" applyNumberFormat="0" applyBorder="0" applyAlignment="0" applyProtection="0"/>
    <xf numFmtId="0" fontId="63" fillId="39" borderId="0" applyNumberFormat="0" applyBorder="0" applyAlignment="0" applyProtection="0"/>
    <xf numFmtId="0" fontId="63" fillId="40" borderId="0" applyNumberFormat="0" applyBorder="0" applyAlignment="0" applyProtection="0"/>
    <xf numFmtId="0" fontId="75" fillId="41" borderId="0" applyNumberFormat="0" applyBorder="0" applyAlignment="0" applyProtection="0"/>
    <xf numFmtId="0" fontId="63" fillId="42" borderId="0" applyNumberFormat="0" applyBorder="0" applyAlignment="0" applyProtection="0"/>
    <xf numFmtId="0" fontId="63" fillId="43" borderId="0" applyNumberFormat="0" applyBorder="0" applyAlignment="0" applyProtection="0"/>
    <xf numFmtId="0" fontId="6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3" fillId="0" borderId="0"/>
    <xf numFmtId="0" fontId="3" fillId="20" borderId="43" applyNumberFormat="0" applyFont="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3"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0" borderId="0"/>
    <xf numFmtId="0" fontId="2" fillId="20" borderId="43" applyNumberFormat="0" applyFont="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cellStyleXfs>
  <cellXfs count="607">
    <xf numFmtId="0" fontId="0" fillId="0" borderId="0" xfId="0"/>
    <xf numFmtId="0" fontId="5" fillId="0" borderId="0" xfId="0" applyFont="1"/>
    <xf numFmtId="0" fontId="5" fillId="0" borderId="0" xfId="0" applyFont="1" applyAlignment="1">
      <alignment horizontal="center"/>
    </xf>
    <xf numFmtId="0" fontId="7" fillId="0" borderId="0" xfId="0" applyFont="1"/>
    <xf numFmtId="0" fontId="8" fillId="0" borderId="0" xfId="0" applyFont="1" applyAlignment="1">
      <alignment vertical="center"/>
    </xf>
    <xf numFmtId="14" fontId="5" fillId="0" borderId="0" xfId="0" applyNumberFormat="1" applyFont="1" applyAlignment="1">
      <alignment vertical="center"/>
    </xf>
    <xf numFmtId="0" fontId="0" fillId="0" borderId="0" xfId="0" applyAlignment="1">
      <alignment horizontal="center"/>
    </xf>
    <xf numFmtId="0" fontId="19" fillId="0" borderId="0" xfId="2"/>
    <xf numFmtId="0" fontId="0" fillId="4" borderId="0" xfId="0" applyFill="1"/>
    <xf numFmtId="0" fontId="0" fillId="0" borderId="0" xfId="0" applyAlignment="1">
      <alignment horizontal="left"/>
    </xf>
    <xf numFmtId="0" fontId="5" fillId="4" borderId="0" xfId="0" applyFont="1" applyFill="1"/>
    <xf numFmtId="0" fontId="5" fillId="4" borderId="0" xfId="0" applyFont="1" applyFill="1" applyAlignment="1">
      <alignment horizontal="center" vertical="top" wrapText="1"/>
    </xf>
    <xf numFmtId="0" fontId="21" fillId="4" borderId="2" xfId="0" applyFont="1" applyFill="1" applyBorder="1" applyAlignment="1">
      <alignment horizontal="center"/>
    </xf>
    <xf numFmtId="0" fontId="10" fillId="10" borderId="2" xfId="0" applyFont="1" applyFill="1" applyBorder="1" applyAlignment="1">
      <alignment horizontal="center" vertical="center"/>
    </xf>
    <xf numFmtId="0" fontId="10" fillId="4" borderId="0" xfId="0" applyFont="1" applyFill="1" applyAlignment="1">
      <alignment horizontal="center" vertical="top" wrapText="1"/>
    </xf>
    <xf numFmtId="164" fontId="5" fillId="0" borderId="1" xfId="0" applyNumberFormat="1" applyFont="1" applyBorder="1"/>
    <xf numFmtId="0" fontId="22" fillId="0" borderId="0" xfId="0" applyFont="1" applyAlignment="1">
      <alignment vertical="center" wrapText="1"/>
    </xf>
    <xf numFmtId="0" fontId="18" fillId="0" borderId="0" xfId="0" applyFont="1" applyAlignment="1">
      <alignment horizontal="center"/>
    </xf>
    <xf numFmtId="166" fontId="5" fillId="0" borderId="4" xfId="0" applyNumberFormat="1" applyFont="1" applyBorder="1" applyAlignment="1">
      <alignment horizontal="center" vertical="center"/>
    </xf>
    <xf numFmtId="166" fontId="5" fillId="0" borderId="0" xfId="0" applyNumberFormat="1" applyFont="1" applyAlignment="1">
      <alignment horizontal="center" vertical="center"/>
    </xf>
    <xf numFmtId="0" fontId="15" fillId="10" borderId="0" xfId="0" applyFont="1" applyFill="1" applyAlignment="1">
      <alignment horizontal="left" vertical="center" wrapText="1"/>
    </xf>
    <xf numFmtId="0" fontId="7" fillId="0" borderId="0" xfId="0" applyFont="1" applyAlignment="1">
      <alignment horizontal="center"/>
    </xf>
    <xf numFmtId="10" fontId="5" fillId="0" borderId="1" xfId="0" applyNumberFormat="1" applyFont="1" applyBorder="1" applyAlignment="1">
      <alignment horizontal="center"/>
    </xf>
    <xf numFmtId="0" fontId="0" fillId="4" borderId="1" xfId="0" applyFill="1" applyBorder="1"/>
    <xf numFmtId="0" fontId="9" fillId="10" borderId="25" xfId="0" applyFont="1" applyFill="1" applyBorder="1" applyAlignment="1">
      <alignment horizontal="center" vertical="center"/>
    </xf>
    <xf numFmtId="0" fontId="10" fillId="10" borderId="1" xfId="0" applyFont="1" applyFill="1" applyBorder="1"/>
    <xf numFmtId="0" fontId="16" fillId="5" borderId="1" xfId="0" applyFont="1" applyFill="1" applyBorder="1" applyAlignment="1">
      <alignment vertical="center" wrapText="1"/>
    </xf>
    <xf numFmtId="0" fontId="0" fillId="4" borderId="0" xfId="0" applyFill="1" applyAlignment="1">
      <alignment horizontal="center"/>
    </xf>
    <xf numFmtId="164" fontId="5" fillId="0" borderId="1" xfId="0" applyNumberFormat="1" applyFont="1" applyBorder="1" applyAlignment="1">
      <alignment horizontal="center"/>
    </xf>
    <xf numFmtId="0" fontId="0" fillId="7" borderId="0" xfId="0" applyFill="1"/>
    <xf numFmtId="0" fontId="0" fillId="7" borderId="0" xfId="0" applyFill="1" applyAlignment="1">
      <alignment horizontal="center"/>
    </xf>
    <xf numFmtId="0" fontId="14" fillId="0" borderId="0" xfId="0" applyFont="1"/>
    <xf numFmtId="0" fontId="9" fillId="10" borderId="2" xfId="0" applyFont="1" applyFill="1" applyBorder="1" applyAlignment="1">
      <alignment horizontal="center" vertical="center"/>
    </xf>
    <xf numFmtId="0" fontId="10" fillId="0" borderId="0" xfId="0" applyFont="1" applyAlignment="1">
      <alignment horizontal="center"/>
    </xf>
    <xf numFmtId="0" fontId="46" fillId="0" borderId="0" xfId="0" applyFont="1" applyAlignment="1">
      <alignment horizontal="center" vertical="center" wrapText="1"/>
    </xf>
    <xf numFmtId="0" fontId="0" fillId="0" borderId="1" xfId="0" applyBorder="1" applyAlignment="1">
      <alignment horizontal="center"/>
    </xf>
    <xf numFmtId="0" fontId="41" fillId="0" borderId="0" xfId="0" applyFont="1" applyAlignment="1">
      <alignment wrapText="1"/>
    </xf>
    <xf numFmtId="0" fontId="15" fillId="10" borderId="1" xfId="0" applyFont="1" applyFill="1" applyBorder="1" applyAlignment="1">
      <alignment horizontal="center" vertical="center" wrapText="1"/>
    </xf>
    <xf numFmtId="0" fontId="15" fillId="10" borderId="0" xfId="0" applyFont="1" applyFill="1" applyAlignment="1">
      <alignment horizontal="center"/>
    </xf>
    <xf numFmtId="0" fontId="42" fillId="10" borderId="1" xfId="0" applyFont="1" applyFill="1" applyBorder="1" applyAlignment="1">
      <alignment horizontal="center"/>
    </xf>
    <xf numFmtId="10" fontId="0" fillId="0" borderId="0" xfId="0" applyNumberFormat="1"/>
    <xf numFmtId="0" fontId="47" fillId="2" borderId="0" xfId="0" applyFont="1" applyFill="1" applyAlignment="1">
      <alignment horizontal="center"/>
    </xf>
    <xf numFmtId="0" fontId="10" fillId="0" borderId="0" xfId="0" applyFont="1" applyAlignment="1">
      <alignment horizontal="center" wrapText="1"/>
    </xf>
    <xf numFmtId="0" fontId="5" fillId="4" borderId="2" xfId="0" applyFont="1" applyFill="1" applyBorder="1"/>
    <xf numFmtId="0" fontId="5" fillId="4" borderId="1" xfId="0" applyFont="1" applyFill="1" applyBorder="1" applyAlignment="1">
      <alignment wrapText="1"/>
    </xf>
    <xf numFmtId="0" fontId="5" fillId="0" borderId="1" xfId="0" applyFont="1" applyBorder="1" applyAlignment="1">
      <alignment horizontal="center" wrapText="1"/>
    </xf>
    <xf numFmtId="0" fontId="48" fillId="0" borderId="0" xfId="0" applyFont="1"/>
    <xf numFmtId="166" fontId="5" fillId="46" borderId="0" xfId="0" applyNumberFormat="1" applyFont="1" applyFill="1" applyAlignment="1">
      <alignment horizontal="left" vertical="center" indent="14"/>
    </xf>
    <xf numFmtId="0" fontId="0" fillId="2" borderId="0" xfId="0" applyFill="1"/>
    <xf numFmtId="2" fontId="0" fillId="0" borderId="0" xfId="0" applyNumberFormat="1"/>
    <xf numFmtId="10" fontId="5" fillId="0" borderId="0" xfId="0" applyNumberFormat="1" applyFont="1"/>
    <xf numFmtId="0" fontId="15" fillId="10" borderId="17" xfId="0" applyFont="1" applyFill="1" applyBorder="1" applyAlignment="1">
      <alignment horizontal="center"/>
    </xf>
    <xf numFmtId="0" fontId="41" fillId="48" borderId="1" xfId="0" applyFont="1" applyFill="1" applyBorder="1" applyAlignment="1">
      <alignment horizontal="center" vertical="center"/>
    </xf>
    <xf numFmtId="0" fontId="0" fillId="0" borderId="0" xfId="0" applyProtection="1">
      <protection locked="0"/>
    </xf>
    <xf numFmtId="0" fontId="41" fillId="3" borderId="1" xfId="0" applyFont="1" applyFill="1" applyBorder="1" applyAlignment="1" applyProtection="1">
      <alignment horizontal="center" vertical="center" wrapText="1"/>
      <protection locked="0"/>
    </xf>
    <xf numFmtId="0" fontId="41" fillId="13" borderId="1" xfId="0" applyFont="1" applyFill="1" applyBorder="1" applyAlignment="1" applyProtection="1">
      <alignment horizontal="center" vertical="center" wrapText="1"/>
      <protection locked="0"/>
    </xf>
    <xf numFmtId="0" fontId="5" fillId="0" borderId="0" xfId="0" applyFont="1" applyAlignment="1">
      <alignment horizontal="center" vertical="center"/>
    </xf>
    <xf numFmtId="0" fontId="5" fillId="2" borderId="0" xfId="0" applyFont="1" applyFill="1" applyAlignment="1">
      <alignment horizontal="center" vertical="center"/>
    </xf>
    <xf numFmtId="0" fontId="7" fillId="2" borderId="0" xfId="0" applyFont="1" applyFill="1" applyAlignment="1">
      <alignment horizontal="center"/>
    </xf>
    <xf numFmtId="0" fontId="50" fillId="0" borderId="0" xfId="0" applyFont="1"/>
    <xf numFmtId="0" fontId="51" fillId="0" borderId="0" xfId="0" applyFont="1"/>
    <xf numFmtId="166" fontId="49" fillId="46" borderId="0" xfId="0" applyNumberFormat="1" applyFont="1" applyFill="1" applyAlignment="1">
      <alignment horizontal="left" vertical="center" indent="14"/>
    </xf>
    <xf numFmtId="0" fontId="23" fillId="0" borderId="1" xfId="0" applyFont="1" applyBorder="1"/>
    <xf numFmtId="0" fontId="42" fillId="10" borderId="1" xfId="0" quotePrefix="1" applyFont="1" applyFill="1" applyBorder="1" applyAlignment="1">
      <alignment horizontal="center" vertical="center" wrapText="1"/>
    </xf>
    <xf numFmtId="0" fontId="53" fillId="0" borderId="0" xfId="0" applyFont="1"/>
    <xf numFmtId="0" fontId="23" fillId="6" borderId="1" xfId="0" applyFont="1" applyFill="1" applyBorder="1"/>
    <xf numFmtId="10" fontId="23" fillId="0" borderId="1" xfId="0" applyNumberFormat="1" applyFont="1" applyBorder="1" applyAlignment="1">
      <alignment horizontal="center"/>
    </xf>
    <xf numFmtId="9" fontId="23" fillId="0" borderId="1" xfId="0" applyNumberFormat="1" applyFont="1" applyBorder="1" applyAlignment="1">
      <alignment horizontal="center"/>
    </xf>
    <xf numFmtId="0" fontId="23" fillId="12" borderId="18" xfId="0" quotePrefix="1" applyFont="1" applyFill="1" applyBorder="1" applyAlignment="1">
      <alignment horizontal="left" vertical="center" wrapText="1"/>
    </xf>
    <xf numFmtId="0" fontId="53" fillId="0" borderId="1" xfId="0" applyFont="1" applyBorder="1"/>
    <xf numFmtId="0" fontId="54" fillId="10" borderId="17" xfId="0" applyFont="1" applyFill="1" applyBorder="1" applyAlignment="1">
      <alignment horizontal="center" vertical="center" wrapText="1"/>
    </xf>
    <xf numFmtId="0" fontId="54" fillId="10" borderId="22" xfId="0" applyFont="1" applyFill="1" applyBorder="1" applyAlignment="1">
      <alignment horizontal="center" vertical="center" wrapText="1"/>
    </xf>
    <xf numFmtId="0" fontId="23" fillId="2" borderId="1" xfId="0" applyFont="1" applyFill="1" applyBorder="1" applyAlignment="1">
      <alignment horizontal="left" vertical="center" wrapText="1"/>
    </xf>
    <xf numFmtId="9" fontId="23" fillId="0" borderId="0" xfId="0" applyNumberFormat="1" applyFont="1" applyAlignment="1">
      <alignment horizontal="center" vertical="center"/>
    </xf>
    <xf numFmtId="9" fontId="23" fillId="2" borderId="1" xfId="0" applyNumberFormat="1" applyFont="1" applyFill="1" applyBorder="1" applyAlignment="1">
      <alignment horizontal="center" vertical="center" wrapText="1"/>
    </xf>
    <xf numFmtId="0" fontId="23" fillId="0" borderId="1" xfId="0" applyFont="1" applyBorder="1" applyAlignment="1">
      <alignment horizontal="center"/>
    </xf>
    <xf numFmtId="0" fontId="42" fillId="10" borderId="1" xfId="0" applyFont="1" applyFill="1" applyBorder="1" applyAlignment="1">
      <alignment horizontal="center" vertical="center"/>
    </xf>
    <xf numFmtId="1" fontId="23" fillId="0" borderId="1" xfId="1" applyNumberFormat="1" applyFont="1" applyBorder="1" applyAlignment="1">
      <alignment horizontal="center"/>
    </xf>
    <xf numFmtId="0" fontId="23" fillId="0" borderId="1" xfId="0" applyFont="1" applyBorder="1" applyAlignment="1">
      <alignment horizontal="center" vertical="center"/>
    </xf>
    <xf numFmtId="0" fontId="23" fillId="7" borderId="1" xfId="0" quotePrefix="1" applyFont="1" applyFill="1" applyBorder="1" applyAlignment="1">
      <alignment horizontal="left"/>
    </xf>
    <xf numFmtId="0" fontId="23" fillId="7" borderId="1" xfId="0" applyFont="1" applyFill="1" applyBorder="1" applyAlignment="1">
      <alignment horizontal="center"/>
    </xf>
    <xf numFmtId="1" fontId="23" fillId="7" borderId="1" xfId="0" applyNumberFormat="1" applyFont="1" applyFill="1" applyBorder="1" applyAlignment="1">
      <alignment horizontal="center"/>
    </xf>
    <xf numFmtId="10" fontId="23" fillId="7" borderId="1" xfId="0" applyNumberFormat="1" applyFont="1" applyFill="1" applyBorder="1" applyAlignment="1">
      <alignment horizontal="center"/>
    </xf>
    <xf numFmtId="0" fontId="23" fillId="12" borderId="1" xfId="0" quotePrefix="1" applyFont="1" applyFill="1" applyBorder="1" applyAlignment="1">
      <alignment horizontal="left" vertical="center" wrapText="1"/>
    </xf>
    <xf numFmtId="0" fontId="53" fillId="10" borderId="1" xfId="0" applyFont="1" applyFill="1" applyBorder="1"/>
    <xf numFmtId="1" fontId="23" fillId="0" borderId="1" xfId="0" applyNumberFormat="1" applyFont="1" applyBorder="1" applyAlignment="1">
      <alignment horizontal="center" vertical="top" wrapText="1"/>
    </xf>
    <xf numFmtId="0" fontId="23" fillId="0" borderId="1" xfId="0" applyFont="1" applyBorder="1" applyAlignment="1">
      <alignment horizontal="center" vertical="top" wrapText="1"/>
    </xf>
    <xf numFmtId="10" fontId="23" fillId="0" borderId="1" xfId="0" applyNumberFormat="1" applyFont="1" applyBorder="1" applyAlignment="1">
      <alignment horizontal="center" vertical="top" wrapText="1"/>
    </xf>
    <xf numFmtId="164" fontId="23" fillId="0" borderId="1" xfId="0" applyNumberFormat="1" applyFont="1" applyBorder="1" applyAlignment="1">
      <alignment horizontal="center" vertical="top" wrapText="1"/>
    </xf>
    <xf numFmtId="0" fontId="23" fillId="0" borderId="20" xfId="0" applyFont="1" applyBorder="1" applyAlignment="1">
      <alignment horizontal="center" vertical="center"/>
    </xf>
    <xf numFmtId="0" fontId="23" fillId="2" borderId="18" xfId="0" applyFont="1" applyFill="1" applyBorder="1" applyAlignment="1">
      <alignment horizontal="center" vertical="center"/>
    </xf>
    <xf numFmtId="0" fontId="23" fillId="0" borderId="0" xfId="0" applyFont="1"/>
    <xf numFmtId="10" fontId="23" fillId="2" borderId="1" xfId="0" applyNumberFormat="1" applyFont="1" applyFill="1" applyBorder="1" applyAlignment="1">
      <alignment horizontal="center" vertical="center"/>
    </xf>
    <xf numFmtId="0" fontId="57" fillId="48" borderId="1" xfId="0" applyFont="1" applyFill="1" applyBorder="1" applyAlignment="1">
      <alignment horizontal="center"/>
    </xf>
    <xf numFmtId="1" fontId="23" fillId="0" borderId="1" xfId="0" applyNumberFormat="1" applyFont="1" applyBorder="1" applyAlignment="1">
      <alignment horizontal="center"/>
    </xf>
    <xf numFmtId="0" fontId="42" fillId="10" borderId="17" xfId="0" applyFont="1" applyFill="1" applyBorder="1" applyAlignment="1">
      <alignment horizontal="center"/>
    </xf>
    <xf numFmtId="0" fontId="23" fillId="0" borderId="22" xfId="0" applyFont="1" applyBorder="1" applyAlignment="1">
      <alignment horizontal="center"/>
    </xf>
    <xf numFmtId="0" fontId="23" fillId="0" borderId="56" xfId="0" applyFont="1" applyBorder="1" applyAlignment="1">
      <alignment horizontal="center"/>
    </xf>
    <xf numFmtId="0" fontId="23" fillId="0" borderId="20" xfId="0" applyFont="1" applyBorder="1" applyAlignment="1">
      <alignment horizontal="center"/>
    </xf>
    <xf numFmtId="10" fontId="23" fillId="50" borderId="1" xfId="0" applyNumberFormat="1" applyFont="1" applyFill="1" applyBorder="1" applyAlignment="1">
      <alignment horizontal="center"/>
    </xf>
    <xf numFmtId="0" fontId="23" fillId="50" borderId="1" xfId="0" applyFont="1" applyFill="1" applyBorder="1" applyAlignment="1">
      <alignment horizontal="center"/>
    </xf>
    <xf numFmtId="9" fontId="23" fillId="50" borderId="1" xfId="0" applyNumberFormat="1" applyFont="1" applyFill="1" applyBorder="1" applyAlignment="1">
      <alignment horizontal="center"/>
    </xf>
    <xf numFmtId="9" fontId="23" fillId="50" borderId="1" xfId="0" applyNumberFormat="1" applyFont="1" applyFill="1" applyBorder="1" applyAlignment="1">
      <alignment horizontal="center" vertical="center"/>
    </xf>
    <xf numFmtId="9" fontId="23" fillId="50" borderId="18" xfId="0" applyNumberFormat="1" applyFont="1" applyFill="1" applyBorder="1" applyAlignment="1">
      <alignment horizontal="center" vertical="center"/>
    </xf>
    <xf numFmtId="165" fontId="23" fillId="50" borderId="1" xfId="1" applyNumberFormat="1" applyFont="1" applyFill="1" applyBorder="1" applyAlignment="1">
      <alignment horizontal="center"/>
    </xf>
    <xf numFmtId="0" fontId="23" fillId="50" borderId="1" xfId="0" applyFont="1" applyFill="1" applyBorder="1"/>
    <xf numFmtId="0" fontId="23" fillId="7" borderId="1" xfId="0" applyFont="1" applyFill="1" applyBorder="1"/>
    <xf numFmtId="9" fontId="23" fillId="7" borderId="1" xfId="0" applyNumberFormat="1" applyFont="1" applyFill="1" applyBorder="1" applyAlignment="1">
      <alignment horizontal="center"/>
    </xf>
    <xf numFmtId="1" fontId="23" fillId="7" borderId="1" xfId="0" applyNumberFormat="1" applyFont="1" applyFill="1" applyBorder="1" applyAlignment="1">
      <alignment horizontal="center" vertical="top" wrapText="1"/>
    </xf>
    <xf numFmtId="10" fontId="23" fillId="7" borderId="1" xfId="0" applyNumberFormat="1" applyFont="1" applyFill="1" applyBorder="1" applyAlignment="1">
      <alignment horizontal="center" vertical="top" wrapText="1"/>
    </xf>
    <xf numFmtId="0" fontId="57" fillId="50" borderId="1" xfId="0" applyFont="1" applyFill="1" applyBorder="1" applyAlignment="1">
      <alignment horizontal="center"/>
    </xf>
    <xf numFmtId="10" fontId="23" fillId="0" borderId="0" xfId="0" applyNumberFormat="1" applyFont="1" applyAlignment="1">
      <alignment horizontal="center"/>
    </xf>
    <xf numFmtId="164" fontId="23" fillId="0" borderId="18" xfId="0" applyNumberFormat="1" applyFont="1" applyBorder="1" applyAlignment="1">
      <alignment horizontal="center"/>
    </xf>
    <xf numFmtId="164" fontId="23" fillId="0" borderId="1" xfId="0" applyNumberFormat="1" applyFont="1" applyBorder="1" applyAlignment="1">
      <alignment horizontal="center"/>
    </xf>
    <xf numFmtId="0" fontId="23" fillId="8" borderId="1" xfId="0" applyFont="1" applyFill="1" applyBorder="1" applyAlignment="1">
      <alignment horizontal="center"/>
    </xf>
    <xf numFmtId="10" fontId="57" fillId="50" borderId="1" xfId="0" applyNumberFormat="1" applyFont="1" applyFill="1" applyBorder="1" applyAlignment="1">
      <alignment horizontal="center"/>
    </xf>
    <xf numFmtId="0" fontId="23" fillId="50" borderId="1" xfId="0" quotePrefix="1" applyFont="1" applyFill="1" applyBorder="1" applyAlignment="1">
      <alignment horizontal="left" vertical="center" wrapText="1"/>
    </xf>
    <xf numFmtId="10" fontId="57" fillId="7" borderId="1" xfId="0" applyNumberFormat="1" applyFont="1" applyFill="1" applyBorder="1" applyAlignment="1">
      <alignment horizontal="center"/>
    </xf>
    <xf numFmtId="10" fontId="57" fillId="7" borderId="1" xfId="0" applyNumberFormat="1" applyFont="1" applyFill="1" applyBorder="1" applyAlignment="1">
      <alignment horizontal="center" vertical="center"/>
    </xf>
    <xf numFmtId="0" fontId="23" fillId="50" borderId="18" xfId="0" quotePrefix="1" applyFont="1" applyFill="1" applyBorder="1" applyAlignment="1">
      <alignment horizontal="left" vertical="center" wrapText="1"/>
    </xf>
    <xf numFmtId="10" fontId="23" fillId="50" borderId="18" xfId="0" applyNumberFormat="1" applyFont="1" applyFill="1" applyBorder="1" applyAlignment="1">
      <alignment horizontal="center" vertical="center"/>
    </xf>
    <xf numFmtId="10" fontId="23" fillId="50" borderId="1" xfId="0" applyNumberFormat="1" applyFont="1" applyFill="1" applyBorder="1" applyAlignment="1">
      <alignment horizontal="center" vertical="center"/>
    </xf>
    <xf numFmtId="10" fontId="23" fillId="2" borderId="0" xfId="0" applyNumberFormat="1" applyFont="1" applyFill="1" applyAlignment="1">
      <alignment horizontal="center"/>
    </xf>
    <xf numFmtId="9" fontId="23" fillId="2" borderId="1" xfId="0" applyNumberFormat="1" applyFont="1" applyFill="1" applyBorder="1" applyAlignment="1">
      <alignment horizontal="center"/>
    </xf>
    <xf numFmtId="0" fontId="42" fillId="10" borderId="7" xfId="0" applyFont="1" applyFill="1" applyBorder="1" applyAlignment="1">
      <alignment horizontal="center"/>
    </xf>
    <xf numFmtId="0" fontId="42" fillId="10" borderId="57" xfId="0" applyFont="1" applyFill="1" applyBorder="1" applyAlignment="1">
      <alignment horizontal="center"/>
    </xf>
    <xf numFmtId="0" fontId="42" fillId="10" borderId="8" xfId="0" applyFont="1" applyFill="1" applyBorder="1" applyAlignment="1">
      <alignment horizontal="center"/>
    </xf>
    <xf numFmtId="0" fontId="42" fillId="10" borderId="18" xfId="0" applyFont="1" applyFill="1" applyBorder="1" applyAlignment="1">
      <alignment horizontal="center"/>
    </xf>
    <xf numFmtId="0" fontId="23" fillId="8" borderId="17" xfId="0" applyFont="1" applyFill="1" applyBorder="1" applyAlignment="1">
      <alignment horizontal="center"/>
    </xf>
    <xf numFmtId="0" fontId="23" fillId="8" borderId="3" xfId="0" applyFont="1" applyFill="1" applyBorder="1" applyAlignment="1">
      <alignment horizontal="center"/>
    </xf>
    <xf numFmtId="0" fontId="23" fillId="8" borderId="18" xfId="0" applyFont="1" applyFill="1" applyBorder="1" applyAlignment="1">
      <alignment horizontal="center"/>
    </xf>
    <xf numFmtId="0" fontId="23" fillId="0" borderId="0" xfId="0" applyFont="1" applyAlignment="1">
      <alignment horizontal="center" vertical="center"/>
    </xf>
    <xf numFmtId="0" fontId="23" fillId="0" borderId="0" xfId="0" applyFont="1" applyAlignment="1">
      <alignment horizontal="center" wrapText="1"/>
    </xf>
    <xf numFmtId="1" fontId="23" fillId="0" borderId="0" xfId="0" applyNumberFormat="1" applyFont="1" applyAlignment="1">
      <alignment horizontal="center"/>
    </xf>
    <xf numFmtId="1" fontId="57" fillId="50" borderId="1" xfId="0" applyNumberFormat="1" applyFont="1" applyFill="1" applyBorder="1" applyAlignment="1">
      <alignment horizontal="center" vertical="center"/>
    </xf>
    <xf numFmtId="0" fontId="57" fillId="50" borderId="1" xfId="0" applyFont="1" applyFill="1" applyBorder="1" applyAlignment="1">
      <alignment horizontal="center" vertical="center"/>
    </xf>
    <xf numFmtId="1" fontId="57" fillId="7" borderId="1" xfId="0" applyNumberFormat="1" applyFont="1" applyFill="1" applyBorder="1" applyAlignment="1">
      <alignment horizontal="center"/>
    </xf>
    <xf numFmtId="0" fontId="57" fillId="7" borderId="3" xfId="0" applyFont="1" applyFill="1" applyBorder="1" applyAlignment="1">
      <alignment horizontal="center"/>
    </xf>
    <xf numFmtId="165" fontId="57" fillId="7" borderId="1" xfId="0" applyNumberFormat="1" applyFont="1" applyFill="1" applyBorder="1" applyAlignment="1">
      <alignment horizontal="center"/>
    </xf>
    <xf numFmtId="0" fontId="53" fillId="0" borderId="2" xfId="0" applyFont="1" applyBorder="1"/>
    <xf numFmtId="0" fontId="0" fillId="0" borderId="2" xfId="0" applyBorder="1" applyAlignment="1">
      <alignment horizontal="left"/>
    </xf>
    <xf numFmtId="0" fontId="23" fillId="0" borderId="2" xfId="0" applyFont="1" applyBorder="1" applyAlignment="1">
      <alignment horizontal="left"/>
    </xf>
    <xf numFmtId="0" fontId="57" fillId="48" borderId="1" xfId="0" applyFont="1" applyFill="1" applyBorder="1" applyAlignment="1">
      <alignment horizontal="center" vertical="center"/>
    </xf>
    <xf numFmtId="0" fontId="57" fillId="0" borderId="0" xfId="0" applyFont="1" applyAlignment="1">
      <alignment wrapText="1"/>
    </xf>
    <xf numFmtId="0" fontId="23" fillId="0" borderId="18" xfId="0" applyFont="1" applyBorder="1" applyAlignment="1">
      <alignment horizontal="center"/>
    </xf>
    <xf numFmtId="1" fontId="29" fillId="51" borderId="1" xfId="66" applyNumberFormat="1" applyFill="1" applyBorder="1" applyAlignment="1">
      <alignment horizontal="center"/>
    </xf>
    <xf numFmtId="0" fontId="23" fillId="0" borderId="9" xfId="0" applyFont="1" applyBorder="1"/>
    <xf numFmtId="9" fontId="23" fillId="0" borderId="10" xfId="0" applyNumberFormat="1" applyFont="1" applyBorder="1" applyAlignment="1">
      <alignment horizontal="center"/>
    </xf>
    <xf numFmtId="10" fontId="23" fillId="0" borderId="0" xfId="0" applyNumberFormat="1" applyFont="1"/>
    <xf numFmtId="9" fontId="57" fillId="50" borderId="1" xfId="0" applyNumberFormat="1" applyFont="1" applyFill="1" applyBorder="1" applyAlignment="1">
      <alignment horizontal="center"/>
    </xf>
    <xf numFmtId="0" fontId="57" fillId="50" borderId="45" xfId="0" applyFont="1" applyFill="1" applyBorder="1"/>
    <xf numFmtId="9" fontId="57" fillId="50" borderId="45" xfId="0" applyNumberFormat="1" applyFont="1" applyFill="1" applyBorder="1" applyAlignment="1">
      <alignment horizontal="center"/>
    </xf>
    <xf numFmtId="10" fontId="57" fillId="50" borderId="45" xfId="0" applyNumberFormat="1" applyFont="1" applyFill="1" applyBorder="1" applyAlignment="1">
      <alignment horizontal="center"/>
    </xf>
    <xf numFmtId="0" fontId="53" fillId="0" borderId="0" xfId="0" applyFont="1" applyAlignment="1">
      <alignment horizontal="center"/>
    </xf>
    <xf numFmtId="0" fontId="57" fillId="5" borderId="1" xfId="0" applyFont="1" applyFill="1" applyBorder="1" applyAlignment="1">
      <alignment horizontal="left" vertical="top" wrapText="1"/>
    </xf>
    <xf numFmtId="9" fontId="23" fillId="5" borderId="0" xfId="0" applyNumberFormat="1" applyFont="1" applyFill="1" applyAlignment="1">
      <alignment horizontal="center"/>
    </xf>
    <xf numFmtId="9" fontId="23" fillId="5" borderId="1" xfId="0" applyNumberFormat="1" applyFont="1" applyFill="1" applyBorder="1" applyAlignment="1">
      <alignment horizontal="center"/>
    </xf>
    <xf numFmtId="0" fontId="54" fillId="10" borderId="1" xfId="0" applyFont="1" applyFill="1" applyBorder="1" applyAlignment="1">
      <alignment horizontal="center" vertical="center" wrapText="1"/>
    </xf>
    <xf numFmtId="0" fontId="54" fillId="10" borderId="2" xfId="0" applyFont="1" applyFill="1" applyBorder="1" applyAlignment="1">
      <alignment horizontal="center" vertical="center" wrapText="1"/>
    </xf>
    <xf numFmtId="0" fontId="23" fillId="12" borderId="1" xfId="0" applyFont="1" applyFill="1" applyBorder="1" applyAlignment="1">
      <alignment horizontal="center"/>
    </xf>
    <xf numFmtId="10" fontId="23" fillId="12" borderId="1" xfId="0" applyNumberFormat="1" applyFont="1" applyFill="1" applyBorder="1" applyAlignment="1">
      <alignment horizontal="center"/>
    </xf>
    <xf numFmtId="1" fontId="23" fillId="5" borderId="1" xfId="0" applyNumberFormat="1" applyFont="1" applyFill="1" applyBorder="1" applyAlignment="1">
      <alignment horizontal="center" vertical="top" wrapText="1"/>
    </xf>
    <xf numFmtId="10" fontId="23" fillId="5" borderId="1" xfId="0" applyNumberFormat="1" applyFont="1" applyFill="1" applyBorder="1" applyAlignment="1">
      <alignment horizontal="center" vertical="top" wrapText="1"/>
    </xf>
    <xf numFmtId="0" fontId="23" fillId="5" borderId="1" xfId="0" applyFont="1" applyFill="1" applyBorder="1" applyAlignment="1">
      <alignment horizontal="center" vertical="top" wrapText="1"/>
    </xf>
    <xf numFmtId="10" fontId="23" fillId="12" borderId="1" xfId="0" applyNumberFormat="1" applyFont="1" applyFill="1" applyBorder="1" applyAlignment="1">
      <alignment horizontal="center" vertical="top" wrapText="1"/>
    </xf>
    <xf numFmtId="0" fontId="42" fillId="0" borderId="0" xfId="0" applyFont="1"/>
    <xf numFmtId="0" fontId="42" fillId="10" borderId="1" xfId="0" applyFont="1" applyFill="1" applyBorder="1" applyAlignment="1">
      <alignment horizontal="center" wrapText="1"/>
    </xf>
    <xf numFmtId="165" fontId="23" fillId="0" borderId="1" xfId="0" applyNumberFormat="1" applyFont="1" applyBorder="1" applyAlignment="1">
      <alignment horizontal="center"/>
    </xf>
    <xf numFmtId="0" fontId="23" fillId="10" borderId="1" xfId="0" applyFont="1" applyFill="1" applyBorder="1"/>
    <xf numFmtId="10" fontId="53" fillId="0" borderId="0" xfId="0" applyNumberFormat="1" applyFont="1"/>
    <xf numFmtId="0" fontId="54" fillId="0" borderId="0" xfId="0" applyFont="1" applyAlignment="1">
      <alignment horizontal="center" vertical="center" wrapText="1"/>
    </xf>
    <xf numFmtId="0" fontId="23" fillId="0" borderId="0" xfId="0" applyFont="1" applyAlignment="1">
      <alignment horizontal="center"/>
    </xf>
    <xf numFmtId="9" fontId="23" fillId="0" borderId="1" xfId="0" applyNumberFormat="1" applyFont="1" applyBorder="1"/>
    <xf numFmtId="0" fontId="57" fillId="50" borderId="1" xfId="0" applyFont="1" applyFill="1" applyBorder="1"/>
    <xf numFmtId="0" fontId="15" fillId="10" borderId="45" xfId="0" quotePrefix="1" applyFont="1" applyFill="1" applyBorder="1" applyAlignment="1">
      <alignment horizontal="center" vertical="center" wrapText="1"/>
    </xf>
    <xf numFmtId="0" fontId="15" fillId="10" borderId="45" xfId="0" applyFont="1" applyFill="1" applyBorder="1" applyAlignment="1">
      <alignment horizontal="center" vertical="center" wrapText="1"/>
    </xf>
    <xf numFmtId="0" fontId="23" fillId="0" borderId="32" xfId="0" applyFont="1" applyBorder="1" applyAlignment="1">
      <alignment horizontal="center"/>
    </xf>
    <xf numFmtId="165" fontId="23" fillId="0" borderId="20" xfId="1" applyNumberFormat="1" applyFont="1" applyBorder="1" applyAlignment="1">
      <alignment horizontal="center"/>
    </xf>
    <xf numFmtId="0" fontId="57" fillId="50" borderId="30" xfId="0" quotePrefix="1" applyFont="1" applyFill="1" applyBorder="1" applyAlignment="1">
      <alignment horizontal="left"/>
    </xf>
    <xf numFmtId="0" fontId="57" fillId="50" borderId="46" xfId="0" applyFont="1" applyFill="1" applyBorder="1" applyAlignment="1">
      <alignment horizontal="center"/>
    </xf>
    <xf numFmtId="165" fontId="57" fillId="50" borderId="48" xfId="1" applyNumberFormat="1" applyFont="1" applyFill="1" applyBorder="1" applyAlignment="1">
      <alignment horizontal="center"/>
    </xf>
    <xf numFmtId="0" fontId="59" fillId="5" borderId="1" xfId="0" applyFont="1" applyFill="1" applyBorder="1" applyAlignment="1">
      <alignment vertical="center" wrapText="1"/>
    </xf>
    <xf numFmtId="0" fontId="57" fillId="5" borderId="1" xfId="0" applyFont="1" applyFill="1" applyBorder="1"/>
    <xf numFmtId="2" fontId="57" fillId="50" borderId="1" xfId="0" applyNumberFormat="1" applyFont="1" applyFill="1" applyBorder="1"/>
    <xf numFmtId="10" fontId="57" fillId="50" borderId="1" xfId="0" applyNumberFormat="1" applyFont="1" applyFill="1" applyBorder="1"/>
    <xf numFmtId="0" fontId="56" fillId="2" borderId="1" xfId="0" applyFont="1" applyFill="1" applyBorder="1" applyAlignment="1">
      <alignment horizontal="left" vertical="center" wrapText="1"/>
    </xf>
    <xf numFmtId="0" fontId="23" fillId="0" borderId="1" xfId="0" applyFont="1" applyBorder="1" applyAlignment="1">
      <alignment horizontal="left" vertical="center" wrapText="1"/>
    </xf>
    <xf numFmtId="0" fontId="15" fillId="10" borderId="9" xfId="0" applyFont="1" applyFill="1" applyBorder="1" applyAlignment="1">
      <alignment horizontal="center" vertical="center" wrapText="1"/>
    </xf>
    <xf numFmtId="0" fontId="15" fillId="10" borderId="10" xfId="0" quotePrefix="1" applyFont="1" applyFill="1" applyBorder="1" applyAlignment="1">
      <alignment horizontal="center" vertical="center" wrapText="1"/>
    </xf>
    <xf numFmtId="0" fontId="43" fillId="0" borderId="0" xfId="0" applyFont="1" applyAlignment="1">
      <alignment vertical="center" wrapText="1"/>
    </xf>
    <xf numFmtId="0" fontId="7" fillId="0" borderId="0" xfId="0" applyFont="1" applyAlignment="1">
      <alignment wrapText="1"/>
    </xf>
    <xf numFmtId="1" fontId="23" fillId="0" borderId="2" xfId="0" applyNumberFormat="1" applyFont="1" applyBorder="1" applyAlignment="1">
      <alignment horizontal="center"/>
    </xf>
    <xf numFmtId="0" fontId="54" fillId="10" borderId="47" xfId="0" applyFont="1" applyFill="1" applyBorder="1" applyAlignment="1">
      <alignment horizontal="center" vertical="center" wrapText="1"/>
    </xf>
    <xf numFmtId="0" fontId="54" fillId="10" borderId="23" xfId="0" applyFont="1" applyFill="1" applyBorder="1" applyAlignment="1">
      <alignment horizontal="center" vertical="center" wrapText="1"/>
    </xf>
    <xf numFmtId="9" fontId="5" fillId="0" borderId="10" xfId="0" applyNumberFormat="1" applyFont="1" applyBorder="1" applyAlignment="1">
      <alignment horizontal="center" vertical="center"/>
    </xf>
    <xf numFmtId="0" fontId="6" fillId="50" borderId="29" xfId="0" applyFont="1" applyFill="1" applyBorder="1" applyAlignment="1">
      <alignment vertical="center"/>
    </xf>
    <xf numFmtId="9" fontId="6" fillId="50" borderId="14" xfId="0" applyNumberFormat="1" applyFont="1" applyFill="1" applyBorder="1" applyAlignment="1">
      <alignment horizontal="center" vertical="center"/>
    </xf>
    <xf numFmtId="1" fontId="5" fillId="0" borderId="1" xfId="0" applyNumberFormat="1" applyFont="1" applyBorder="1" applyAlignment="1">
      <alignment horizontal="center" vertical="center"/>
    </xf>
    <xf numFmtId="1" fontId="6" fillId="50" borderId="15" xfId="0" applyNumberFormat="1" applyFont="1" applyFill="1" applyBorder="1" applyAlignment="1">
      <alignment horizontal="center" vertical="center"/>
    </xf>
    <xf numFmtId="1" fontId="6" fillId="50" borderId="16" xfId="0" applyNumberFormat="1" applyFont="1" applyFill="1" applyBorder="1" applyAlignment="1">
      <alignment horizontal="center" vertical="center"/>
    </xf>
    <xf numFmtId="1" fontId="5" fillId="0" borderId="9" xfId="0" applyNumberFormat="1" applyFont="1" applyBorder="1" applyAlignment="1">
      <alignment horizontal="center" vertical="center"/>
    </xf>
    <xf numFmtId="1" fontId="5" fillId="0" borderId="25" xfId="0" applyNumberFormat="1" applyFont="1" applyBorder="1" applyAlignment="1">
      <alignment horizontal="center" vertical="center"/>
    </xf>
    <xf numFmtId="0" fontId="15" fillId="10" borderId="25" xfId="0" applyFont="1" applyFill="1" applyBorder="1" applyAlignment="1">
      <alignment horizontal="center" vertical="center" wrapText="1"/>
    </xf>
    <xf numFmtId="10" fontId="23" fillId="5" borderId="1" xfId="0" applyNumberFormat="1" applyFont="1" applyFill="1" applyBorder="1" applyAlignment="1">
      <alignment horizontal="center" vertical="center"/>
    </xf>
    <xf numFmtId="10" fontId="23" fillId="5" borderId="1" xfId="0" applyNumberFormat="1" applyFont="1" applyFill="1" applyBorder="1" applyAlignment="1">
      <alignment horizontal="center"/>
    </xf>
    <xf numFmtId="14" fontId="5" fillId="2" borderId="0" xfId="0" applyNumberFormat="1" applyFont="1" applyFill="1" applyAlignment="1">
      <alignment horizontal="center" vertical="center" wrapText="1"/>
    </xf>
    <xf numFmtId="0" fontId="11" fillId="2" borderId="0" xfId="0" applyFont="1" applyFill="1" applyAlignment="1">
      <alignment horizontal="center" vertical="center" wrapText="1"/>
    </xf>
    <xf numFmtId="9" fontId="57" fillId="5" borderId="1" xfId="0" applyNumberFormat="1" applyFont="1" applyFill="1" applyBorder="1" applyAlignment="1">
      <alignment horizontal="center"/>
    </xf>
    <xf numFmtId="9" fontId="57" fillId="5" borderId="1" xfId="0" applyNumberFormat="1" applyFont="1" applyFill="1" applyBorder="1"/>
    <xf numFmtId="0" fontId="52" fillId="0" borderId="0" xfId="2" quotePrefix="1" applyFont="1" applyAlignment="1" applyProtection="1">
      <protection locked="0"/>
    </xf>
    <xf numFmtId="0" fontId="52" fillId="0" borderId="0" xfId="2" applyFont="1" applyAlignment="1"/>
    <xf numFmtId="10" fontId="23" fillId="0" borderId="1" xfId="0" applyNumberFormat="1" applyFont="1" applyBorder="1" applyAlignment="1">
      <alignment horizontal="center" vertical="center"/>
    </xf>
    <xf numFmtId="0" fontId="10" fillId="10" borderId="1" xfId="0" applyFont="1" applyFill="1" applyBorder="1" applyAlignment="1">
      <alignment horizontal="center"/>
    </xf>
    <xf numFmtId="0" fontId="23" fillId="2" borderId="1" xfId="0" applyFont="1" applyFill="1" applyBorder="1" applyAlignment="1">
      <alignment horizontal="center" vertical="center" wrapText="1"/>
    </xf>
    <xf numFmtId="0" fontId="23" fillId="2" borderId="1" xfId="0" applyFont="1" applyFill="1" applyBorder="1" applyAlignment="1">
      <alignment horizontal="center" vertical="center"/>
    </xf>
    <xf numFmtId="0" fontId="56" fillId="2" borderId="1" xfId="0" applyFont="1" applyFill="1" applyBorder="1" applyAlignment="1">
      <alignment horizontal="center" vertical="center" wrapText="1"/>
    </xf>
    <xf numFmtId="0" fontId="10" fillId="10" borderId="0" xfId="0" applyFont="1" applyFill="1" applyAlignment="1">
      <alignment horizontal="center" vertical="center" wrapText="1"/>
    </xf>
    <xf numFmtId="0" fontId="57" fillId="50" borderId="1" xfId="0" applyFont="1" applyFill="1" applyBorder="1" applyAlignment="1">
      <alignment wrapText="1"/>
    </xf>
    <xf numFmtId="0" fontId="59" fillId="50" borderId="1" xfId="0" applyFont="1" applyFill="1" applyBorder="1" applyAlignment="1">
      <alignment vertical="center" wrapText="1"/>
    </xf>
    <xf numFmtId="0" fontId="42" fillId="10" borderId="1" xfId="0" applyFont="1" applyFill="1" applyBorder="1" applyAlignment="1">
      <alignment horizontal="center" vertical="center" wrapText="1"/>
    </xf>
    <xf numFmtId="0" fontId="15" fillId="10" borderId="1" xfId="0" applyFont="1" applyFill="1" applyBorder="1" applyAlignment="1">
      <alignment horizontal="center" vertical="center"/>
    </xf>
    <xf numFmtId="0" fontId="21" fillId="4" borderId="0" xfId="0" applyFont="1" applyFill="1" applyAlignment="1">
      <alignment horizontal="center"/>
    </xf>
    <xf numFmtId="10" fontId="5" fillId="4" borderId="1" xfId="0" applyNumberFormat="1" applyFont="1" applyFill="1" applyBorder="1"/>
    <xf numFmtId="10" fontId="7" fillId="0" borderId="1" xfId="0" applyNumberFormat="1" applyFont="1" applyBorder="1"/>
    <xf numFmtId="0" fontId="53" fillId="0" borderId="17" xfId="0" applyFont="1" applyBorder="1"/>
    <xf numFmtId="165" fontId="0" fillId="0" borderId="0" xfId="0" applyNumberFormat="1"/>
    <xf numFmtId="9" fontId="0" fillId="0" borderId="0" xfId="0" applyNumberFormat="1"/>
    <xf numFmtId="1" fontId="5" fillId="0" borderId="0" xfId="0" applyNumberFormat="1" applyFont="1"/>
    <xf numFmtId="9" fontId="53" fillId="0" borderId="0" xfId="0" applyNumberFormat="1" applyFont="1" applyAlignment="1">
      <alignment horizontal="center"/>
    </xf>
    <xf numFmtId="0" fontId="23" fillId="52" borderId="1" xfId="0" applyFont="1" applyFill="1" applyBorder="1"/>
    <xf numFmtId="0" fontId="23" fillId="52" borderId="1" xfId="0" quotePrefix="1" applyFont="1" applyFill="1" applyBorder="1" applyAlignment="1">
      <alignment horizontal="left"/>
    </xf>
    <xf numFmtId="0" fontId="23" fillId="0" borderId="2" xfId="0" applyFont="1" applyBorder="1"/>
    <xf numFmtId="0" fontId="7" fillId="0" borderId="2" xfId="0" applyFont="1" applyBorder="1"/>
    <xf numFmtId="164" fontId="23" fillId="2" borderId="1" xfId="0" applyNumberFormat="1" applyFont="1" applyFill="1" applyBorder="1" applyAlignment="1">
      <alignment horizontal="center"/>
    </xf>
    <xf numFmtId="1" fontId="23" fillId="2" borderId="1" xfId="0" applyNumberFormat="1" applyFont="1" applyFill="1" applyBorder="1" applyAlignment="1">
      <alignment horizontal="center"/>
    </xf>
    <xf numFmtId="164" fontId="23" fillId="2" borderId="1" xfId="0" applyNumberFormat="1" applyFont="1" applyFill="1" applyBorder="1" applyAlignment="1">
      <alignment horizontal="center" vertical="center"/>
    </xf>
    <xf numFmtId="164" fontId="23" fillId="2" borderId="18" xfId="0" applyNumberFormat="1" applyFont="1" applyFill="1" applyBorder="1" applyAlignment="1">
      <alignment horizontal="center" vertical="center"/>
    </xf>
    <xf numFmtId="1" fontId="23" fillId="2" borderId="0" xfId="0" applyNumberFormat="1" applyFont="1" applyFill="1" applyAlignment="1">
      <alignment horizontal="center"/>
    </xf>
    <xf numFmtId="164" fontId="23" fillId="2" borderId="0" xfId="0" applyNumberFormat="1" applyFont="1" applyFill="1" applyAlignment="1">
      <alignment horizontal="center" vertical="center"/>
    </xf>
    <xf numFmtId="1" fontId="0" fillId="0" borderId="0" xfId="0" applyNumberFormat="1"/>
    <xf numFmtId="0" fontId="77" fillId="0" borderId="0" xfId="0" quotePrefix="1" applyFont="1" applyAlignment="1">
      <alignment vertical="center"/>
    </xf>
    <xf numFmtId="166" fontId="5" fillId="0" borderId="0" xfId="0" applyNumberFormat="1" applyFont="1" applyAlignment="1">
      <alignment horizontal="left" vertical="center" indent="14"/>
    </xf>
    <xf numFmtId="0" fontId="43" fillId="3" borderId="1" xfId="0" applyFont="1" applyFill="1" applyBorder="1" applyAlignment="1" applyProtection="1">
      <alignment horizontal="center" vertical="center" wrapText="1"/>
      <protection locked="0"/>
    </xf>
    <xf numFmtId="0" fontId="80" fillId="3" borderId="1" xfId="0" applyFont="1" applyFill="1" applyBorder="1" applyAlignment="1" applyProtection="1">
      <alignment horizontal="center" vertical="center" wrapText="1"/>
      <protection locked="0"/>
    </xf>
    <xf numFmtId="0" fontId="61" fillId="0" borderId="0" xfId="0" quotePrefix="1" applyFont="1" applyAlignment="1">
      <alignment horizontal="left" vertical="center" wrapText="1" indent="14"/>
    </xf>
    <xf numFmtId="0" fontId="2" fillId="0" borderId="0" xfId="0" applyFont="1"/>
    <xf numFmtId="0" fontId="82" fillId="0" borderId="0" xfId="0" applyFont="1"/>
    <xf numFmtId="9" fontId="2" fillId="0" borderId="0" xfId="1" applyFont="1"/>
    <xf numFmtId="0" fontId="83" fillId="0" borderId="1" xfId="0" applyFont="1" applyBorder="1" applyAlignment="1">
      <alignment horizontal="center"/>
    </xf>
    <xf numFmtId="0" fontId="83" fillId="0" borderId="2" xfId="0" applyFont="1" applyBorder="1" applyAlignment="1">
      <alignment horizontal="center"/>
    </xf>
    <xf numFmtId="0" fontId="83" fillId="0" borderId="0" xfId="0" applyFont="1" applyAlignment="1">
      <alignment horizontal="center"/>
    </xf>
    <xf numFmtId="0" fontId="38" fillId="0" borderId="0" xfId="0" applyFont="1"/>
    <xf numFmtId="0" fontId="58" fillId="0" borderId="0" xfId="0" quotePrefix="1" applyFont="1" applyAlignment="1">
      <alignment horizontal="center" vertical="top"/>
    </xf>
    <xf numFmtId="166" fontId="5" fillId="11" borderId="0" xfId="0" applyNumberFormat="1" applyFont="1" applyFill="1" applyAlignment="1">
      <alignment horizontal="left" vertical="center" indent="19"/>
    </xf>
    <xf numFmtId="0" fontId="2" fillId="3" borderId="0" xfId="0" applyFont="1" applyFill="1"/>
    <xf numFmtId="0" fontId="58" fillId="53" borderId="0" xfId="0" quotePrefix="1" applyFont="1" applyFill="1" applyAlignment="1">
      <alignment horizontal="center" vertical="top" wrapText="1"/>
    </xf>
    <xf numFmtId="0" fontId="81" fillId="53" borderId="0" xfId="0" quotePrefix="1" applyFont="1" applyFill="1" applyAlignment="1">
      <alignment horizontal="center" vertical="center" wrapText="1"/>
    </xf>
    <xf numFmtId="0" fontId="81" fillId="0" borderId="0" xfId="0" quotePrefix="1" applyFont="1" applyAlignment="1">
      <alignment horizontal="center" vertical="center" wrapText="1"/>
    </xf>
    <xf numFmtId="166" fontId="5" fillId="0" borderId="0" xfId="0" applyNumberFormat="1" applyFont="1" applyAlignment="1">
      <alignment horizontal="left" vertical="center" indent="20"/>
    </xf>
    <xf numFmtId="166" fontId="5" fillId="11" borderId="0" xfId="0" applyNumberFormat="1" applyFont="1" applyFill="1" applyAlignment="1">
      <alignment horizontal="center" vertical="center"/>
    </xf>
    <xf numFmtId="0" fontId="85" fillId="53" borderId="0" xfId="0" quotePrefix="1" applyFont="1" applyFill="1" applyAlignment="1">
      <alignment horizontal="center" vertical="center" wrapText="1"/>
    </xf>
    <xf numFmtId="0" fontId="85" fillId="0" borderId="0" xfId="0" quotePrefix="1" applyFont="1" applyAlignment="1">
      <alignment horizontal="center" vertical="center" wrapText="1"/>
    </xf>
    <xf numFmtId="166" fontId="5" fillId="0" borderId="0" xfId="0" applyNumberFormat="1" applyFont="1" applyAlignment="1">
      <alignment horizontal="left" vertical="center" indent="19"/>
    </xf>
    <xf numFmtId="166" fontId="5" fillId="0" borderId="0" xfId="0" applyNumberFormat="1" applyFont="1" applyAlignment="1">
      <alignment horizontal="left" vertical="center" indent="15"/>
    </xf>
    <xf numFmtId="166" fontId="5" fillId="0" borderId="0" xfId="0" applyNumberFormat="1" applyFont="1" applyAlignment="1">
      <alignment horizontal="left" vertical="center" indent="4"/>
    </xf>
    <xf numFmtId="0" fontId="85" fillId="0" borderId="0" xfId="0" quotePrefix="1" applyFont="1" applyAlignment="1">
      <alignment vertical="center" wrapText="1"/>
    </xf>
    <xf numFmtId="166" fontId="5" fillId="0" borderId="0" xfId="0" applyNumberFormat="1" applyFont="1" applyAlignment="1">
      <alignment vertical="center"/>
    </xf>
    <xf numFmtId="166" fontId="5" fillId="0" borderId="0" xfId="0" applyNumberFormat="1" applyFont="1" applyAlignment="1">
      <alignment horizontal="left" vertical="center" indent="13"/>
    </xf>
    <xf numFmtId="166" fontId="5" fillId="0" borderId="0" xfId="0" applyNumberFormat="1" applyFont="1" applyAlignment="1">
      <alignment horizontal="left" vertical="center" indent="11"/>
    </xf>
    <xf numFmtId="0" fontId="42" fillId="0" borderId="0" xfId="0" applyFont="1" applyAlignment="1">
      <alignment horizontal="center" vertical="center" wrapText="1"/>
    </xf>
    <xf numFmtId="166" fontId="5" fillId="0" borderId="0" xfId="0" applyNumberFormat="1" applyFont="1" applyAlignment="1">
      <alignment horizontal="left" vertical="center" indent="17"/>
    </xf>
    <xf numFmtId="166" fontId="5" fillId="0" borderId="0" xfId="0" applyNumberFormat="1" applyFont="1" applyAlignment="1">
      <alignment horizontal="left" vertical="center" indent="16"/>
    </xf>
    <xf numFmtId="0" fontId="88" fillId="55" borderId="9" xfId="0" applyFont="1" applyFill="1" applyBorder="1" applyAlignment="1">
      <alignment horizontal="center" vertical="center" wrapText="1"/>
    </xf>
    <xf numFmtId="0" fontId="88" fillId="55" borderId="1" xfId="0" applyFont="1" applyFill="1" applyBorder="1" applyAlignment="1">
      <alignment horizontal="center" vertical="center" wrapText="1"/>
    </xf>
    <xf numFmtId="0" fontId="88" fillId="55" borderId="10" xfId="0" quotePrefix="1" applyFont="1" applyFill="1" applyBorder="1" applyAlignment="1">
      <alignment horizontal="center" vertical="center" wrapText="1"/>
    </xf>
    <xf numFmtId="0" fontId="88" fillId="54" borderId="9" xfId="0" applyFont="1" applyFill="1" applyBorder="1" applyAlignment="1">
      <alignment horizontal="center" vertical="center" wrapText="1"/>
    </xf>
    <xf numFmtId="0" fontId="88" fillId="54" borderId="1" xfId="0" applyFont="1" applyFill="1" applyBorder="1" applyAlignment="1">
      <alignment horizontal="center" vertical="center" wrapText="1"/>
    </xf>
    <xf numFmtId="0" fontId="88" fillId="54" borderId="10" xfId="0" quotePrefix="1" applyFont="1" applyFill="1" applyBorder="1" applyAlignment="1">
      <alignment horizontal="center" vertical="center" wrapText="1"/>
    </xf>
    <xf numFmtId="0" fontId="78" fillId="0" borderId="0" xfId="0" quotePrefix="1" applyFont="1" applyAlignment="1">
      <alignment horizontal="center" wrapText="1"/>
    </xf>
    <xf numFmtId="0" fontId="81" fillId="0" borderId="0" xfId="0" quotePrefix="1" applyFont="1" applyAlignment="1">
      <alignment horizontal="center" wrapText="1"/>
    </xf>
    <xf numFmtId="0" fontId="90" fillId="48" borderId="2" xfId="0" quotePrefix="1" applyFont="1" applyFill="1" applyBorder="1" applyAlignment="1">
      <alignment horizontal="left" vertical="center"/>
    </xf>
    <xf numFmtId="0" fontId="91" fillId="48" borderId="26" xfId="0" quotePrefix="1" applyFont="1" applyFill="1" applyBorder="1" applyAlignment="1">
      <alignment horizontal="center" vertical="center"/>
    </xf>
    <xf numFmtId="0" fontId="91" fillId="48" borderId="25" xfId="0" quotePrefix="1" applyFont="1" applyFill="1" applyBorder="1" applyAlignment="1">
      <alignment horizontal="center" vertical="center"/>
    </xf>
    <xf numFmtId="0" fontId="89" fillId="10" borderId="17" xfId="0" applyFont="1" applyFill="1" applyBorder="1" applyAlignment="1">
      <alignment horizontal="center"/>
    </xf>
    <xf numFmtId="0" fontId="90" fillId="48" borderId="2" xfId="0" quotePrefix="1" applyFont="1" applyFill="1" applyBorder="1" applyAlignment="1">
      <alignment vertical="center"/>
    </xf>
    <xf numFmtId="0" fontId="90" fillId="48" borderId="26" xfId="0" quotePrefix="1" applyFont="1" applyFill="1" applyBorder="1" applyAlignment="1">
      <alignment vertical="center"/>
    </xf>
    <xf numFmtId="0" fontId="95" fillId="48" borderId="1" xfId="0" quotePrefix="1" applyFont="1" applyFill="1" applyBorder="1" applyAlignment="1">
      <alignment horizontal="center" vertical="center" wrapText="1"/>
    </xf>
    <xf numFmtId="0" fontId="90" fillId="48" borderId="26" xfId="0" quotePrefix="1" applyFont="1" applyFill="1" applyBorder="1" applyAlignment="1">
      <alignment horizontal="left" vertical="center"/>
    </xf>
    <xf numFmtId="0" fontId="42" fillId="10" borderId="0" xfId="0" applyFont="1" applyFill="1" applyAlignment="1">
      <alignment horizontal="center"/>
    </xf>
    <xf numFmtId="0" fontId="57" fillId="48" borderId="1" xfId="0" applyFont="1" applyFill="1" applyBorder="1" applyAlignment="1">
      <alignment horizontal="center" vertical="center" wrapText="1"/>
    </xf>
    <xf numFmtId="0" fontId="42" fillId="10" borderId="17" xfId="0" applyFont="1" applyFill="1" applyBorder="1" applyAlignment="1">
      <alignment horizontal="center" wrapText="1"/>
    </xf>
    <xf numFmtId="1" fontId="53" fillId="0" borderId="0" xfId="0" applyNumberFormat="1" applyFont="1"/>
    <xf numFmtId="0" fontId="6" fillId="13" borderId="1" xfId="0" applyFont="1" applyFill="1" applyBorder="1" applyAlignment="1" applyProtection="1">
      <alignment horizontal="center" vertical="center" wrapText="1"/>
      <protection locked="0"/>
    </xf>
    <xf numFmtId="10" fontId="103" fillId="0" borderId="1" xfId="0" applyNumberFormat="1" applyFont="1" applyBorder="1" applyAlignment="1">
      <alignment horizontal="center" vertical="center"/>
    </xf>
    <xf numFmtId="0" fontId="95" fillId="48" borderId="2" xfId="0" quotePrefix="1" applyFont="1" applyFill="1" applyBorder="1" applyAlignment="1">
      <alignment horizontal="left" vertical="center"/>
    </xf>
    <xf numFmtId="0" fontId="95" fillId="48" borderId="26" xfId="0" quotePrefix="1" applyFont="1" applyFill="1" applyBorder="1" applyAlignment="1">
      <alignment horizontal="center" vertical="center"/>
    </xf>
    <xf numFmtId="2" fontId="53" fillId="0" borderId="0" xfId="0" applyNumberFormat="1" applyFont="1"/>
    <xf numFmtId="0" fontId="45" fillId="48" borderId="2" xfId="0" quotePrefix="1" applyFont="1" applyFill="1" applyBorder="1" applyAlignment="1">
      <alignment horizontal="left" vertical="center"/>
    </xf>
    <xf numFmtId="0" fontId="6" fillId="48" borderId="1" xfId="0" applyFont="1" applyFill="1" applyBorder="1" applyAlignment="1">
      <alignment horizontal="center" vertical="center"/>
    </xf>
    <xf numFmtId="0" fontId="7" fillId="6" borderId="1" xfId="0" applyFont="1" applyFill="1" applyBorder="1" applyAlignment="1">
      <alignment horizontal="center" vertical="center" wrapText="1"/>
    </xf>
    <xf numFmtId="0" fontId="6" fillId="8" borderId="1" xfId="0" applyFont="1" applyFill="1" applyBorder="1" applyAlignment="1" applyProtection="1">
      <alignment horizontal="center" vertical="center" wrapText="1"/>
      <protection locked="0"/>
    </xf>
    <xf numFmtId="0" fontId="7" fillId="8" borderId="1" xfId="0" applyFont="1" applyFill="1" applyBorder="1" applyAlignment="1">
      <alignment horizontal="center" wrapText="1"/>
    </xf>
    <xf numFmtId="0" fontId="57" fillId="0" borderId="1" xfId="0" applyFont="1" applyBorder="1" applyAlignment="1">
      <alignment wrapText="1"/>
    </xf>
    <xf numFmtId="10" fontId="103" fillId="0" borderId="1" xfId="0" applyNumberFormat="1" applyFont="1" applyBorder="1" applyAlignment="1">
      <alignment horizontal="center"/>
    </xf>
    <xf numFmtId="0" fontId="41" fillId="48" borderId="1" xfId="0" applyFont="1" applyFill="1" applyBorder="1" applyAlignment="1" applyProtection="1">
      <alignment horizontal="center" vertical="center" wrapText="1"/>
      <protection locked="0"/>
    </xf>
    <xf numFmtId="0" fontId="83" fillId="0" borderId="25" xfId="0" applyFont="1" applyBorder="1" applyAlignment="1">
      <alignment horizontal="center"/>
    </xf>
    <xf numFmtId="0" fontId="95" fillId="8" borderId="1" xfId="0" applyFont="1" applyFill="1" applyBorder="1"/>
    <xf numFmtId="0" fontId="62" fillId="8" borderId="1" xfId="0" applyFont="1" applyFill="1" applyBorder="1" applyAlignment="1">
      <alignment horizontal="left"/>
    </xf>
    <xf numFmtId="0" fontId="104" fillId="0" borderId="0" xfId="0" applyFont="1" applyAlignment="1">
      <alignment vertical="center" wrapText="1"/>
    </xf>
    <xf numFmtId="0" fontId="106" fillId="0" borderId="0" xfId="0" applyFont="1"/>
    <xf numFmtId="10" fontId="106" fillId="0" borderId="0" xfId="0" applyNumberFormat="1" applyFont="1"/>
    <xf numFmtId="2" fontId="103" fillId="0" borderId="1" xfId="0" applyNumberFormat="1" applyFont="1" applyBorder="1" applyAlignment="1">
      <alignment horizontal="center" vertical="center"/>
    </xf>
    <xf numFmtId="2" fontId="23" fillId="50" borderId="1" xfId="0" applyNumberFormat="1" applyFont="1" applyFill="1" applyBorder="1" applyAlignment="1">
      <alignment horizontal="center" vertical="center"/>
    </xf>
    <xf numFmtId="2" fontId="103" fillId="0" borderId="1" xfId="0" applyNumberFormat="1" applyFont="1" applyBorder="1" applyAlignment="1">
      <alignment horizontal="center"/>
    </xf>
    <xf numFmtId="0" fontId="23" fillId="2" borderId="1" xfId="0" applyFont="1" applyFill="1" applyBorder="1" applyAlignment="1">
      <alignment horizontal="center" vertical="center"/>
    </xf>
    <xf numFmtId="0" fontId="0" fillId="0" borderId="1" xfId="0" applyBorder="1" applyAlignment="1">
      <alignment horizontal="center"/>
    </xf>
    <xf numFmtId="0" fontId="107" fillId="0" borderId="0" xfId="0" applyFont="1"/>
    <xf numFmtId="0" fontId="0" fillId="0" borderId="0" xfId="0" applyFont="1"/>
    <xf numFmtId="0" fontId="0" fillId="0" borderId="1" xfId="0" applyBorder="1" applyAlignment="1">
      <alignment horizontal="center"/>
    </xf>
    <xf numFmtId="0" fontId="83" fillId="0" borderId="17" xfId="0" applyFont="1" applyBorder="1" applyAlignment="1">
      <alignment horizontal="center"/>
    </xf>
    <xf numFmtId="0" fontId="109" fillId="0" borderId="1" xfId="0" applyFont="1" applyBorder="1" applyAlignment="1">
      <alignment vertical="center" wrapText="1"/>
    </xf>
    <xf numFmtId="0" fontId="0" fillId="0" borderId="25" xfId="0" applyBorder="1" applyAlignment="1">
      <alignment horizontal="center"/>
    </xf>
    <xf numFmtId="0" fontId="108" fillId="0" borderId="1" xfId="0" applyFont="1" applyBorder="1" applyAlignment="1">
      <alignment horizontal="center" vertical="center" wrapText="1"/>
    </xf>
    <xf numFmtId="164" fontId="23" fillId="0" borderId="0" xfId="0" applyNumberFormat="1" applyFont="1" applyBorder="1" applyAlignment="1">
      <alignment horizontal="center"/>
    </xf>
    <xf numFmtId="0" fontId="23" fillId="0" borderId="0" xfId="0" applyFont="1" applyBorder="1" applyAlignment="1">
      <alignment horizontal="center" vertical="center"/>
    </xf>
    <xf numFmtId="0" fontId="23" fillId="2" borderId="0" xfId="0" applyFont="1" applyFill="1" applyBorder="1" applyAlignment="1">
      <alignment horizontal="center" vertical="center"/>
    </xf>
    <xf numFmtId="0" fontId="23" fillId="0" borderId="25" xfId="0" applyFont="1" applyBorder="1" applyAlignment="1">
      <alignment horizontal="center" vertical="center"/>
    </xf>
    <xf numFmtId="0" fontId="23" fillId="0" borderId="4" xfId="0" applyFont="1" applyBorder="1" applyAlignment="1">
      <alignment horizontal="center" vertical="center"/>
    </xf>
    <xf numFmtId="0" fontId="110" fillId="0" borderId="0" xfId="0" applyFont="1"/>
    <xf numFmtId="0" fontId="23" fillId="0" borderId="1" xfId="0" applyFont="1" applyBorder="1" applyAlignment="1">
      <alignment horizontal="center" vertical="center" wrapText="1"/>
    </xf>
    <xf numFmtId="0" fontId="23" fillId="2" borderId="1" xfId="0" applyFont="1" applyFill="1" applyBorder="1" applyAlignment="1">
      <alignment horizontal="center" vertical="center" wrapText="1"/>
    </xf>
    <xf numFmtId="0" fontId="83" fillId="0" borderId="0" xfId="0" applyFont="1" applyBorder="1" applyAlignment="1">
      <alignment horizontal="center"/>
    </xf>
    <xf numFmtId="0" fontId="83" fillId="0" borderId="26" xfId="0" applyFont="1" applyBorder="1" applyAlignment="1">
      <alignment horizontal="center"/>
    </xf>
    <xf numFmtId="9" fontId="83" fillId="0" borderId="0" xfId="1" applyFont="1" applyBorder="1" applyAlignment="1">
      <alignment horizontal="center"/>
    </xf>
    <xf numFmtId="0" fontId="23" fillId="8" borderId="1" xfId="0" applyFont="1" applyFill="1" applyBorder="1" applyAlignment="1">
      <alignment horizontal="center" wrapText="1"/>
    </xf>
    <xf numFmtId="0" fontId="23" fillId="0" borderId="1" xfId="0" applyFont="1" applyBorder="1" applyAlignment="1">
      <alignment horizontal="center" wrapText="1"/>
    </xf>
    <xf numFmtId="0" fontId="23" fillId="6" borderId="1" xfId="0" applyFont="1" applyFill="1" applyBorder="1" applyAlignment="1">
      <alignment horizontal="center" wrapText="1"/>
    </xf>
    <xf numFmtId="0" fontId="57" fillId="0" borderId="0" xfId="0" applyFont="1" applyAlignment="1">
      <alignment horizontal="center" wrapText="1"/>
    </xf>
    <xf numFmtId="0" fontId="2" fillId="56" borderId="0" xfId="0" applyFont="1" applyFill="1"/>
    <xf numFmtId="0" fontId="2" fillId="56" borderId="0" xfId="0" applyFont="1" applyFill="1" applyBorder="1"/>
    <xf numFmtId="0" fontId="0" fillId="56" borderId="0" xfId="0" applyFill="1"/>
    <xf numFmtId="9" fontId="2" fillId="56" borderId="0" xfId="1" applyFont="1" applyFill="1" applyBorder="1"/>
    <xf numFmtId="0" fontId="104" fillId="56" borderId="0" xfId="0" applyFont="1" applyFill="1" applyBorder="1"/>
    <xf numFmtId="0" fontId="0" fillId="56" borderId="0" xfId="0" applyFill="1" applyBorder="1"/>
    <xf numFmtId="0" fontId="105" fillId="56" borderId="0" xfId="0" applyFont="1" applyFill="1" applyBorder="1" applyAlignment="1">
      <alignment vertical="center"/>
    </xf>
    <xf numFmtId="0" fontId="0" fillId="0" borderId="0" xfId="0" quotePrefix="1" applyFill="1"/>
    <xf numFmtId="0" fontId="0" fillId="0" borderId="0" xfId="0" applyFill="1"/>
    <xf numFmtId="0" fontId="111" fillId="0" borderId="0" xfId="0" quotePrefix="1" applyFont="1" applyFill="1" applyAlignment="1">
      <alignment horizontal="center" vertical="center"/>
    </xf>
    <xf numFmtId="0" fontId="78" fillId="0" borderId="0" xfId="0" quotePrefix="1" applyFont="1" applyFill="1" applyAlignment="1">
      <alignment horizontal="center" vertical="center"/>
    </xf>
    <xf numFmtId="0" fontId="0" fillId="0" borderId="0" xfId="0" applyAlignment="1">
      <alignment wrapText="1"/>
    </xf>
    <xf numFmtId="0" fontId="78" fillId="0" borderId="0" xfId="0" quotePrefix="1" applyFont="1" applyFill="1" applyAlignment="1">
      <alignment horizontal="center" vertical="center" wrapText="1"/>
    </xf>
    <xf numFmtId="0" fontId="50" fillId="0" borderId="0" xfId="0" applyFont="1" applyAlignment="1">
      <alignment wrapText="1"/>
    </xf>
    <xf numFmtId="0" fontId="52" fillId="0" borderId="0" xfId="2" applyFont="1" applyAlignment="1">
      <alignment wrapText="1"/>
    </xf>
    <xf numFmtId="0" fontId="52" fillId="0" borderId="0" xfId="2" quotePrefix="1" applyFont="1" applyAlignment="1" applyProtection="1">
      <alignment wrapText="1"/>
      <protection locked="0"/>
    </xf>
    <xf numFmtId="0" fontId="0" fillId="0" borderId="0" xfId="0" applyFill="1" applyAlignment="1">
      <alignment wrapText="1"/>
    </xf>
    <xf numFmtId="0" fontId="51" fillId="0" borderId="0" xfId="0" applyFont="1" applyAlignment="1">
      <alignment wrapText="1"/>
    </xf>
    <xf numFmtId="0" fontId="0" fillId="0" borderId="0" xfId="0" quotePrefix="1" applyFill="1" applyAlignment="1">
      <alignment wrapText="1"/>
    </xf>
    <xf numFmtId="0" fontId="102" fillId="0" borderId="0" xfId="0" applyFont="1"/>
    <xf numFmtId="0" fontId="55" fillId="10" borderId="1" xfId="0" quotePrefix="1" applyFont="1" applyFill="1" applyBorder="1" applyAlignment="1">
      <alignment horizontal="center" vertical="center" wrapText="1"/>
    </xf>
    <xf numFmtId="0" fontId="112" fillId="10" borderId="1" xfId="0" quotePrefix="1" applyFont="1" applyFill="1" applyBorder="1" applyAlignment="1">
      <alignment horizontal="center" vertical="center"/>
    </xf>
    <xf numFmtId="0" fontId="12" fillId="0" borderId="0" xfId="0" quotePrefix="1" applyFont="1" applyFill="1" applyBorder="1" applyAlignment="1">
      <alignment horizontal="center" vertical="center"/>
    </xf>
    <xf numFmtId="0" fontId="12" fillId="58" borderId="1" xfId="0" quotePrefix="1" applyFont="1" applyFill="1" applyBorder="1" applyAlignment="1">
      <alignment horizontal="left" vertical="center" wrapText="1"/>
    </xf>
    <xf numFmtId="0" fontId="12" fillId="58" borderId="1" xfId="0" quotePrefix="1" applyFont="1" applyFill="1" applyBorder="1" applyAlignment="1">
      <alignment horizontal="left" vertical="center"/>
    </xf>
    <xf numFmtId="0" fontId="53" fillId="0" borderId="18" xfId="0" applyFont="1" applyBorder="1" applyAlignment="1">
      <alignment horizontal="center" vertical="center"/>
    </xf>
    <xf numFmtId="0" fontId="23" fillId="0" borderId="17" xfId="0" applyFont="1" applyBorder="1" applyAlignment="1">
      <alignment horizontal="center"/>
    </xf>
    <xf numFmtId="0" fontId="23" fillId="0" borderId="3" xfId="0" applyFont="1" applyBorder="1" applyAlignment="1">
      <alignment horizontal="center"/>
    </xf>
    <xf numFmtId="1" fontId="23" fillId="2" borderId="25" xfId="0" applyNumberFormat="1" applyFont="1" applyFill="1" applyBorder="1" applyAlignment="1">
      <alignment horizontal="center"/>
    </xf>
    <xf numFmtId="0" fontId="6" fillId="48" borderId="17" xfId="0" applyFont="1" applyFill="1" applyBorder="1" applyAlignment="1">
      <alignment horizontal="center" vertical="center"/>
    </xf>
    <xf numFmtId="0" fontId="42" fillId="10" borderId="3" xfId="0" applyFont="1" applyFill="1" applyBorder="1" applyAlignment="1">
      <alignment horizontal="center"/>
    </xf>
    <xf numFmtId="164" fontId="23" fillId="2" borderId="25" xfId="0" applyNumberFormat="1" applyFont="1" applyFill="1" applyBorder="1" applyAlignment="1">
      <alignment horizontal="center"/>
    </xf>
    <xf numFmtId="1" fontId="23" fillId="0" borderId="25" xfId="0" applyNumberFormat="1" applyFont="1" applyBorder="1" applyAlignment="1">
      <alignment horizontal="center"/>
    </xf>
    <xf numFmtId="0" fontId="42" fillId="10" borderId="61" xfId="0" applyFont="1" applyFill="1" applyBorder="1" applyAlignment="1">
      <alignment horizontal="center"/>
    </xf>
    <xf numFmtId="0" fontId="57" fillId="7" borderId="21" xfId="0" applyFont="1" applyFill="1" applyBorder="1" applyAlignment="1">
      <alignment horizontal="center"/>
    </xf>
    <xf numFmtId="165" fontId="23" fillId="0" borderId="17" xfId="0" applyNumberFormat="1" applyFont="1" applyBorder="1" applyAlignment="1">
      <alignment horizontal="center"/>
    </xf>
    <xf numFmtId="0" fontId="57" fillId="7" borderId="61" xfId="0" applyFont="1" applyFill="1" applyBorder="1" applyAlignment="1">
      <alignment horizontal="center"/>
    </xf>
    <xf numFmtId="0" fontId="57" fillId="7" borderId="12" xfId="0" applyFont="1" applyFill="1" applyBorder="1" applyAlignment="1">
      <alignment horizontal="center"/>
    </xf>
    <xf numFmtId="0" fontId="57" fillId="7" borderId="13" xfId="0" applyFont="1" applyFill="1" applyBorder="1" applyAlignment="1">
      <alignment horizontal="center"/>
    </xf>
    <xf numFmtId="1" fontId="23" fillId="0" borderId="17" xfId="0" applyNumberFormat="1" applyFont="1" applyBorder="1" applyAlignment="1">
      <alignment horizontal="center"/>
    </xf>
    <xf numFmtId="0" fontId="57" fillId="7" borderId="63" xfId="0" applyFont="1" applyFill="1" applyBorder="1" applyAlignment="1">
      <alignment horizontal="center"/>
    </xf>
    <xf numFmtId="1" fontId="57" fillId="7" borderId="62" xfId="0" applyNumberFormat="1" applyFont="1" applyFill="1" applyBorder="1" applyAlignment="1">
      <alignment horizontal="center"/>
    </xf>
    <xf numFmtId="0" fontId="57" fillId="7" borderId="8" xfId="0" applyFont="1" applyFill="1" applyBorder="1" applyAlignment="1">
      <alignment horizontal="center"/>
    </xf>
    <xf numFmtId="0" fontId="57" fillId="7" borderId="10" xfId="0" applyFont="1" applyFill="1" applyBorder="1" applyAlignment="1">
      <alignment horizontal="center"/>
    </xf>
    <xf numFmtId="0" fontId="57" fillId="50" borderId="16" xfId="0" applyFont="1" applyFill="1" applyBorder="1" applyAlignment="1">
      <alignment horizontal="center" vertical="center" wrapText="1"/>
    </xf>
    <xf numFmtId="1" fontId="57" fillId="50" borderId="16" xfId="0" applyNumberFormat="1" applyFont="1" applyFill="1" applyBorder="1" applyAlignment="1">
      <alignment horizontal="center" vertical="center"/>
    </xf>
    <xf numFmtId="0" fontId="57" fillId="50" borderId="14" xfId="0" applyFont="1" applyFill="1" applyBorder="1" applyAlignment="1">
      <alignment horizontal="center" vertical="center"/>
    </xf>
    <xf numFmtId="0" fontId="57" fillId="7" borderId="64" xfId="0" applyFont="1" applyFill="1" applyBorder="1" applyAlignment="1">
      <alignment horizontal="center"/>
    </xf>
    <xf numFmtId="0" fontId="57" fillId="7" borderId="65" xfId="0" applyFont="1" applyFill="1" applyBorder="1" applyAlignment="1">
      <alignment horizontal="center"/>
    </xf>
    <xf numFmtId="0" fontId="57" fillId="7" borderId="66" xfId="0" applyFont="1" applyFill="1" applyBorder="1" applyAlignment="1">
      <alignment horizontal="center"/>
    </xf>
    <xf numFmtId="165" fontId="57" fillId="7" borderId="62" xfId="0" applyNumberFormat="1" applyFont="1" applyFill="1" applyBorder="1" applyAlignment="1">
      <alignment horizontal="center"/>
    </xf>
    <xf numFmtId="165" fontId="57" fillId="7" borderId="16" xfId="0" applyNumberFormat="1" applyFont="1" applyFill="1" applyBorder="1" applyAlignment="1">
      <alignment horizontal="center"/>
    </xf>
    <xf numFmtId="165" fontId="57" fillId="7" borderId="8" xfId="0" applyNumberFormat="1" applyFont="1" applyFill="1" applyBorder="1" applyAlignment="1">
      <alignment horizontal="center"/>
    </xf>
    <xf numFmtId="165" fontId="57" fillId="7" borderId="10" xfId="0" applyNumberFormat="1" applyFont="1" applyFill="1" applyBorder="1" applyAlignment="1">
      <alignment horizontal="center"/>
    </xf>
    <xf numFmtId="165" fontId="57" fillId="7" borderId="14" xfId="0" applyNumberFormat="1" applyFont="1" applyFill="1" applyBorder="1" applyAlignment="1">
      <alignment horizontal="center"/>
    </xf>
    <xf numFmtId="0" fontId="0" fillId="0" borderId="0" xfId="0" applyAlignment="1">
      <alignment horizontal="left" indent="1"/>
    </xf>
    <xf numFmtId="0" fontId="104" fillId="3" borderId="0" xfId="0" applyFont="1" applyFill="1" applyAlignment="1">
      <alignment vertical="center"/>
    </xf>
    <xf numFmtId="0" fontId="23" fillId="2" borderId="1" xfId="0" applyFont="1" applyFill="1" applyBorder="1" applyAlignment="1">
      <alignment horizontal="center" vertical="center"/>
    </xf>
    <xf numFmtId="0" fontId="0" fillId="0" borderId="1" xfId="0" applyBorder="1" applyAlignment="1">
      <alignment horizontal="center"/>
    </xf>
    <xf numFmtId="0" fontId="2" fillId="3" borderId="0" xfId="0" applyFont="1" applyFill="1" applyBorder="1"/>
    <xf numFmtId="49" fontId="114" fillId="57" borderId="0" xfId="0" applyNumberFormat="1" applyFont="1" applyFill="1" applyBorder="1" applyAlignment="1">
      <alignment horizontal="left"/>
    </xf>
    <xf numFmtId="0" fontId="2" fillId="56" borderId="0" xfId="0" applyFont="1" applyFill="1" applyBorder="1" applyAlignment="1">
      <alignment horizontal="left"/>
    </xf>
    <xf numFmtId="0" fontId="0" fillId="0" borderId="1" xfId="0" applyBorder="1"/>
    <xf numFmtId="49" fontId="1" fillId="3" borderId="0" xfId="0" applyNumberFormat="1" applyFont="1" applyFill="1"/>
    <xf numFmtId="49" fontId="2" fillId="3" borderId="0" xfId="0" applyNumberFormat="1" applyFont="1" applyFill="1"/>
    <xf numFmtId="0" fontId="113" fillId="53" borderId="0" xfId="0" quotePrefix="1" applyFont="1" applyFill="1" applyAlignment="1">
      <alignment horizontal="center" vertical="center" wrapText="1"/>
    </xf>
    <xf numFmtId="0" fontId="43" fillId="45" borderId="2" xfId="0" applyFont="1" applyFill="1" applyBorder="1" applyAlignment="1">
      <alignment horizontal="center"/>
    </xf>
    <xf numFmtId="0" fontId="43" fillId="45" borderId="26" xfId="0" applyFont="1" applyFill="1" applyBorder="1" applyAlignment="1">
      <alignment horizontal="center"/>
    </xf>
    <xf numFmtId="0" fontId="43" fillId="45" borderId="2" xfId="0" applyNumberFormat="1" applyFont="1" applyFill="1" applyBorder="1" applyAlignment="1">
      <alignment horizontal="center"/>
    </xf>
    <xf numFmtId="0" fontId="43" fillId="45" borderId="25" xfId="0" applyNumberFormat="1" applyFont="1" applyFill="1" applyBorder="1" applyAlignment="1">
      <alignment horizontal="center"/>
    </xf>
    <xf numFmtId="0" fontId="78" fillId="53" borderId="0" xfId="0" quotePrefix="1" applyFont="1" applyFill="1" applyAlignment="1">
      <alignment horizontal="center" vertical="top" wrapText="1"/>
    </xf>
    <xf numFmtId="0" fontId="90" fillId="48" borderId="20" xfId="0" applyFont="1" applyFill="1" applyBorder="1" applyAlignment="1">
      <alignment horizontal="left" vertical="center"/>
    </xf>
    <xf numFmtId="0" fontId="90" fillId="48" borderId="4" xfId="0" applyFont="1" applyFill="1" applyBorder="1" applyAlignment="1">
      <alignment horizontal="left" vertical="center"/>
    </xf>
    <xf numFmtId="0" fontId="92" fillId="48" borderId="4" xfId="0" applyFont="1" applyFill="1" applyBorder="1" applyAlignment="1">
      <alignment horizontal="left"/>
    </xf>
    <xf numFmtId="0" fontId="93" fillId="48" borderId="4" xfId="0" applyFont="1" applyFill="1" applyBorder="1" applyAlignment="1">
      <alignment horizontal="left"/>
    </xf>
    <xf numFmtId="0" fontId="90" fillId="48" borderId="2" xfId="0" quotePrefix="1" applyFont="1" applyFill="1" applyBorder="1" applyAlignment="1">
      <alignment horizontal="left" vertical="center"/>
    </xf>
    <xf numFmtId="0" fontId="90" fillId="48" borderId="26" xfId="0" quotePrefix="1" applyFont="1" applyFill="1" applyBorder="1" applyAlignment="1">
      <alignment horizontal="left" vertical="center"/>
    </xf>
    <xf numFmtId="0" fontId="78" fillId="53" borderId="0" xfId="0" quotePrefix="1" applyFont="1" applyFill="1" applyAlignment="1">
      <alignment horizontal="center" vertical="center"/>
    </xf>
    <xf numFmtId="0" fontId="12" fillId="8" borderId="56" xfId="0" applyFont="1" applyFill="1" applyBorder="1" applyAlignment="1">
      <alignment horizontal="center"/>
    </xf>
    <xf numFmtId="0" fontId="12" fillId="8" borderId="0" xfId="0" applyFont="1" applyFill="1" applyAlignment="1">
      <alignment horizontal="center"/>
    </xf>
    <xf numFmtId="0" fontId="23" fillId="0" borderId="1" xfId="0" applyFont="1" applyBorder="1" applyAlignment="1">
      <alignment horizontal="center" vertical="center" wrapText="1"/>
    </xf>
    <xf numFmtId="0" fontId="53" fillId="0" borderId="1" xfId="0" applyFont="1" applyBorder="1" applyAlignment="1">
      <alignment wrapText="1"/>
    </xf>
    <xf numFmtId="0" fontId="53" fillId="0" borderId="1" xfId="0" applyFont="1" applyBorder="1" applyAlignment="1"/>
    <xf numFmtId="10" fontId="23" fillId="0" borderId="1" xfId="0" applyNumberFormat="1" applyFont="1" applyBorder="1" applyAlignment="1">
      <alignment horizontal="center" vertical="center"/>
    </xf>
    <xf numFmtId="0" fontId="90" fillId="48" borderId="1" xfId="0" applyFont="1" applyFill="1" applyBorder="1" applyAlignment="1">
      <alignment horizontal="left"/>
    </xf>
    <xf numFmtId="0" fontId="11" fillId="48" borderId="20" xfId="0" applyFont="1" applyFill="1" applyBorder="1" applyAlignment="1">
      <alignment horizontal="center" vertical="center" wrapText="1"/>
    </xf>
    <xf numFmtId="0" fontId="94" fillId="48" borderId="4" xfId="0" applyFont="1" applyFill="1" applyBorder="1" applyAlignment="1">
      <alignment wrapText="1"/>
    </xf>
    <xf numFmtId="0" fontId="12" fillId="48" borderId="1" xfId="0" applyFont="1" applyFill="1" applyBorder="1" applyAlignment="1">
      <alignment horizontal="center" vertical="center"/>
    </xf>
    <xf numFmtId="166" fontId="5" fillId="11" borderId="0" xfId="0" applyNumberFormat="1" applyFont="1" applyFill="1" applyAlignment="1">
      <alignment horizontal="center" vertical="center"/>
    </xf>
    <xf numFmtId="1" fontId="11" fillId="48" borderId="56" xfId="0" applyNumberFormat="1" applyFont="1" applyFill="1" applyBorder="1" applyAlignment="1">
      <alignment horizontal="center" vertical="center"/>
    </xf>
    <xf numFmtId="1" fontId="11" fillId="48" borderId="0" xfId="0" applyNumberFormat="1" applyFont="1" applyFill="1" applyBorder="1" applyAlignment="1">
      <alignment horizontal="center" vertical="center"/>
    </xf>
    <xf numFmtId="0" fontId="11" fillId="48" borderId="56" xfId="0" applyFont="1" applyFill="1" applyBorder="1" applyAlignment="1">
      <alignment horizontal="center"/>
    </xf>
    <xf numFmtId="0" fontId="11" fillId="48" borderId="0" xfId="0" applyFont="1" applyFill="1" applyBorder="1" applyAlignment="1">
      <alignment horizontal="center"/>
    </xf>
    <xf numFmtId="0" fontId="81" fillId="53" borderId="0" xfId="0" quotePrefix="1" applyFont="1" applyFill="1" applyAlignment="1">
      <alignment horizontal="center" vertical="center"/>
    </xf>
    <xf numFmtId="0" fontId="90" fillId="48" borderId="0" xfId="0" applyFont="1" applyFill="1" applyBorder="1" applyAlignment="1">
      <alignment horizontal="center" vertical="center"/>
    </xf>
    <xf numFmtId="0" fontId="90" fillId="48" borderId="0" xfId="0" applyFont="1" applyFill="1" applyAlignment="1">
      <alignment horizontal="center" vertical="center"/>
    </xf>
    <xf numFmtId="0" fontId="45" fillId="48" borderId="20" xfId="0" quotePrefix="1" applyFont="1" applyFill="1" applyBorder="1" applyAlignment="1">
      <alignment horizontal="center" vertical="center"/>
    </xf>
    <xf numFmtId="0" fontId="45" fillId="48" borderId="4" xfId="0" quotePrefix="1" applyFont="1" applyFill="1" applyBorder="1" applyAlignment="1">
      <alignment horizontal="center" vertical="center"/>
    </xf>
    <xf numFmtId="0" fontId="58" fillId="53" borderId="0" xfId="0" quotePrefix="1" applyFont="1" applyFill="1" applyAlignment="1">
      <alignment horizontal="center" vertical="center"/>
    </xf>
    <xf numFmtId="0" fontId="90" fillId="48" borderId="56" xfId="0" applyFont="1" applyFill="1" applyBorder="1" applyAlignment="1">
      <alignment horizontal="center" vertical="center"/>
    </xf>
    <xf numFmtId="0" fontId="90" fillId="48" borderId="1" xfId="0" applyFont="1" applyFill="1" applyBorder="1" applyAlignment="1">
      <alignment horizontal="center" vertical="center"/>
    </xf>
    <xf numFmtId="0" fontId="90" fillId="48" borderId="20" xfId="0" quotePrefix="1" applyFont="1" applyFill="1" applyBorder="1" applyAlignment="1">
      <alignment horizontal="center" vertical="center"/>
    </xf>
    <xf numFmtId="0" fontId="90" fillId="48" borderId="4" xfId="0" quotePrefix="1" applyFont="1" applyFill="1" applyBorder="1" applyAlignment="1">
      <alignment horizontal="center" vertical="center"/>
    </xf>
    <xf numFmtId="0" fontId="10" fillId="10" borderId="2" xfId="0" applyFont="1" applyFill="1" applyBorder="1" applyAlignment="1">
      <alignment horizontal="center"/>
    </xf>
    <xf numFmtId="0" fontId="10" fillId="10" borderId="26" xfId="0" applyFont="1" applyFill="1" applyBorder="1" applyAlignment="1">
      <alignment horizontal="center"/>
    </xf>
    <xf numFmtId="0" fontId="10" fillId="10" borderId="25" xfId="0" applyFont="1" applyFill="1" applyBorder="1" applyAlignment="1">
      <alignment horizontal="center"/>
    </xf>
    <xf numFmtId="1" fontId="11" fillId="8" borderId="56" xfId="0" applyNumberFormat="1" applyFont="1" applyFill="1" applyBorder="1" applyAlignment="1">
      <alignment horizontal="center" vertical="center"/>
    </xf>
    <xf numFmtId="1" fontId="11" fillId="8" borderId="0" xfId="0" applyNumberFormat="1" applyFont="1" applyFill="1" applyBorder="1" applyAlignment="1">
      <alignment horizontal="center" vertical="center"/>
    </xf>
    <xf numFmtId="0" fontId="90" fillId="8" borderId="2" xfId="0" quotePrefix="1" applyFont="1" applyFill="1" applyBorder="1" applyAlignment="1">
      <alignment horizontal="left" vertical="center"/>
    </xf>
    <xf numFmtId="0" fontId="90" fillId="8" borderId="26" xfId="0" quotePrefix="1" applyFont="1" applyFill="1" applyBorder="1" applyAlignment="1">
      <alignment horizontal="left" vertical="center"/>
    </xf>
    <xf numFmtId="0" fontId="90" fillId="8" borderId="25" xfId="0" quotePrefix="1" applyFont="1" applyFill="1" applyBorder="1" applyAlignment="1">
      <alignment horizontal="left" vertical="center"/>
    </xf>
    <xf numFmtId="0" fontId="55" fillId="8" borderId="2" xfId="0" quotePrefix="1" applyFont="1" applyFill="1" applyBorder="1" applyAlignment="1">
      <alignment horizontal="left" vertical="center"/>
    </xf>
    <xf numFmtId="0" fontId="55" fillId="8" borderId="26" xfId="0" quotePrefix="1" applyFont="1" applyFill="1" applyBorder="1" applyAlignment="1">
      <alignment horizontal="left" vertical="center"/>
    </xf>
    <xf numFmtId="0" fontId="23" fillId="0" borderId="17" xfId="0" applyFont="1" applyBorder="1" applyAlignment="1">
      <alignment horizontal="center" vertical="center" wrapText="1"/>
    </xf>
    <xf numFmtId="0" fontId="53" fillId="0" borderId="3" xfId="0" applyFont="1" applyBorder="1" applyAlignment="1">
      <alignment horizontal="center" vertical="center" wrapText="1"/>
    </xf>
    <xf numFmtId="0" fontId="53" fillId="0" borderId="18" xfId="0" applyFont="1" applyBorder="1" applyAlignment="1">
      <alignment horizontal="center" vertical="center" wrapText="1"/>
    </xf>
    <xf numFmtId="10" fontId="23" fillId="0" borderId="17" xfId="0" applyNumberFormat="1" applyFont="1" applyBorder="1" applyAlignment="1">
      <alignment horizontal="center" vertical="center"/>
    </xf>
    <xf numFmtId="0" fontId="53" fillId="0" borderId="3" xfId="0" applyFont="1" applyBorder="1" applyAlignment="1">
      <alignment horizontal="center" vertical="center"/>
    </xf>
    <xf numFmtId="0" fontId="53" fillId="0" borderId="18" xfId="0" applyFont="1" applyBorder="1" applyAlignment="1">
      <alignment horizontal="center" vertical="center"/>
    </xf>
    <xf numFmtId="0" fontId="56" fillId="2" borderId="1" xfId="0" applyFont="1" applyFill="1" applyBorder="1" applyAlignment="1">
      <alignment horizontal="center" vertical="center" wrapText="1"/>
    </xf>
    <xf numFmtId="0" fontId="23" fillId="2" borderId="1" xfId="0" applyFont="1" applyFill="1" applyBorder="1" applyAlignment="1">
      <alignment horizontal="center" vertical="center"/>
    </xf>
    <xf numFmtId="0" fontId="90" fillId="8" borderId="2" xfId="0" quotePrefix="1" applyFont="1" applyFill="1" applyBorder="1" applyAlignment="1">
      <alignment horizontal="center" vertical="center"/>
    </xf>
    <xf numFmtId="0" fontId="90" fillId="8" borderId="26" xfId="0" quotePrefix="1" applyFont="1" applyFill="1" applyBorder="1" applyAlignment="1">
      <alignment horizontal="center" vertical="center"/>
    </xf>
    <xf numFmtId="0" fontId="45" fillId="8" borderId="2" xfId="0" quotePrefix="1" applyFont="1" applyFill="1" applyBorder="1" applyAlignment="1">
      <alignment horizontal="center" vertical="center"/>
    </xf>
    <xf numFmtId="0" fontId="45" fillId="8" borderId="26" xfId="0" quotePrefix="1" applyFont="1" applyFill="1" applyBorder="1" applyAlignment="1">
      <alignment horizontal="center" vertical="center"/>
    </xf>
    <xf numFmtId="0" fontId="23" fillId="2" borderId="1" xfId="0" applyFont="1" applyFill="1" applyBorder="1" applyAlignment="1">
      <alignment horizontal="center" vertical="center" wrapText="1"/>
    </xf>
    <xf numFmtId="0" fontId="23" fillId="2" borderId="17" xfId="0" applyFont="1" applyFill="1" applyBorder="1" applyAlignment="1">
      <alignment horizontal="center" vertical="center" wrapText="1"/>
    </xf>
    <xf numFmtId="0" fontId="23" fillId="2" borderId="3" xfId="0" applyFont="1" applyFill="1" applyBorder="1" applyAlignment="1">
      <alignment horizontal="center" vertical="center" wrapText="1"/>
    </xf>
    <xf numFmtId="10" fontId="23" fillId="2" borderId="17" xfId="0" applyNumberFormat="1" applyFont="1" applyFill="1" applyBorder="1" applyAlignment="1">
      <alignment horizontal="center" vertical="center"/>
    </xf>
    <xf numFmtId="10" fontId="23" fillId="2" borderId="3" xfId="0" applyNumberFormat="1" applyFont="1" applyFill="1" applyBorder="1" applyAlignment="1">
      <alignment horizontal="center" vertical="center"/>
    </xf>
    <xf numFmtId="0" fontId="11" fillId="8" borderId="2" xfId="0" quotePrefix="1" applyFont="1" applyFill="1" applyBorder="1" applyAlignment="1">
      <alignment horizontal="center" vertical="center"/>
    </xf>
    <xf numFmtId="0" fontId="11" fillId="8" borderId="26" xfId="0" quotePrefix="1" applyFont="1" applyFill="1" applyBorder="1" applyAlignment="1">
      <alignment horizontal="center" vertical="center"/>
    </xf>
    <xf numFmtId="0" fontId="45" fillId="8" borderId="1" xfId="0" applyFont="1" applyFill="1" applyBorder="1" applyAlignment="1">
      <alignment horizontal="center" vertical="center"/>
    </xf>
    <xf numFmtId="0" fontId="58" fillId="53" borderId="0" xfId="0" quotePrefix="1" applyFont="1" applyFill="1" applyAlignment="1">
      <alignment horizontal="center" vertical="top" wrapText="1"/>
    </xf>
    <xf numFmtId="0" fontId="58" fillId="0" borderId="0" xfId="0" quotePrefix="1" applyFont="1" applyAlignment="1">
      <alignment horizontal="center" vertical="center" wrapText="1"/>
    </xf>
    <xf numFmtId="0" fontId="23" fillId="2" borderId="11" xfId="0" applyFont="1" applyFill="1" applyBorder="1" applyAlignment="1">
      <alignment horizontal="center" vertical="center"/>
    </xf>
    <xf numFmtId="0" fontId="23" fillId="2" borderId="12" xfId="0" applyFont="1" applyFill="1" applyBorder="1" applyAlignment="1">
      <alignment horizontal="center" vertical="center"/>
    </xf>
    <xf numFmtId="0" fontId="23" fillId="2" borderId="49" xfId="0" applyFont="1" applyFill="1" applyBorder="1" applyAlignment="1">
      <alignment horizontal="center" vertical="center"/>
    </xf>
    <xf numFmtId="0" fontId="57" fillId="50" borderId="52" xfId="0" applyFont="1" applyFill="1" applyBorder="1" applyAlignment="1">
      <alignment horizontal="center" vertical="center"/>
    </xf>
    <xf numFmtId="0" fontId="57" fillId="50" borderId="24" xfId="0" applyFont="1" applyFill="1" applyBorder="1" applyAlignment="1">
      <alignment horizontal="center" vertical="center"/>
    </xf>
    <xf numFmtId="0" fontId="57" fillId="50" borderId="60" xfId="0" applyFont="1" applyFill="1" applyBorder="1" applyAlignment="1">
      <alignment horizontal="center" vertical="center"/>
    </xf>
    <xf numFmtId="0" fontId="23" fillId="2" borderId="58" xfId="0" applyFont="1" applyFill="1" applyBorder="1" applyAlignment="1">
      <alignment horizontal="center" vertical="center"/>
    </xf>
    <xf numFmtId="0" fontId="23" fillId="2" borderId="24" xfId="0" applyFont="1" applyFill="1" applyBorder="1" applyAlignment="1">
      <alignment horizontal="center" vertical="center"/>
    </xf>
    <xf numFmtId="0" fontId="23" fillId="2" borderId="59" xfId="0" applyFont="1" applyFill="1" applyBorder="1" applyAlignment="1">
      <alignment horizontal="center" vertical="center"/>
    </xf>
    <xf numFmtId="0" fontId="81" fillId="53" borderId="0" xfId="0" quotePrefix="1" applyFont="1" applyFill="1" applyAlignment="1">
      <alignment horizontal="center" vertical="center" wrapText="1"/>
    </xf>
    <xf numFmtId="0" fontId="58" fillId="53" borderId="0" xfId="0" quotePrefix="1" applyFont="1" applyFill="1" applyAlignment="1">
      <alignment horizontal="center" vertical="center" wrapText="1"/>
    </xf>
    <xf numFmtId="17" fontId="12" fillId="48" borderId="50" xfId="0" applyNumberFormat="1" applyFont="1" applyFill="1" applyBorder="1" applyAlignment="1">
      <alignment horizontal="center" vertical="center"/>
    </xf>
    <xf numFmtId="17" fontId="12" fillId="48" borderId="35" xfId="0" applyNumberFormat="1" applyFont="1" applyFill="1" applyBorder="1" applyAlignment="1">
      <alignment horizontal="center" vertical="center"/>
    </xf>
    <xf numFmtId="0" fontId="96" fillId="48" borderId="51" xfId="0" applyFont="1" applyFill="1" applyBorder="1" applyAlignment="1">
      <alignment vertical="center"/>
    </xf>
    <xf numFmtId="166" fontId="49" fillId="11" borderId="0" xfId="0" applyNumberFormat="1" applyFont="1" applyFill="1" applyAlignment="1">
      <alignment horizontal="left" vertical="center" indent="14"/>
    </xf>
    <xf numFmtId="17" fontId="12" fillId="48" borderId="24" xfId="0" applyNumberFormat="1" applyFont="1" applyFill="1" applyBorder="1" applyAlignment="1">
      <alignment horizontal="center" vertical="center"/>
    </xf>
    <xf numFmtId="17" fontId="12" fillId="48" borderId="0" xfId="0" applyNumberFormat="1" applyFont="1" applyFill="1" applyAlignment="1">
      <alignment horizontal="center" vertical="center"/>
    </xf>
    <xf numFmtId="0" fontId="23" fillId="2" borderId="17" xfId="0" applyFont="1" applyFill="1" applyBorder="1" applyAlignment="1">
      <alignment horizontal="center" vertical="center"/>
    </xf>
    <xf numFmtId="0" fontId="23" fillId="2" borderId="3" xfId="0" applyFont="1" applyFill="1" applyBorder="1" applyAlignment="1">
      <alignment horizontal="center" vertical="center"/>
    </xf>
    <xf numFmtId="17" fontId="12" fillId="48" borderId="24" xfId="0" applyNumberFormat="1" applyFont="1" applyFill="1" applyBorder="1" applyAlignment="1">
      <alignment horizontal="center"/>
    </xf>
    <xf numFmtId="17" fontId="12" fillId="48" borderId="0" xfId="0" applyNumberFormat="1" applyFont="1" applyFill="1" applyAlignment="1">
      <alignment horizontal="center"/>
    </xf>
    <xf numFmtId="17" fontId="12" fillId="48" borderId="50" xfId="0" applyNumberFormat="1" applyFont="1" applyFill="1" applyBorder="1" applyAlignment="1">
      <alignment horizontal="center"/>
    </xf>
    <xf numFmtId="17" fontId="12" fillId="48" borderId="35" xfId="0" applyNumberFormat="1" applyFont="1" applyFill="1" applyBorder="1" applyAlignment="1">
      <alignment horizontal="center"/>
    </xf>
    <xf numFmtId="0" fontId="96" fillId="48" borderId="51" xfId="0" applyFont="1" applyFill="1" applyBorder="1" applyAlignment="1"/>
    <xf numFmtId="0" fontId="57" fillId="50" borderId="61" xfId="0" applyFont="1" applyFill="1" applyBorder="1" applyAlignment="1">
      <alignment horizontal="center" vertical="center"/>
    </xf>
    <xf numFmtId="0" fontId="57" fillId="50" borderId="12" xfId="0" applyFont="1" applyFill="1" applyBorder="1" applyAlignment="1">
      <alignment horizontal="center" vertical="center"/>
    </xf>
    <xf numFmtId="0" fontId="57" fillId="50" borderId="13" xfId="0" applyFont="1" applyFill="1" applyBorder="1" applyAlignment="1">
      <alignment horizontal="center" vertical="center"/>
    </xf>
    <xf numFmtId="0" fontId="57" fillId="50" borderId="27" xfId="0" applyFont="1" applyFill="1" applyBorder="1" applyAlignment="1">
      <alignment horizontal="center" vertical="center"/>
    </xf>
    <xf numFmtId="0" fontId="57" fillId="50" borderId="53" xfId="0" applyFont="1" applyFill="1" applyBorder="1" applyAlignment="1">
      <alignment horizontal="center" vertical="center"/>
    </xf>
    <xf numFmtId="0" fontId="57" fillId="50" borderId="54" xfId="0" applyFont="1" applyFill="1" applyBorder="1" applyAlignment="1">
      <alignment horizontal="center" vertical="center"/>
    </xf>
    <xf numFmtId="0" fontId="45" fillId="48" borderId="56" xfId="0" applyFont="1" applyFill="1" applyBorder="1" applyAlignment="1">
      <alignment horizontal="center" vertical="center"/>
    </xf>
    <xf numFmtId="0" fontId="45" fillId="48" borderId="0" xfId="0" applyFont="1" applyFill="1" applyAlignment="1">
      <alignment horizontal="center" vertical="center"/>
    </xf>
    <xf numFmtId="0" fontId="45" fillId="48" borderId="56" xfId="0" applyFont="1" applyFill="1" applyBorder="1" applyAlignment="1">
      <alignment horizontal="center"/>
    </xf>
    <xf numFmtId="0" fontId="45" fillId="48" borderId="0" xfId="0" applyFont="1" applyFill="1" applyAlignment="1">
      <alignment horizontal="center"/>
    </xf>
    <xf numFmtId="0" fontId="97" fillId="48" borderId="0" xfId="0" applyFont="1" applyFill="1" applyAlignment="1">
      <alignment horizontal="center"/>
    </xf>
    <xf numFmtId="0" fontId="97" fillId="48" borderId="0" xfId="0" applyFont="1" applyFill="1" applyAlignment="1">
      <alignment horizontal="center" vertical="center"/>
    </xf>
    <xf numFmtId="0" fontId="12" fillId="48" borderId="2" xfId="0" applyFont="1" applyFill="1" applyBorder="1" applyAlignment="1">
      <alignment horizontal="center" vertical="center" wrapText="1"/>
    </xf>
    <xf numFmtId="0" fontId="12" fillId="48" borderId="26" xfId="0" applyFont="1" applyFill="1" applyBorder="1" applyAlignment="1">
      <alignment horizontal="center" vertical="center" wrapText="1"/>
    </xf>
    <xf numFmtId="0" fontId="12" fillId="48" borderId="25" xfId="0" applyFont="1" applyFill="1" applyBorder="1" applyAlignment="1">
      <alignment horizontal="center" vertical="center" wrapText="1"/>
    </xf>
    <xf numFmtId="0" fontId="59" fillId="47" borderId="2" xfId="0" applyFont="1" applyFill="1" applyBorder="1" applyAlignment="1">
      <alignment horizontal="center" vertical="center" wrapText="1"/>
    </xf>
    <xf numFmtId="0" fontId="56" fillId="47" borderId="26" xfId="0" applyFont="1" applyFill="1" applyBorder="1" applyAlignment="1">
      <alignment horizontal="center" vertical="center" wrapText="1"/>
    </xf>
    <xf numFmtId="0" fontId="56" fillId="47" borderId="25" xfId="0" applyFont="1" applyFill="1" applyBorder="1" applyAlignment="1">
      <alignment horizontal="center" vertical="center" wrapText="1"/>
    </xf>
    <xf numFmtId="0" fontId="59" fillId="47" borderId="26" xfId="0" applyFont="1" applyFill="1" applyBorder="1" applyAlignment="1">
      <alignment horizontal="center" vertical="center" wrapText="1"/>
    </xf>
    <xf numFmtId="0" fontId="59" fillId="47" borderId="25" xfId="0" applyFont="1" applyFill="1" applyBorder="1" applyAlignment="1">
      <alignment horizontal="center" vertical="center" wrapText="1"/>
    </xf>
    <xf numFmtId="0" fontId="62" fillId="48" borderId="2" xfId="0" applyFont="1" applyFill="1" applyBorder="1" applyAlignment="1">
      <alignment horizontal="center" vertical="center" wrapText="1"/>
    </xf>
    <xf numFmtId="0" fontId="62" fillId="48" borderId="26" xfId="0" applyFont="1" applyFill="1" applyBorder="1" applyAlignment="1">
      <alignment horizontal="center" vertical="center" wrapText="1"/>
    </xf>
    <xf numFmtId="0" fontId="62" fillId="48" borderId="25" xfId="0" applyFont="1" applyFill="1" applyBorder="1" applyAlignment="1">
      <alignment horizontal="center" vertical="center" wrapText="1"/>
    </xf>
    <xf numFmtId="0" fontId="84" fillId="48" borderId="26" xfId="0" applyFont="1" applyFill="1" applyBorder="1" applyAlignment="1">
      <alignment horizontal="center" vertical="center" wrapText="1"/>
    </xf>
    <xf numFmtId="0" fontId="84" fillId="48" borderId="25" xfId="0" applyFont="1" applyFill="1" applyBorder="1" applyAlignment="1">
      <alignment horizontal="center" vertical="center" wrapText="1"/>
    </xf>
    <xf numFmtId="0" fontId="98" fillId="48" borderId="26" xfId="0" applyFont="1" applyFill="1" applyBorder="1" applyAlignment="1">
      <alignment horizontal="center" vertical="center" wrapText="1"/>
    </xf>
    <xf numFmtId="0" fontId="98" fillId="48" borderId="25" xfId="0" applyFont="1" applyFill="1" applyBorder="1" applyAlignment="1">
      <alignment horizontal="center" vertical="center" wrapText="1"/>
    </xf>
    <xf numFmtId="166" fontId="5" fillId="11" borderId="0" xfId="0" applyNumberFormat="1" applyFont="1" applyFill="1" applyAlignment="1">
      <alignment horizontal="left" vertical="center" indent="14"/>
    </xf>
    <xf numFmtId="0" fontId="12" fillId="8" borderId="2" xfId="0" applyFont="1" applyFill="1" applyBorder="1" applyAlignment="1">
      <alignment horizontal="center" vertical="center" wrapText="1"/>
    </xf>
    <xf numFmtId="0" fontId="12" fillId="8" borderId="26" xfId="0" applyFont="1" applyFill="1" applyBorder="1" applyAlignment="1">
      <alignment horizontal="center" vertical="center" wrapText="1"/>
    </xf>
    <xf numFmtId="0" fontId="99" fillId="8" borderId="26" xfId="0" applyFont="1" applyFill="1" applyBorder="1" applyAlignment="1">
      <alignment horizontal="center" vertical="center" wrapText="1"/>
    </xf>
    <xf numFmtId="0" fontId="99" fillId="8" borderId="25" xfId="0" applyFont="1" applyFill="1" applyBorder="1" applyAlignment="1">
      <alignment horizontal="center" vertical="center" wrapText="1"/>
    </xf>
    <xf numFmtId="0" fontId="60" fillId="47" borderId="26" xfId="0" applyFont="1" applyFill="1" applyBorder="1" applyAlignment="1">
      <alignment horizontal="center" vertical="center" wrapText="1"/>
    </xf>
    <xf numFmtId="0" fontId="60" fillId="47" borderId="25" xfId="0" applyFont="1" applyFill="1" applyBorder="1" applyAlignment="1">
      <alignment horizontal="center" vertical="center" wrapText="1"/>
    </xf>
    <xf numFmtId="0" fontId="6" fillId="2" borderId="0" xfId="0" applyFont="1" applyFill="1" applyAlignment="1">
      <alignment horizontal="center"/>
    </xf>
    <xf numFmtId="0" fontId="18" fillId="2" borderId="0" xfId="0" applyFont="1" applyFill="1" applyAlignment="1">
      <alignment horizontal="center"/>
    </xf>
    <xf numFmtId="0" fontId="85" fillId="53" borderId="0" xfId="0" quotePrefix="1" applyFont="1" applyFill="1" applyAlignment="1">
      <alignment horizontal="center" vertical="center" wrapText="1"/>
    </xf>
    <xf numFmtId="166" fontId="5" fillId="11" borderId="24" xfId="0" applyNumberFormat="1" applyFont="1" applyFill="1" applyBorder="1" applyAlignment="1">
      <alignment horizontal="center" vertical="center"/>
    </xf>
    <xf numFmtId="0" fontId="87" fillId="8" borderId="26" xfId="0" applyFont="1" applyFill="1" applyBorder="1" applyAlignment="1">
      <alignment horizontal="center" vertical="center" wrapText="1"/>
    </xf>
    <xf numFmtId="0" fontId="87" fillId="8" borderId="25" xfId="0" applyFont="1" applyFill="1" applyBorder="1" applyAlignment="1">
      <alignment horizontal="center" vertical="center" wrapText="1"/>
    </xf>
    <xf numFmtId="0" fontId="100" fillId="48" borderId="26" xfId="0" applyFont="1" applyFill="1" applyBorder="1" applyAlignment="1">
      <alignment horizontal="center" vertical="center" wrapText="1"/>
    </xf>
    <xf numFmtId="0" fontId="100" fillId="48" borderId="25" xfId="0" applyFont="1" applyFill="1" applyBorder="1" applyAlignment="1">
      <alignment horizontal="center" vertical="center" wrapText="1"/>
    </xf>
    <xf numFmtId="0" fontId="87" fillId="48" borderId="26" xfId="0" applyFont="1" applyFill="1" applyBorder="1" applyAlignment="1">
      <alignment horizontal="center" vertical="center" wrapText="1"/>
    </xf>
    <xf numFmtId="0" fontId="87" fillId="48" borderId="25" xfId="0" applyFont="1" applyFill="1" applyBorder="1" applyAlignment="1">
      <alignment horizontal="center" vertical="center" wrapText="1"/>
    </xf>
    <xf numFmtId="166" fontId="5" fillId="49" borderId="0" xfId="0" applyNumberFormat="1" applyFont="1" applyFill="1" applyAlignment="1">
      <alignment horizontal="center" vertical="center"/>
    </xf>
    <xf numFmtId="166" fontId="5" fillId="11" borderId="0" xfId="0" applyNumberFormat="1" applyFont="1" applyFill="1" applyAlignment="1">
      <alignment horizontal="left" vertical="center" indent="20"/>
    </xf>
    <xf numFmtId="0" fontId="10" fillId="10" borderId="0" xfId="0" applyFont="1" applyFill="1" applyAlignment="1">
      <alignment horizontal="center" vertical="center" wrapText="1"/>
    </xf>
    <xf numFmtId="0" fontId="10" fillId="10" borderId="4" xfId="0" applyFont="1" applyFill="1" applyBorder="1" applyAlignment="1">
      <alignment horizontal="center" vertical="center" wrapText="1"/>
    </xf>
    <xf numFmtId="0" fontId="10" fillId="10" borderId="20" xfId="0" applyFont="1" applyFill="1" applyBorder="1" applyAlignment="1">
      <alignment horizontal="center"/>
    </xf>
    <xf numFmtId="0" fontId="10" fillId="10" borderId="4" xfId="0" applyFont="1" applyFill="1" applyBorder="1" applyAlignment="1">
      <alignment horizontal="center"/>
    </xf>
    <xf numFmtId="0" fontId="10" fillId="10" borderId="0" xfId="0" applyFont="1" applyFill="1" applyAlignment="1">
      <alignment horizontal="center"/>
    </xf>
    <xf numFmtId="0" fontId="10" fillId="10" borderId="21" xfId="0" applyFont="1" applyFill="1" applyBorder="1" applyAlignment="1">
      <alignment horizontal="center"/>
    </xf>
    <xf numFmtId="0" fontId="10" fillId="10" borderId="22" xfId="0" applyFont="1" applyFill="1" applyBorder="1" applyAlignment="1">
      <alignment horizontal="center" vertical="center" wrapText="1"/>
    </xf>
    <xf numFmtId="0" fontId="10" fillId="10" borderId="34" xfId="0" applyFont="1" applyFill="1" applyBorder="1" applyAlignment="1">
      <alignment horizontal="center" vertical="center" wrapText="1"/>
    </xf>
    <xf numFmtId="0" fontId="10" fillId="10" borderId="33"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4" xfId="0" applyBorder="1" applyAlignment="1">
      <alignment horizontal="center" vertical="center" wrapText="1"/>
    </xf>
    <xf numFmtId="0" fontId="0" fillId="0" borderId="32" xfId="0" applyBorder="1" applyAlignment="1">
      <alignment horizontal="center" vertical="center" wrapText="1"/>
    </xf>
    <xf numFmtId="0" fontId="15" fillId="10" borderId="22" xfId="0" applyFont="1" applyFill="1" applyBorder="1" applyAlignment="1">
      <alignment horizontal="center"/>
    </xf>
    <xf numFmtId="0" fontId="0" fillId="0" borderId="34" xfId="0" applyBorder="1" applyAlignment="1">
      <alignment horizontal="center"/>
    </xf>
    <xf numFmtId="0" fontId="15" fillId="10" borderId="2" xfId="0" applyFont="1" applyFill="1" applyBorder="1" applyAlignment="1">
      <alignment horizontal="center"/>
    </xf>
    <xf numFmtId="0" fontId="0" fillId="0" borderId="26" xfId="0" applyBorder="1" applyAlignment="1">
      <alignment horizontal="center"/>
    </xf>
    <xf numFmtId="0" fontId="15" fillId="10" borderId="1" xfId="0" applyFont="1" applyFill="1" applyBorder="1" applyAlignment="1">
      <alignment horizontal="center"/>
    </xf>
    <xf numFmtId="0" fontId="0" fillId="0" borderId="1" xfId="0" applyBorder="1" applyAlignment="1">
      <alignment horizontal="center"/>
    </xf>
    <xf numFmtId="0" fontId="85" fillId="0" borderId="0" xfId="0" quotePrefix="1" applyFont="1" applyAlignment="1">
      <alignment horizontal="center" vertical="center" wrapText="1"/>
    </xf>
    <xf numFmtId="0" fontId="15" fillId="10" borderId="50" xfId="0" quotePrefix="1" applyFont="1" applyFill="1" applyBorder="1" applyAlignment="1">
      <alignment horizontal="center" wrapText="1"/>
    </xf>
    <xf numFmtId="0" fontId="15" fillId="10" borderId="35" xfId="0" applyFont="1" applyFill="1" applyBorder="1" applyAlignment="1">
      <alignment horizontal="center" wrapText="1"/>
    </xf>
    <xf numFmtId="0" fontId="15" fillId="10" borderId="27" xfId="0" applyFont="1" applyFill="1" applyBorder="1" applyAlignment="1">
      <alignment horizontal="center" vertical="center" wrapText="1"/>
    </xf>
    <xf numFmtId="0" fontId="15" fillId="10" borderId="28" xfId="0" applyFont="1" applyFill="1" applyBorder="1" applyAlignment="1">
      <alignment horizontal="center" vertical="center" wrapText="1"/>
    </xf>
    <xf numFmtId="0" fontId="15" fillId="10" borderId="52" xfId="0" quotePrefix="1" applyFont="1" applyFill="1" applyBorder="1" applyAlignment="1">
      <alignment horizontal="center" vertical="center" wrapText="1"/>
    </xf>
    <xf numFmtId="0" fontId="15" fillId="10" borderId="28" xfId="0" quotePrefix="1" applyFont="1" applyFill="1" applyBorder="1" applyAlignment="1">
      <alignment horizontal="center" vertical="center" wrapText="1"/>
    </xf>
    <xf numFmtId="0" fontId="15" fillId="10" borderId="31" xfId="0" applyFont="1" applyFill="1" applyBorder="1" applyAlignment="1">
      <alignment horizontal="center" vertical="center" wrapText="1"/>
    </xf>
    <xf numFmtId="0" fontId="15" fillId="10" borderId="55" xfId="0" quotePrefix="1" applyFont="1" applyFill="1" applyBorder="1" applyAlignment="1">
      <alignment horizontal="center" vertical="center" wrapText="1"/>
    </xf>
    <xf numFmtId="0" fontId="15" fillId="10" borderId="29" xfId="0" quotePrefix="1" applyFont="1" applyFill="1" applyBorder="1" applyAlignment="1">
      <alignment horizontal="center" vertical="center" wrapText="1"/>
    </xf>
    <xf numFmtId="0" fontId="23" fillId="0" borderId="1" xfId="0" applyFont="1" applyBorder="1" applyAlignment="1"/>
    <xf numFmtId="0" fontId="0" fillId="0" borderId="1" xfId="0" applyBorder="1" applyAlignment="1"/>
    <xf numFmtId="166" fontId="5" fillId="11" borderId="0" xfId="0" applyNumberFormat="1" applyFont="1" applyFill="1" applyAlignment="1">
      <alignment horizontal="left" vertical="center" indent="13"/>
    </xf>
    <xf numFmtId="0" fontId="11" fillId="48" borderId="4" xfId="0" applyFont="1" applyFill="1" applyBorder="1" applyAlignment="1">
      <alignment horizontal="center"/>
    </xf>
    <xf numFmtId="0" fontId="101" fillId="48" borderId="4" xfId="0" applyFont="1" applyFill="1" applyBorder="1" applyAlignment="1">
      <alignment horizontal="center"/>
    </xf>
    <xf numFmtId="0" fontId="102" fillId="0" borderId="20" xfId="0" applyFont="1" applyBorder="1" applyAlignment="1">
      <alignment horizontal="center" vertical="center" wrapText="1"/>
    </xf>
    <xf numFmtId="0" fontId="102" fillId="0" borderId="32" xfId="0" applyFont="1" applyBorder="1" applyAlignment="1">
      <alignment horizontal="center" vertical="center" wrapText="1"/>
    </xf>
    <xf numFmtId="0" fontId="59" fillId="50" borderId="1" xfId="0" applyFont="1" applyFill="1" applyBorder="1" applyAlignment="1">
      <alignment vertical="center" wrapText="1"/>
    </xf>
    <xf numFmtId="0" fontId="0" fillId="0" borderId="1" xfId="0" applyBorder="1" applyAlignment="1">
      <alignment wrapText="1"/>
    </xf>
    <xf numFmtId="0" fontId="15" fillId="10" borderId="1" xfId="0" applyFont="1" applyFill="1" applyBorder="1" applyAlignment="1">
      <alignment horizontal="center" vertical="center" wrapText="1"/>
    </xf>
    <xf numFmtId="1" fontId="57" fillId="50" borderId="2" xfId="0" applyNumberFormat="1" applyFont="1" applyFill="1" applyBorder="1" applyAlignment="1">
      <alignment horizontal="center" vertical="center"/>
    </xf>
    <xf numFmtId="0" fontId="0" fillId="0" borderId="25" xfId="0" applyBorder="1" applyAlignment="1">
      <alignment horizontal="center" vertical="center"/>
    </xf>
    <xf numFmtId="0" fontId="57" fillId="50" borderId="1" xfId="0" applyFont="1" applyFill="1" applyBorder="1" applyAlignment="1">
      <alignment wrapText="1"/>
    </xf>
    <xf numFmtId="0" fontId="10" fillId="10" borderId="56" xfId="0" applyFont="1" applyFill="1" applyBorder="1" applyAlignment="1">
      <alignment horizontal="center" vertical="center" wrapText="1"/>
    </xf>
    <xf numFmtId="0" fontId="102" fillId="0" borderId="0" xfId="0" applyFont="1" applyAlignment="1">
      <alignment horizontal="center" vertical="center" wrapText="1"/>
    </xf>
    <xf numFmtId="0" fontId="102" fillId="0" borderId="4" xfId="0" applyFont="1" applyBorder="1" applyAlignment="1">
      <alignment horizontal="center" vertical="center" wrapText="1"/>
    </xf>
    <xf numFmtId="0" fontId="94" fillId="48" borderId="4" xfId="0" applyFont="1" applyFill="1" applyBorder="1" applyAlignment="1">
      <alignment horizontal="center" wrapText="1"/>
    </xf>
    <xf numFmtId="0" fontId="15" fillId="10" borderId="1" xfId="0" applyFont="1" applyFill="1" applyBorder="1" applyAlignment="1">
      <alignment horizontal="center" vertical="center"/>
    </xf>
    <xf numFmtId="0" fontId="15" fillId="10" borderId="5" xfId="0" applyFont="1" applyFill="1" applyBorder="1" applyAlignment="1">
      <alignment horizontal="center" vertical="center"/>
    </xf>
    <xf numFmtId="0" fontId="15" fillId="10" borderId="6" xfId="0" applyFont="1" applyFill="1" applyBorder="1" applyAlignment="1">
      <alignment horizontal="center" vertical="center"/>
    </xf>
    <xf numFmtId="0" fontId="15" fillId="10" borderId="19" xfId="0" applyFont="1" applyFill="1" applyBorder="1" applyAlignment="1">
      <alignment horizontal="center" vertical="center"/>
    </xf>
    <xf numFmtId="0" fontId="88" fillId="54" borderId="5" xfId="0" applyFont="1" applyFill="1" applyBorder="1" applyAlignment="1">
      <alignment horizontal="center" vertical="center"/>
    </xf>
    <xf numFmtId="0" fontId="88" fillId="54" borderId="6" xfId="0" applyFont="1" applyFill="1" applyBorder="1" applyAlignment="1">
      <alignment horizontal="center" vertical="center"/>
    </xf>
    <xf numFmtId="0" fontId="88" fillId="54" borderId="19" xfId="0" applyFont="1" applyFill="1" applyBorder="1" applyAlignment="1">
      <alignment horizontal="center" vertical="center"/>
    </xf>
    <xf numFmtId="0" fontId="88" fillId="55" borderId="5" xfId="0" applyFont="1" applyFill="1" applyBorder="1" applyAlignment="1">
      <alignment horizontal="center" vertical="center"/>
    </xf>
    <xf numFmtId="0" fontId="88" fillId="55" borderId="6" xfId="0" applyFont="1" applyFill="1" applyBorder="1" applyAlignment="1">
      <alignment horizontal="center" vertical="center"/>
    </xf>
    <xf numFmtId="0" fontId="88" fillId="55" borderId="19" xfId="0" applyFont="1" applyFill="1" applyBorder="1" applyAlignment="1">
      <alignment horizontal="center" vertical="center"/>
    </xf>
    <xf numFmtId="0" fontId="10" fillId="10" borderId="27" xfId="0" applyFont="1" applyFill="1" applyBorder="1" applyAlignment="1">
      <alignment horizontal="center" vertical="center"/>
    </xf>
    <xf numFmtId="0" fontId="10" fillId="10" borderId="59" xfId="0" applyFont="1" applyFill="1" applyBorder="1" applyAlignment="1">
      <alignment horizontal="center" vertical="center"/>
    </xf>
    <xf numFmtId="0" fontId="44" fillId="9" borderId="0" xfId="0" applyFont="1" applyFill="1" applyAlignment="1">
      <alignment horizontal="left" vertical="center" indent="14"/>
    </xf>
    <xf numFmtId="0" fontId="45" fillId="5" borderId="0" xfId="0" applyFont="1" applyFill="1" applyAlignment="1">
      <alignment horizontal="left" vertical="center" wrapText="1" indent="14"/>
    </xf>
    <xf numFmtId="14" fontId="13" fillId="11" borderId="0" xfId="0" applyNumberFormat="1" applyFont="1" applyFill="1" applyAlignment="1">
      <alignment horizontal="left" vertical="center" indent="3"/>
    </xf>
    <xf numFmtId="0" fontId="44" fillId="9" borderId="0" xfId="0" applyFont="1" applyFill="1" applyAlignment="1">
      <alignment horizontal="left" vertical="center" indent="13"/>
    </xf>
    <xf numFmtId="0" fontId="62" fillId="5" borderId="0" xfId="0" applyFont="1" applyFill="1" applyAlignment="1">
      <alignment horizontal="left" vertical="center" wrapText="1" indent="11"/>
    </xf>
    <xf numFmtId="14" fontId="5" fillId="11" borderId="0" xfId="0" applyNumberFormat="1" applyFont="1" applyFill="1" applyAlignment="1">
      <alignment horizontal="left" vertical="center" indent="3"/>
    </xf>
    <xf numFmtId="0" fontId="12" fillId="5" borderId="0" xfId="0" applyFont="1" applyFill="1" applyAlignment="1">
      <alignment horizontal="left" vertical="center" wrapText="1" indent="11"/>
    </xf>
  </cellXfs>
  <cellStyles count="228">
    <cellStyle name="20% - Accent1 2" xfId="22" xr:uid="{00000000-0005-0000-0000-000000000000}"/>
    <cellStyle name="20% - Accent1 2 2" xfId="48" xr:uid="{00000000-0005-0000-0000-000001000000}"/>
    <cellStyle name="20% - Accent1 2 2 2" xfId="130" xr:uid="{33967C49-4432-447E-8D57-D71CF940BB5E}"/>
    <cellStyle name="20% - Accent1 2 2 2 2" xfId="210" xr:uid="{C649078F-4DEE-4DC1-9904-D21BA5755631}"/>
    <cellStyle name="20% - Accent1 2 2 3" xfId="170" xr:uid="{CC5FBE2F-098E-4272-AC60-350EBB51E903}"/>
    <cellStyle name="20% - Accent1 2 3" xfId="110" xr:uid="{DD7C2380-8443-452D-8A23-E940DF02E28D}"/>
    <cellStyle name="20% - Accent1 2 3 2" xfId="190" xr:uid="{69763941-D947-42FA-B8E2-7C123A9C10AB}"/>
    <cellStyle name="20% - Accent1 2 4" xfId="150" xr:uid="{3B6F4FC6-456D-41C9-A544-4B76F3AF11F4}"/>
    <cellStyle name="20% - Accent1 3" xfId="85" xr:uid="{00000000-0005-0000-0000-000002000000}"/>
    <cellStyle name="20% - Accent2 2" xfId="26" xr:uid="{00000000-0005-0000-0000-000003000000}"/>
    <cellStyle name="20% - Accent2 2 2" xfId="51" xr:uid="{00000000-0005-0000-0000-000004000000}"/>
    <cellStyle name="20% - Accent2 2 2 2" xfId="133" xr:uid="{FE1AC290-7B99-4DBF-BD3E-6F15727F8E3E}"/>
    <cellStyle name="20% - Accent2 2 2 2 2" xfId="213" xr:uid="{BF5A8CC3-4326-4FFE-B7AB-2A2D98E090BA}"/>
    <cellStyle name="20% - Accent2 2 2 3" xfId="173" xr:uid="{52B5F84D-0F13-4A06-BFEC-BE0A142EA4F6}"/>
    <cellStyle name="20% - Accent2 2 3" xfId="113" xr:uid="{21B81CDF-0569-4F71-A279-19AB22419F8C}"/>
    <cellStyle name="20% - Accent2 2 3 2" xfId="193" xr:uid="{F7FE828C-A82F-42FC-B300-F09CAFB6C8AD}"/>
    <cellStyle name="20% - Accent2 2 4" xfId="153" xr:uid="{14C3D558-C34C-4CDE-AAF9-04A7F824F380}"/>
    <cellStyle name="20% - Accent2 3" xfId="89" xr:uid="{00000000-0005-0000-0000-000005000000}"/>
    <cellStyle name="20% - Accent3 2" xfId="30" xr:uid="{00000000-0005-0000-0000-000006000000}"/>
    <cellStyle name="20% - Accent3 2 2" xfId="54" xr:uid="{00000000-0005-0000-0000-000007000000}"/>
    <cellStyle name="20% - Accent3 2 2 2" xfId="136" xr:uid="{761DE16F-DBAF-46D1-9F15-08F1D6046658}"/>
    <cellStyle name="20% - Accent3 2 2 2 2" xfId="216" xr:uid="{344EC71F-502F-4832-BA0F-373895838533}"/>
    <cellStyle name="20% - Accent3 2 2 3" xfId="176" xr:uid="{DFAF5CA4-9FEB-4B39-95DD-53DA516DE9E1}"/>
    <cellStyle name="20% - Accent3 2 3" xfId="116" xr:uid="{AEA13515-DEB0-4368-A284-EA5FEFB02B34}"/>
    <cellStyle name="20% - Accent3 2 3 2" xfId="196" xr:uid="{8FEA6998-7A9A-4991-B188-0F7D06D98A53}"/>
    <cellStyle name="20% - Accent3 2 4" xfId="156" xr:uid="{33C42D44-5F38-46B3-B926-251EF11DFB1D}"/>
    <cellStyle name="20% - Accent3 3" xfId="93" xr:uid="{00000000-0005-0000-0000-000008000000}"/>
    <cellStyle name="20% - Accent4 2" xfId="34" xr:uid="{00000000-0005-0000-0000-000009000000}"/>
    <cellStyle name="20% - Accent4 2 2" xfId="57" xr:uid="{00000000-0005-0000-0000-00000A000000}"/>
    <cellStyle name="20% - Accent4 2 2 2" xfId="139" xr:uid="{A8A302DF-0FF8-477E-8F35-590F2C1A7365}"/>
    <cellStyle name="20% - Accent4 2 2 2 2" xfId="219" xr:uid="{AE270EC4-8BE8-4806-8379-D9B75A02707F}"/>
    <cellStyle name="20% - Accent4 2 2 3" xfId="179" xr:uid="{A2A9B7E6-E0E9-4DA0-B6B9-5947FCE6A010}"/>
    <cellStyle name="20% - Accent4 2 3" xfId="119" xr:uid="{BBD62146-01BF-40DE-A80F-26B5D0E15775}"/>
    <cellStyle name="20% - Accent4 2 3 2" xfId="199" xr:uid="{AEDE779E-AD63-4F17-B027-A105EBFD3892}"/>
    <cellStyle name="20% - Accent4 2 4" xfId="159" xr:uid="{DE48289F-63A8-4DA1-8EA1-FFF24139EB9E}"/>
    <cellStyle name="20% - Accent4 3" xfId="97" xr:uid="{00000000-0005-0000-0000-00000B000000}"/>
    <cellStyle name="20% - Accent5 2" xfId="38" xr:uid="{00000000-0005-0000-0000-00000C000000}"/>
    <cellStyle name="20% - Accent5 2 2" xfId="60" xr:uid="{00000000-0005-0000-0000-00000D000000}"/>
    <cellStyle name="20% - Accent5 2 2 2" xfId="142" xr:uid="{ECE7EA30-073D-4BA4-BECC-092713ADFB0D}"/>
    <cellStyle name="20% - Accent5 2 2 2 2" xfId="222" xr:uid="{6B245384-3B53-42A0-8891-280A8135CF3B}"/>
    <cellStyle name="20% - Accent5 2 2 3" xfId="182" xr:uid="{07940D89-0FF4-47B2-BE23-D9910F18BE76}"/>
    <cellStyle name="20% - Accent5 2 3" xfId="122" xr:uid="{6E571B58-B1CE-4C04-A67B-56F6350EC402}"/>
    <cellStyle name="20% - Accent5 2 3 2" xfId="202" xr:uid="{5AF93333-2C4C-4F5C-A2AC-87FBD00CA604}"/>
    <cellStyle name="20% - Accent5 2 4" xfId="162" xr:uid="{E0C0703F-4E44-4F5A-8A8C-5D6C038C9D64}"/>
    <cellStyle name="20% - Accent5 3" xfId="101" xr:uid="{00000000-0005-0000-0000-00000E000000}"/>
    <cellStyle name="20% - Accent6 2" xfId="42" xr:uid="{00000000-0005-0000-0000-00000F000000}"/>
    <cellStyle name="20% - Accent6 2 2" xfId="63" xr:uid="{00000000-0005-0000-0000-000010000000}"/>
    <cellStyle name="20% - Accent6 2 2 2" xfId="145" xr:uid="{8645E9E3-5E1C-461C-99E1-EC2FA89031BD}"/>
    <cellStyle name="20% - Accent6 2 2 2 2" xfId="225" xr:uid="{6A662F26-771D-429E-9CF2-6330BA03A23B}"/>
    <cellStyle name="20% - Accent6 2 2 3" xfId="185" xr:uid="{A9301B7B-2AE3-4A88-9C62-1EE489F7DCA0}"/>
    <cellStyle name="20% - Accent6 2 3" xfId="125" xr:uid="{4ADFD6CF-88AF-40F0-93D0-82CD4B56E626}"/>
    <cellStyle name="20% - Accent6 2 3 2" xfId="205" xr:uid="{4F32DD2C-5DD0-458E-BDFC-9CD1254550F5}"/>
    <cellStyle name="20% - Accent6 2 4" xfId="165" xr:uid="{2A500441-4EC4-4E52-846D-130641DCDC8A}"/>
    <cellStyle name="20% - Accent6 3" xfId="105" xr:uid="{00000000-0005-0000-0000-000011000000}"/>
    <cellStyle name="40% - Accent1 2" xfId="23" xr:uid="{00000000-0005-0000-0000-000012000000}"/>
    <cellStyle name="40% - Accent1 2 2" xfId="49" xr:uid="{00000000-0005-0000-0000-000013000000}"/>
    <cellStyle name="40% - Accent1 2 2 2" xfId="131" xr:uid="{E8DF8D03-E980-4FD8-BEC6-79D6A5F4D5A8}"/>
    <cellStyle name="40% - Accent1 2 2 2 2" xfId="211" xr:uid="{3BE72F60-981F-4678-8F11-E6793FF87260}"/>
    <cellStyle name="40% - Accent1 2 2 3" xfId="171" xr:uid="{6C6EFD29-A505-484B-A152-3B1C833E8DBC}"/>
    <cellStyle name="40% - Accent1 2 3" xfId="111" xr:uid="{AB874945-28E7-4D19-B0E5-2826E880B0F2}"/>
    <cellStyle name="40% - Accent1 2 3 2" xfId="191" xr:uid="{98B4832D-762B-4004-8100-FE22AF7F5FF6}"/>
    <cellStyle name="40% - Accent1 2 4" xfId="151" xr:uid="{3FFEA903-1FF0-4665-A693-6CA1296539DA}"/>
    <cellStyle name="40% - Accent1 3" xfId="86" xr:uid="{00000000-0005-0000-0000-000014000000}"/>
    <cellStyle name="40% - Accent2 2" xfId="27" xr:uid="{00000000-0005-0000-0000-000015000000}"/>
    <cellStyle name="40% - Accent2 2 2" xfId="52" xr:uid="{00000000-0005-0000-0000-000016000000}"/>
    <cellStyle name="40% - Accent2 2 2 2" xfId="134" xr:uid="{49CE6658-7AFB-4185-9746-9F489F217FFC}"/>
    <cellStyle name="40% - Accent2 2 2 2 2" xfId="214" xr:uid="{F369DC15-7A9C-4D6B-A16D-6FD157568B9B}"/>
    <cellStyle name="40% - Accent2 2 2 3" xfId="174" xr:uid="{C51E80BA-C00D-4039-8C4F-6F6D9E39CDC6}"/>
    <cellStyle name="40% - Accent2 2 3" xfId="114" xr:uid="{56959326-ADB3-442A-9A8E-FF36F14F511C}"/>
    <cellStyle name="40% - Accent2 2 3 2" xfId="194" xr:uid="{C42181F0-D423-42F5-97E3-BF97C3D9D640}"/>
    <cellStyle name="40% - Accent2 2 4" xfId="154" xr:uid="{A82A5A84-8E0F-4FD6-BA74-818C67BC38EC}"/>
    <cellStyle name="40% - Accent2 3" xfId="90" xr:uid="{00000000-0005-0000-0000-000017000000}"/>
    <cellStyle name="40% - Accent3 2" xfId="31" xr:uid="{00000000-0005-0000-0000-000018000000}"/>
    <cellStyle name="40% - Accent3 2 2" xfId="55" xr:uid="{00000000-0005-0000-0000-000019000000}"/>
    <cellStyle name="40% - Accent3 2 2 2" xfId="137" xr:uid="{03CD9855-5FCF-42AE-925B-F4C3B70BAE7D}"/>
    <cellStyle name="40% - Accent3 2 2 2 2" xfId="217" xr:uid="{DF97C8D0-5518-46BC-8D81-B13318BAFF1D}"/>
    <cellStyle name="40% - Accent3 2 2 3" xfId="177" xr:uid="{45AE8BD7-D139-43BD-8420-5141C06D9B25}"/>
    <cellStyle name="40% - Accent3 2 3" xfId="117" xr:uid="{4B9EBC19-6260-4A19-9F59-C2B98AC210FB}"/>
    <cellStyle name="40% - Accent3 2 3 2" xfId="197" xr:uid="{59730C21-EA22-4CF9-96A7-5300774D6FA9}"/>
    <cellStyle name="40% - Accent3 2 4" xfId="157" xr:uid="{9242D08D-1614-4D46-85DF-CF487DECCFE5}"/>
    <cellStyle name="40% - Accent3 3" xfId="94" xr:uid="{00000000-0005-0000-0000-00001A000000}"/>
    <cellStyle name="40% - Accent4 2" xfId="35" xr:uid="{00000000-0005-0000-0000-00001B000000}"/>
    <cellStyle name="40% - Accent4 2 2" xfId="58" xr:uid="{00000000-0005-0000-0000-00001C000000}"/>
    <cellStyle name="40% - Accent4 2 2 2" xfId="140" xr:uid="{8B18522B-76B8-45C5-A832-EF9A2F7D7FBE}"/>
    <cellStyle name="40% - Accent4 2 2 2 2" xfId="220" xr:uid="{EFF748BA-FBAC-4771-8353-1524067A8171}"/>
    <cellStyle name="40% - Accent4 2 2 3" xfId="180" xr:uid="{C287DC8F-04B0-47B7-9CE3-80CA774F03DB}"/>
    <cellStyle name="40% - Accent4 2 3" xfId="120" xr:uid="{D118D649-1E77-435C-8E67-0369FBCB2F82}"/>
    <cellStyle name="40% - Accent4 2 3 2" xfId="200" xr:uid="{3A34C674-3016-4907-AE33-63201A9AC7C6}"/>
    <cellStyle name="40% - Accent4 2 4" xfId="160" xr:uid="{F60E1E05-0873-4B4D-838D-24D07EAD9A06}"/>
    <cellStyle name="40% - Accent4 3" xfId="98" xr:uid="{00000000-0005-0000-0000-00001D000000}"/>
    <cellStyle name="40% - Accent5 2" xfId="39" xr:uid="{00000000-0005-0000-0000-00001E000000}"/>
    <cellStyle name="40% - Accent5 2 2" xfId="61" xr:uid="{00000000-0005-0000-0000-00001F000000}"/>
    <cellStyle name="40% - Accent5 2 2 2" xfId="143" xr:uid="{82716AA9-03D3-4FCB-AD11-396D48704536}"/>
    <cellStyle name="40% - Accent5 2 2 2 2" xfId="223" xr:uid="{4ED79CB2-80AC-44B0-9592-F42D43724CFE}"/>
    <cellStyle name="40% - Accent5 2 2 3" xfId="183" xr:uid="{08D2BB84-C943-47F4-9973-CD9921251085}"/>
    <cellStyle name="40% - Accent5 2 3" xfId="123" xr:uid="{C4EC3B2F-B7C1-4065-A7F6-C455D11496AA}"/>
    <cellStyle name="40% - Accent5 2 3 2" xfId="203" xr:uid="{146AAD72-97D2-4A89-A100-32A0D9AA6548}"/>
    <cellStyle name="40% - Accent5 2 4" xfId="163" xr:uid="{5D8B9372-F4AE-4D6C-839A-5D9499B1AF85}"/>
    <cellStyle name="40% - Accent5 3" xfId="102" xr:uid="{00000000-0005-0000-0000-000020000000}"/>
    <cellStyle name="40% - Accent6 2" xfId="43" xr:uid="{00000000-0005-0000-0000-000021000000}"/>
    <cellStyle name="40% - Accent6 2 2" xfId="64" xr:uid="{00000000-0005-0000-0000-000022000000}"/>
    <cellStyle name="40% - Accent6 2 2 2" xfId="146" xr:uid="{9FF76641-ADF0-4CCD-B3E0-A55CDA6101CC}"/>
    <cellStyle name="40% - Accent6 2 2 2 2" xfId="226" xr:uid="{6145886A-0E36-4FDE-8761-EA37FB8DF704}"/>
    <cellStyle name="40% - Accent6 2 2 3" xfId="186" xr:uid="{09920675-6892-4193-A9D5-46FD1E97D6E5}"/>
    <cellStyle name="40% - Accent6 2 3" xfId="126" xr:uid="{670D7905-7CA9-4D48-86E1-AF6812F45972}"/>
    <cellStyle name="40% - Accent6 2 3 2" xfId="206" xr:uid="{F541168F-3897-4DA9-8513-250F0BD7341F}"/>
    <cellStyle name="40% - Accent6 2 4" xfId="166" xr:uid="{D0C69025-0F04-419F-ABD5-F98622C2EF1D}"/>
    <cellStyle name="40% - Accent6 3" xfId="106" xr:uid="{00000000-0005-0000-0000-000023000000}"/>
    <cellStyle name="60% - Accent1 2" xfId="24" xr:uid="{00000000-0005-0000-0000-000024000000}"/>
    <cellStyle name="60% - Accent1 2 2" xfId="50" xr:uid="{00000000-0005-0000-0000-000025000000}"/>
    <cellStyle name="60% - Accent1 2 2 2" xfId="132" xr:uid="{339C23FF-9400-409E-B566-C07FB0E424C3}"/>
    <cellStyle name="60% - Accent1 2 2 2 2" xfId="212" xr:uid="{3D2B282E-BF15-4F93-897C-2B20D6605A16}"/>
    <cellStyle name="60% - Accent1 2 2 3" xfId="172" xr:uid="{666914E0-974F-442E-8971-7CDC40748183}"/>
    <cellStyle name="60% - Accent1 2 3" xfId="112" xr:uid="{9182A7D3-B8A9-4C1D-9133-52D108034402}"/>
    <cellStyle name="60% - Accent1 2 3 2" xfId="192" xr:uid="{A7B24930-5D82-476A-8A89-9E97EA38624C}"/>
    <cellStyle name="60% - Accent1 2 4" xfId="152" xr:uid="{18410875-DCF3-414D-83E9-AF87186EDC34}"/>
    <cellStyle name="60% - Accent1 3" xfId="87" xr:uid="{00000000-0005-0000-0000-000026000000}"/>
    <cellStyle name="60% - Accent2 2" xfId="28" xr:uid="{00000000-0005-0000-0000-000027000000}"/>
    <cellStyle name="60% - Accent2 2 2" xfId="53" xr:uid="{00000000-0005-0000-0000-000028000000}"/>
    <cellStyle name="60% - Accent2 2 2 2" xfId="135" xr:uid="{00A4681C-1716-4992-B8EA-ABA306BFA94B}"/>
    <cellStyle name="60% - Accent2 2 2 2 2" xfId="215" xr:uid="{446DE03A-B834-4F54-98B1-BF98494D1354}"/>
    <cellStyle name="60% - Accent2 2 2 3" xfId="175" xr:uid="{B3EB70B5-ACE2-4BC7-8BE7-7FB2DEDF38A5}"/>
    <cellStyle name="60% - Accent2 2 3" xfId="115" xr:uid="{F72D6B13-2EAB-4628-882F-486F3353C130}"/>
    <cellStyle name="60% - Accent2 2 3 2" xfId="195" xr:uid="{891C6C15-1D1B-46A2-9E74-A59EFB360FF2}"/>
    <cellStyle name="60% - Accent2 2 4" xfId="155" xr:uid="{6B004800-9EFF-494B-95EF-38D0B6FEB88B}"/>
    <cellStyle name="60% - Accent2 3" xfId="91" xr:uid="{00000000-0005-0000-0000-000029000000}"/>
    <cellStyle name="60% - Accent3 2" xfId="32" xr:uid="{00000000-0005-0000-0000-00002A000000}"/>
    <cellStyle name="60% - Accent3 2 2" xfId="56" xr:uid="{00000000-0005-0000-0000-00002B000000}"/>
    <cellStyle name="60% - Accent3 2 2 2" xfId="138" xr:uid="{B663B948-656F-42F2-A877-9608E442A1B7}"/>
    <cellStyle name="60% - Accent3 2 2 2 2" xfId="218" xr:uid="{439603AD-8D43-44A9-94F2-843AB04EA48E}"/>
    <cellStyle name="60% - Accent3 2 2 3" xfId="178" xr:uid="{F763690C-D6D1-4E76-A696-713B079ACB6E}"/>
    <cellStyle name="60% - Accent3 2 3" xfId="118" xr:uid="{F714B51B-1555-4154-A785-F966A4E148A1}"/>
    <cellStyle name="60% - Accent3 2 3 2" xfId="198" xr:uid="{6C00C44A-8724-4336-A4ED-07271F584DCC}"/>
    <cellStyle name="60% - Accent3 2 4" xfId="158" xr:uid="{32C2EE1D-79FF-4A5A-80A3-71FFD429E80B}"/>
    <cellStyle name="60% - Accent3 3" xfId="95" xr:uid="{00000000-0005-0000-0000-00002C000000}"/>
    <cellStyle name="60% - Accent4 2" xfId="36" xr:uid="{00000000-0005-0000-0000-00002D000000}"/>
    <cellStyle name="60% - Accent4 2 2" xfId="59" xr:uid="{00000000-0005-0000-0000-00002E000000}"/>
    <cellStyle name="60% - Accent4 2 2 2" xfId="141" xr:uid="{7F308E04-5783-49A7-B0AA-154AF2C64105}"/>
    <cellStyle name="60% - Accent4 2 2 2 2" xfId="221" xr:uid="{1FF1F1D9-A4FD-45EE-BD56-AE7F46B383EA}"/>
    <cellStyle name="60% - Accent4 2 2 3" xfId="181" xr:uid="{61222B0D-E73C-4547-877F-D6DC5D5504FB}"/>
    <cellStyle name="60% - Accent4 2 3" xfId="121" xr:uid="{EF54B43A-322D-4C13-AAA3-E4143A72DE22}"/>
    <cellStyle name="60% - Accent4 2 3 2" xfId="201" xr:uid="{90631204-2096-4252-821A-7EF1CAA0B10E}"/>
    <cellStyle name="60% - Accent4 2 4" xfId="161" xr:uid="{E8B5B895-1264-4EE5-BC3E-10B2E0974F6E}"/>
    <cellStyle name="60% - Accent4 3" xfId="99" xr:uid="{00000000-0005-0000-0000-00002F000000}"/>
    <cellStyle name="60% - Accent5 2" xfId="40" xr:uid="{00000000-0005-0000-0000-000030000000}"/>
    <cellStyle name="60% - Accent5 2 2" xfId="62" xr:uid="{00000000-0005-0000-0000-000031000000}"/>
    <cellStyle name="60% - Accent5 2 2 2" xfId="144" xr:uid="{2ADEAAFE-AE44-4CE6-A293-023F32D962E3}"/>
    <cellStyle name="60% - Accent5 2 2 2 2" xfId="224" xr:uid="{76998BCD-91DF-401B-906E-950063C404EF}"/>
    <cellStyle name="60% - Accent5 2 2 3" xfId="184" xr:uid="{9E9DAB38-3D43-44B2-B121-07865820E1C6}"/>
    <cellStyle name="60% - Accent5 2 3" xfId="124" xr:uid="{3BF32703-A110-4672-A13D-653C8F289531}"/>
    <cellStyle name="60% - Accent5 2 3 2" xfId="204" xr:uid="{84B0C06D-6FE8-4681-86B1-95A006A47B99}"/>
    <cellStyle name="60% - Accent5 2 4" xfId="164" xr:uid="{C143D331-FA6C-4EA5-98E6-2F50366161A4}"/>
    <cellStyle name="60% - Accent5 3" xfId="103" xr:uid="{00000000-0005-0000-0000-000032000000}"/>
    <cellStyle name="60% - Accent6 2" xfId="44" xr:uid="{00000000-0005-0000-0000-000033000000}"/>
    <cellStyle name="60% - Accent6 2 2" xfId="65" xr:uid="{00000000-0005-0000-0000-000034000000}"/>
    <cellStyle name="60% - Accent6 2 2 2" xfId="147" xr:uid="{227F6F7C-AE7C-442F-AC1B-D08B021C5CC3}"/>
    <cellStyle name="60% - Accent6 2 2 2 2" xfId="227" xr:uid="{B9D3ECC6-723B-43DA-9428-A028D19D35FA}"/>
    <cellStyle name="60% - Accent6 2 2 3" xfId="187" xr:uid="{35AE0E4F-809E-43D4-8967-8F0AB5CD5354}"/>
    <cellStyle name="60% - Accent6 2 3" xfId="127" xr:uid="{40233194-A315-40B1-B47C-D4DF58E23D81}"/>
    <cellStyle name="60% - Accent6 2 3 2" xfId="207" xr:uid="{0DC82AF3-16DB-4220-804E-BA4DF7C641FB}"/>
    <cellStyle name="60% - Accent6 2 4" xfId="167" xr:uid="{08575632-7FDC-4629-A8AE-20DA40015FE7}"/>
    <cellStyle name="60% - Accent6 3" xfId="107" xr:uid="{00000000-0005-0000-0000-000035000000}"/>
    <cellStyle name="Accent1 2" xfId="21" xr:uid="{00000000-0005-0000-0000-000036000000}"/>
    <cellStyle name="Accent1 3" xfId="84" xr:uid="{00000000-0005-0000-0000-000037000000}"/>
    <cellStyle name="Accent2 2" xfId="25" xr:uid="{00000000-0005-0000-0000-000038000000}"/>
    <cellStyle name="Accent2 3" xfId="88" xr:uid="{00000000-0005-0000-0000-000039000000}"/>
    <cellStyle name="Accent3 2" xfId="29" xr:uid="{00000000-0005-0000-0000-00003A000000}"/>
    <cellStyle name="Accent3 3" xfId="92" xr:uid="{00000000-0005-0000-0000-00003B000000}"/>
    <cellStyle name="Accent4 2" xfId="33" xr:uid="{00000000-0005-0000-0000-00003C000000}"/>
    <cellStyle name="Accent4 3" xfId="96" xr:uid="{00000000-0005-0000-0000-00003D000000}"/>
    <cellStyle name="Accent5 2" xfId="37" xr:uid="{00000000-0005-0000-0000-00003E000000}"/>
    <cellStyle name="Accent5 3" xfId="100" xr:uid="{00000000-0005-0000-0000-00003F000000}"/>
    <cellStyle name="Accent6 2" xfId="41" xr:uid="{00000000-0005-0000-0000-000040000000}"/>
    <cellStyle name="Accent6 3" xfId="104" xr:uid="{00000000-0005-0000-0000-000041000000}"/>
    <cellStyle name="Bad" xfId="66" builtinId="27"/>
    <cellStyle name="Bad 2" xfId="10" xr:uid="{00000000-0005-0000-0000-000043000000}"/>
    <cellStyle name="Bad 3" xfId="73" xr:uid="{00000000-0005-0000-0000-000044000000}"/>
    <cellStyle name="Calculation 2" xfId="14" xr:uid="{00000000-0005-0000-0000-000045000000}"/>
    <cellStyle name="Calculation 3" xfId="77" xr:uid="{00000000-0005-0000-0000-000046000000}"/>
    <cellStyle name="Check Cell 2" xfId="16" xr:uid="{00000000-0005-0000-0000-000047000000}"/>
    <cellStyle name="Check Cell 3" xfId="79" xr:uid="{00000000-0005-0000-0000-000048000000}"/>
    <cellStyle name="Explanatory Text 2" xfId="19" xr:uid="{00000000-0005-0000-0000-000049000000}"/>
    <cellStyle name="Explanatory Text 3" xfId="82" xr:uid="{00000000-0005-0000-0000-00004A000000}"/>
    <cellStyle name="Good 2" xfId="9" xr:uid="{00000000-0005-0000-0000-00004B000000}"/>
    <cellStyle name="Good 3" xfId="72" xr:uid="{00000000-0005-0000-0000-00004C000000}"/>
    <cellStyle name="Heading 1" xfId="67" builtinId="16" customBuiltin="1"/>
    <cellStyle name="Heading 1 2" xfId="5" xr:uid="{00000000-0005-0000-0000-00004E000000}"/>
    <cellStyle name="Heading 2" xfId="68" builtinId="17" customBuiltin="1"/>
    <cellStyle name="Heading 2 2" xfId="6" xr:uid="{00000000-0005-0000-0000-000050000000}"/>
    <cellStyle name="Heading 3" xfId="69" builtinId="18" customBuiltin="1"/>
    <cellStyle name="Heading 3 2" xfId="7" xr:uid="{00000000-0005-0000-0000-000052000000}"/>
    <cellStyle name="Heading 4" xfId="70" builtinId="19" customBuiltin="1"/>
    <cellStyle name="Heading 4 2" xfId="8" xr:uid="{00000000-0005-0000-0000-000054000000}"/>
    <cellStyle name="Hyperlink" xfId="2" builtinId="8"/>
    <cellStyle name="Hyperlink 2" xfId="45" xr:uid="{00000000-0005-0000-0000-000056000000}"/>
    <cellStyle name="Input 2" xfId="12" xr:uid="{00000000-0005-0000-0000-000057000000}"/>
    <cellStyle name="Input 3" xfId="75" xr:uid="{00000000-0005-0000-0000-000058000000}"/>
    <cellStyle name="Linked Cell 2" xfId="15" xr:uid="{00000000-0005-0000-0000-000059000000}"/>
    <cellStyle name="Linked Cell 3" xfId="78" xr:uid="{00000000-0005-0000-0000-00005A000000}"/>
    <cellStyle name="Neutral 2" xfId="11" xr:uid="{00000000-0005-0000-0000-00005B000000}"/>
    <cellStyle name="Neutral 3" xfId="74" xr:uid="{00000000-0005-0000-0000-00005C000000}"/>
    <cellStyle name="Normal" xfId="0" builtinId="0"/>
    <cellStyle name="Normal 2" xfId="3" xr:uid="{00000000-0005-0000-0000-00005E000000}"/>
    <cellStyle name="Normal 2 2" xfId="46" xr:uid="{00000000-0005-0000-0000-00005F000000}"/>
    <cellStyle name="Normal 2 2 2" xfId="128" xr:uid="{79AA9033-9156-499F-A7F0-0436E7BB3263}"/>
    <cellStyle name="Normal 2 2 2 2" xfId="208" xr:uid="{9068B1AE-735C-46E5-8FFF-D768E104F3CA}"/>
    <cellStyle name="Normal 2 2 3" xfId="168" xr:uid="{DEEF1024-282E-4F59-A489-57F38B369241}"/>
    <cellStyle name="Normal 2 3" xfId="108" xr:uid="{844F16C8-4ABC-445A-8DE9-3FE9B80A8A45}"/>
    <cellStyle name="Normal 2 3 2" xfId="188" xr:uid="{520E9070-C8B1-48DC-B5E7-3897249AF667}"/>
    <cellStyle name="Normal 2 4" xfId="148" xr:uid="{947252EE-AD06-4CE8-851E-76C28D2D7E3C}"/>
    <cellStyle name="Normal 3" xfId="71" xr:uid="{00000000-0005-0000-0000-000060000000}"/>
    <cellStyle name="Note 2" xfId="18" xr:uid="{00000000-0005-0000-0000-000061000000}"/>
    <cellStyle name="Note 2 2" xfId="47" xr:uid="{00000000-0005-0000-0000-000062000000}"/>
    <cellStyle name="Note 2 2 2" xfId="129" xr:uid="{53B14DE8-9AF6-45CD-A979-39074D441FEC}"/>
    <cellStyle name="Note 2 2 2 2" xfId="209" xr:uid="{CAFE9600-B718-4209-9941-67FEB7781F33}"/>
    <cellStyle name="Note 2 2 3" xfId="169" xr:uid="{56772686-214F-4017-9B8C-55B83C763238}"/>
    <cellStyle name="Note 2 3" xfId="109" xr:uid="{F8869240-7E56-44FC-82B7-5FA5943652F3}"/>
    <cellStyle name="Note 2 3 2" xfId="189" xr:uid="{790B3AA9-D834-49CA-996C-A0D1F8B834B8}"/>
    <cellStyle name="Note 2 4" xfId="149" xr:uid="{5670BAE9-90BB-47D1-BE3C-F6B2CD847144}"/>
    <cellStyle name="Note 3" xfId="81" xr:uid="{00000000-0005-0000-0000-000063000000}"/>
    <cellStyle name="Output 2" xfId="13" xr:uid="{00000000-0005-0000-0000-000064000000}"/>
    <cellStyle name="Output 3" xfId="76" xr:uid="{00000000-0005-0000-0000-000065000000}"/>
    <cellStyle name="Per cent" xfId="1" builtinId="5"/>
    <cellStyle name="Title" xfId="4" builtinId="15" customBuiltin="1"/>
    <cellStyle name="Total 2" xfId="20" xr:uid="{00000000-0005-0000-0000-000068000000}"/>
    <cellStyle name="Total 3" xfId="83" xr:uid="{00000000-0005-0000-0000-000069000000}"/>
    <cellStyle name="Warning Text 2" xfId="17" xr:uid="{00000000-0005-0000-0000-00006A000000}"/>
    <cellStyle name="Warning Text 3" xfId="80" xr:uid="{00000000-0005-0000-0000-00006B000000}"/>
  </cellStyles>
  <dxfs count="6400">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FF0000"/>
      </font>
      <fill>
        <patternFill>
          <bgColor rgb="FFFFEB9C"/>
        </patternFill>
      </fill>
    </dxf>
    <dxf>
      <font>
        <color rgb="FFFF0000"/>
      </font>
      <fill>
        <patternFill>
          <bgColor rgb="FFFFC7CE"/>
        </patternFill>
      </fill>
    </dxf>
    <dxf>
      <font>
        <color rgb="FFFF0000"/>
      </font>
      <fill>
        <patternFill>
          <bgColor rgb="FFFFC7CE"/>
        </patternFill>
      </fill>
    </dxf>
    <dxf>
      <font>
        <color rgb="FFFF6600"/>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FF00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DCC5ED"/>
      <color rgb="FFFF0000"/>
      <color rgb="FF9900FF"/>
      <color rgb="FF66FFFF"/>
      <color rgb="FF6600FF"/>
      <color rgb="FFB07BD7"/>
      <color rgb="FF0066FF"/>
      <color rgb="FFFF7C80"/>
      <color rgb="FFE2707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FAQs!A1"/></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4.xml.rels><?xml version="1.0" encoding="UTF-8" standalone="yes"?>
<Relationships xmlns="http://schemas.openxmlformats.org/package/2006/relationships"><Relationship Id="rId2" Type="http://schemas.openxmlformats.org/officeDocument/2006/relationships/hyperlink" Target="#'HMIP caseload cluster'!A1"/><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2" Type="http://schemas.openxmlformats.org/officeDocument/2006/relationships/hyperlink" Target="#'HMIP caseload divisional'!A1"/><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3" Type="http://schemas.openxmlformats.org/officeDocument/2006/relationships/hyperlink" Target="#'team overview'!A1"/><Relationship Id="rId2" Type="http://schemas.openxmlformats.org/officeDocument/2006/relationships/hyperlink" Target="#'divisional &amp; regional overview'!A1"/><Relationship Id="rId1" Type="http://schemas.openxmlformats.org/officeDocument/2006/relationships/hyperlink" Target="#Home!A1"/></Relationships>
</file>

<file path=xl/drawings/_rels/drawing7.xml.rels><?xml version="1.0" encoding="UTF-8" standalone="yes"?>
<Relationships xmlns="http://schemas.openxmlformats.org/package/2006/relationships"><Relationship Id="rId3" Type="http://schemas.openxmlformats.org/officeDocument/2006/relationships/hyperlink" Target="#'divisional &amp; regional overview'!A1"/><Relationship Id="rId2" Type="http://schemas.openxmlformats.org/officeDocument/2006/relationships/hyperlink" Target="#'cluster overview'!A1"/><Relationship Id="rId1" Type="http://schemas.openxmlformats.org/officeDocument/2006/relationships/hyperlink" Target="#Home!A1"/></Relationships>
</file>

<file path=xl/drawings/_rels/drawing8.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9.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ommunity caseload'!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0.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divisional &amp; regional caseload%'!A1"/><Relationship Id="rId7" Type="http://schemas.openxmlformats.org/officeDocument/2006/relationships/hyperlink" Target="#'nat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1.xml.rels><?xml version="1.0" encoding="UTF-8" standalone="yes"?>
<Relationships xmlns="http://schemas.openxmlformats.org/package/2006/relationships"><Relationship Id="rId8" Type="http://schemas.openxmlformats.org/officeDocument/2006/relationships/hyperlink" Target="#'national tier ratios'!A1"/><Relationship Id="rId3" Type="http://schemas.openxmlformats.org/officeDocument/2006/relationships/hyperlink" Target="#'custody caseload'!A1"/><Relationship Id="rId7" Type="http://schemas.openxmlformats.org/officeDocument/2006/relationships/hyperlink" Target="#'national caseload'!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community caseload'!A1"/><Relationship Id="rId5" Type="http://schemas.openxmlformats.org/officeDocument/2006/relationships/hyperlink" Target="#'community %'!A1"/><Relationship Id="rId4" Type="http://schemas.openxmlformats.org/officeDocument/2006/relationships/hyperlink" Target="#'custody %'!A1"/></Relationships>
</file>

<file path=xl/drawings/_rels/drawing12.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divisional &amp; regional capacity'!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3.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4.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divisional &amp; regional caseload%'!A1"/><Relationship Id="rId7" Type="http://schemas.openxmlformats.org/officeDocument/2006/relationships/hyperlink" Target="#'national tier ratios'!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caseload'!A1"/><Relationship Id="rId5" Type="http://schemas.openxmlformats.org/officeDocument/2006/relationships/hyperlink" Target="#'community caseload'!A1"/><Relationship Id="rId4" Type="http://schemas.openxmlformats.org/officeDocument/2006/relationships/hyperlink" Target="#'community %'!A1"/></Relationships>
</file>

<file path=xl/drawings/_rels/drawing15.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national tier ratios'!A1"/><Relationship Id="rId2" Type="http://schemas.openxmlformats.org/officeDocument/2006/relationships/hyperlink" Target="#'divisional &amp; regional caseload%'!A1"/><Relationship Id="rId1" Type="http://schemas.openxmlformats.org/officeDocument/2006/relationships/hyperlink" Target="#'custody caseload'!A1"/><Relationship Id="rId6" Type="http://schemas.openxmlformats.org/officeDocument/2006/relationships/hyperlink" Target="#Home!A1"/><Relationship Id="rId5" Type="http://schemas.openxmlformats.org/officeDocument/2006/relationships/hyperlink" Target="#'national caseload'!A1"/><Relationship Id="rId4" Type="http://schemas.openxmlformats.org/officeDocument/2006/relationships/hyperlink" Target="#'community %'!A1"/></Relationships>
</file>

<file path=xl/drawings/_rels/drawing16.xml.rels><?xml version="1.0" encoding="UTF-8" standalone="yes"?>
<Relationships xmlns="http://schemas.openxmlformats.org/package/2006/relationships"><Relationship Id="rId8" Type="http://schemas.openxmlformats.org/officeDocument/2006/relationships/hyperlink" Target="#'divisional &amp; regional caseload'!A1"/><Relationship Id="rId3" Type="http://schemas.openxmlformats.org/officeDocument/2006/relationships/hyperlink" Target="#'custody %'!A1"/><Relationship Id="rId7" Type="http://schemas.openxmlformats.org/officeDocument/2006/relationships/hyperlink" Target="#'divisional &amp; regional caseload%'!A1"/><Relationship Id="rId2" Type="http://schemas.openxmlformats.org/officeDocument/2006/relationships/hyperlink" Target="#'custody caseload'!A1"/><Relationship Id="rId1" Type="http://schemas.openxmlformats.org/officeDocument/2006/relationships/hyperlink" Target="#Home!A1"/><Relationship Id="rId6" Type="http://schemas.openxmlformats.org/officeDocument/2006/relationships/hyperlink" Target="#'national tier ratios'!A1"/><Relationship Id="rId5" Type="http://schemas.openxmlformats.org/officeDocument/2006/relationships/hyperlink" Target="#'national caseload'!A1"/><Relationship Id="rId4" Type="http://schemas.openxmlformats.org/officeDocument/2006/relationships/hyperlink" Target="#'community caseload'!A1"/></Relationships>
</file>

<file path=xl/drawings/_rels/drawing17.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 &amp; regional over-capacities'!A1"/></Relationships>
</file>

<file path=xl/drawings/_rels/drawing18.xml.rels><?xml version="1.0" encoding="UTF-8" standalone="yes"?>
<Relationships xmlns="http://schemas.openxmlformats.org/package/2006/relationships"><Relationship Id="rId3" Type="http://schemas.openxmlformats.org/officeDocument/2006/relationships/hyperlink" Target="#'divisional &amp; regional capacity'!A1"/><Relationship Id="rId2" Type="http://schemas.openxmlformats.org/officeDocument/2006/relationships/hyperlink" Target="#Home!A1"/><Relationship Id="rId1" Type="http://schemas.openxmlformats.org/officeDocument/2006/relationships/hyperlink" Target="#'cluster capacity, unallocateds'!A1"/><Relationship Id="rId4" Type="http://schemas.openxmlformats.org/officeDocument/2006/relationships/hyperlink" Target="#'div &amp; regional over-capacities'!A1"/></Relationships>
</file>

<file path=xl/drawings/_rels/drawing19.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4" Type="http://schemas.openxmlformats.org/officeDocument/2006/relationships/hyperlink" Target="#'divisional &amp; regional capacity'!A1"/></Relationships>
</file>

<file path=xl/drawings/_rels/drawing20.xml.rels><?xml version="1.0" encoding="UTF-8" standalone="yes"?>
<Relationships xmlns="http://schemas.openxmlformats.org/package/2006/relationships"><Relationship Id="rId1" Type="http://schemas.openxmlformats.org/officeDocument/2006/relationships/hyperlink" Target="#Home!A1"/></Relationships>
</file>

<file path=xl/drawings/_rels/drawing21.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cluster reductions'!A1"/><Relationship Id="rId1" Type="http://schemas.openxmlformats.org/officeDocument/2006/relationships/hyperlink" Target="#Home!A1"/></Relationships>
</file>

<file path=xl/drawings/_rels/drawing22.xml.rels><?xml version="1.0" encoding="UTF-8" standalone="yes"?>
<Relationships xmlns="http://schemas.openxmlformats.org/package/2006/relationships"><Relationship Id="rId3" Type="http://schemas.openxmlformats.org/officeDocument/2006/relationships/hyperlink" Target="#'div &amp; regional reduction hour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3.xml.rels><?xml version="1.0" encoding="UTF-8" standalone="yes"?>
<Relationships xmlns="http://schemas.openxmlformats.org/package/2006/relationships"><Relationship Id="rId3" Type="http://schemas.openxmlformats.org/officeDocument/2006/relationships/hyperlink" Target="#'cluster reductions'!A1"/><Relationship Id="rId2" Type="http://schemas.openxmlformats.org/officeDocument/2006/relationships/hyperlink" Target="#'reasons for reduction division'!A1"/><Relationship Id="rId1" Type="http://schemas.openxmlformats.org/officeDocument/2006/relationships/hyperlink" Target="#Home!A1"/></Relationships>
</file>

<file path=xl/drawings/_rels/drawing24.xml.rels><?xml version="1.0" encoding="UTF-8" standalone="yes"?>
<Relationships xmlns="http://schemas.openxmlformats.org/package/2006/relationships"><Relationship Id="rId8" Type="http://schemas.openxmlformats.org/officeDocument/2006/relationships/hyperlink" Target="#'community caseload'!A1"/><Relationship Id="rId3" Type="http://schemas.openxmlformats.org/officeDocument/2006/relationships/hyperlink" Target="#'custody caseload'!A1"/><Relationship Id="rId7" Type="http://schemas.openxmlformats.org/officeDocument/2006/relationships/hyperlink" Target="#'community %'!A1"/><Relationship Id="rId2" Type="http://schemas.openxmlformats.org/officeDocument/2006/relationships/hyperlink" Target="#'divisional caseload'!A1"/><Relationship Id="rId1" Type="http://schemas.openxmlformats.org/officeDocument/2006/relationships/hyperlink" Target="#Home!A1"/><Relationship Id="rId6" Type="http://schemas.openxmlformats.org/officeDocument/2006/relationships/hyperlink" Target="#'custody %'!A1"/><Relationship Id="rId5" Type="http://schemas.openxmlformats.org/officeDocument/2006/relationships/hyperlink" Target="#'divisional caseload %'!A1"/><Relationship Id="rId4" Type="http://schemas.openxmlformats.org/officeDocument/2006/relationships/hyperlink" Target="#'national caseload'!A1"/></Relationships>
</file>

<file path=xl/drawings/_rels/drawing25.xml.rels><?xml version="1.0" encoding="UTF-8" standalone="yes"?>
<Relationships xmlns="http://schemas.openxmlformats.org/package/2006/relationships"><Relationship Id="rId3" Type="http://schemas.openxmlformats.org/officeDocument/2006/relationships/hyperlink" Target="#'cluster officer capacity ranks'!A1"/><Relationship Id="rId2" Type="http://schemas.openxmlformats.org/officeDocument/2006/relationships/hyperlink" Target="#'cluster capacity, unallocateds'!A1"/><Relationship Id="rId1" Type="http://schemas.openxmlformats.org/officeDocument/2006/relationships/hyperlink" Target="#Home!A1"/><Relationship Id="rId5" Type="http://schemas.openxmlformats.org/officeDocument/2006/relationships/hyperlink" Target="#'div over-capacities'!A1"/><Relationship Id="rId4" Type="http://schemas.openxmlformats.org/officeDocument/2006/relationships/hyperlink" Target="#'divisional capacity'!A1"/></Relationships>
</file>

<file path=xl/drawings/_rels/drawing26.xml.rels><?xml version="1.0" encoding="UTF-8" standalone="yes"?>
<Relationships xmlns="http://schemas.openxmlformats.org/package/2006/relationships"><Relationship Id="rId3" Type="http://schemas.openxmlformats.org/officeDocument/2006/relationships/hyperlink" Target="#'division reduction in hours'!A1"/><Relationship Id="rId2" Type="http://schemas.openxmlformats.org/officeDocument/2006/relationships/hyperlink" Target="#'cluster reductions'!A1"/><Relationship Id="rId1" Type="http://schemas.openxmlformats.org/officeDocument/2006/relationships/hyperlink" Target="#Home!A1"/><Relationship Id="rId4" Type="http://schemas.openxmlformats.org/officeDocument/2006/relationships/hyperlink" Target="#'reasons for reduction division'!A1"/></Relationships>
</file>

<file path=xl/drawings/drawing1.xml><?xml version="1.0" encoding="utf-8"?>
<xdr:wsDr xmlns:xdr="http://schemas.openxmlformats.org/drawingml/2006/spreadsheetDrawing" xmlns:a="http://schemas.openxmlformats.org/drawingml/2006/main">
  <xdr:twoCellAnchor>
    <xdr:from>
      <xdr:col>0</xdr:col>
      <xdr:colOff>20799</xdr:colOff>
      <xdr:row>30</xdr:row>
      <xdr:rowOff>28575</xdr:rowOff>
    </xdr:from>
    <xdr:to>
      <xdr:col>15</xdr:col>
      <xdr:colOff>34846</xdr:colOff>
      <xdr:row>36</xdr:row>
      <xdr:rowOff>104775</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319"/>
        <a:stretch/>
      </xdr:blipFill>
      <xdr:spPr>
        <a:xfrm>
          <a:off x="20799" y="7242020"/>
          <a:ext cx="17484291" cy="1191322"/>
        </a:xfrm>
        <a:prstGeom prst="rect">
          <a:avLst/>
        </a:prstGeom>
      </xdr:spPr>
    </xdr:pic>
    <xdr:clientData/>
  </xdr:twoCellAnchor>
  <xdr:twoCellAnchor editAs="oneCell">
    <xdr:from>
      <xdr:col>1</xdr:col>
      <xdr:colOff>257176</xdr:colOff>
      <xdr:row>30</xdr:row>
      <xdr:rowOff>168137</xdr:rowOff>
    </xdr:from>
    <xdr:to>
      <xdr:col>1</xdr:col>
      <xdr:colOff>3190206</xdr:colOff>
      <xdr:row>32</xdr:row>
      <xdr:rowOff>114258</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2"/>
        <a:srcRect l="69306" t="86666" r="14791" b="10701"/>
        <a:stretch/>
      </xdr:blipFill>
      <xdr:spPr>
        <a:xfrm>
          <a:off x="466726" y="6607037"/>
          <a:ext cx="3019425" cy="327120"/>
        </a:xfrm>
        <a:prstGeom prst="rect">
          <a:avLst/>
        </a:prstGeom>
      </xdr:spPr>
    </xdr:pic>
    <xdr:clientData/>
  </xdr:twoCellAnchor>
  <xdr:twoCellAnchor>
    <xdr:from>
      <xdr:col>2</xdr:col>
      <xdr:colOff>569177</xdr:colOff>
      <xdr:row>2</xdr:row>
      <xdr:rowOff>46465</xdr:rowOff>
    </xdr:from>
    <xdr:to>
      <xdr:col>12</xdr:col>
      <xdr:colOff>569177</xdr:colOff>
      <xdr:row>20</xdr:row>
      <xdr:rowOff>174239</xdr:rowOff>
    </xdr:to>
    <xdr:sp macro="" textlink="">
      <xdr:nvSpPr>
        <xdr:cNvPr id="12" name="TextBox 11">
          <a:extLst>
            <a:ext uri="{FF2B5EF4-FFF2-40B4-BE49-F238E27FC236}">
              <a16:creationId xmlns:a16="http://schemas.microsoft.com/office/drawing/2014/main" id="{3CB5FBA4-0CB7-42BE-8040-A4CB9D7A81FE}"/>
            </a:ext>
          </a:extLst>
        </xdr:cNvPr>
        <xdr:cNvSpPr txBox="1"/>
      </xdr:nvSpPr>
      <xdr:spPr>
        <a:xfrm>
          <a:off x="5645305" y="801495"/>
          <a:ext cx="6795274" cy="4379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W</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ORKLOAD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M</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EASUREMENT </a:t>
          </a:r>
          <a:r>
            <a:rPr lang="en-GB" sz="3600" b="1" u="sng">
              <a:solidFill>
                <a:srgbClr val="9900FF"/>
              </a:solidFill>
              <a:latin typeface="Tahoma" panose="020B0604030504040204" pitchFamily="34" charset="0"/>
              <a:ea typeface="Tahoma" panose="020B0604030504040204" pitchFamily="34" charset="0"/>
              <a:cs typeface="Tahoma" panose="020B0604030504040204" pitchFamily="34" charset="0"/>
            </a:rPr>
            <a:t>T</a:t>
          </a:r>
          <a:r>
            <a:rPr lang="en-GB" sz="2000" b="1" u="sng">
              <a:solidFill>
                <a:srgbClr val="9900FF"/>
              </a:solidFill>
              <a:latin typeface="Tahoma" panose="020B0604030504040204" pitchFamily="34" charset="0"/>
              <a:ea typeface="Tahoma" panose="020B0604030504040204" pitchFamily="34" charset="0"/>
              <a:cs typeface="Tahoma" panose="020B0604030504040204" pitchFamily="34" charset="0"/>
            </a:rPr>
            <a:t>OOL</a:t>
          </a:r>
        </a:p>
        <a:p>
          <a:pPr algn="ctr"/>
          <a:endParaRPr lang="en-GB" sz="2800">
            <a:latin typeface="Arial" panose="020B0604020202020204" pitchFamily="34" charset="0"/>
            <a:cs typeface="Arial" panose="020B0604020202020204" pitchFamily="34" charset="0"/>
          </a:endParaRPr>
        </a:p>
        <a:p>
          <a:pPr algn="ctr"/>
          <a:r>
            <a:rPr lang="en-GB" sz="2400">
              <a:solidFill>
                <a:srgbClr val="9900FF"/>
              </a:solidFill>
              <a:latin typeface="Arial" panose="020B0604020202020204" pitchFamily="34" charset="0"/>
              <a:cs typeface="Arial" panose="020B0604020202020204" pitchFamily="34" charset="0"/>
            </a:rPr>
            <a:t>Probation Workforce Programme ORCA</a:t>
          </a:r>
          <a:r>
            <a:rPr lang="en-GB" sz="2400" baseline="0">
              <a:solidFill>
                <a:srgbClr val="9900FF"/>
              </a:solidFill>
              <a:latin typeface="Arial" panose="020B0604020202020204" pitchFamily="34" charset="0"/>
              <a:cs typeface="Arial" panose="020B0604020202020204" pitchFamily="34" charset="0"/>
            </a:rPr>
            <a:t> team</a:t>
          </a:r>
          <a:endParaRPr lang="en-GB" sz="2400">
            <a:solidFill>
              <a:srgbClr val="9900FF"/>
            </a:solidFill>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twoCellAnchor>
    <xdr:from>
      <xdr:col>13</xdr:col>
      <xdr:colOff>160560</xdr:colOff>
      <xdr:row>0</xdr:row>
      <xdr:rowOff>81311</xdr:rowOff>
    </xdr:from>
    <xdr:to>
      <xdr:col>14</xdr:col>
      <xdr:colOff>1858537</xdr:colOff>
      <xdr:row>2</xdr:row>
      <xdr:rowOff>104543</xdr:rowOff>
    </xdr:to>
    <xdr:pic>
      <xdr:nvPicPr>
        <xdr:cNvPr id="17" name="Picture 16">
          <a:extLst>
            <a:ext uri="{FF2B5EF4-FFF2-40B4-BE49-F238E27FC236}">
              <a16:creationId xmlns:a16="http://schemas.microsoft.com/office/drawing/2014/main" id="{11B011FC-5CF6-4D99-83AB-F56E548FBBC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624371" y="81311"/>
          <a:ext cx="2290386" cy="7782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348477</xdr:colOff>
      <xdr:row>21</xdr:row>
      <xdr:rowOff>58080</xdr:rowOff>
    </xdr:from>
    <xdr:to>
      <xdr:col>10</xdr:col>
      <xdr:colOff>429789</xdr:colOff>
      <xdr:row>23</xdr:row>
      <xdr:rowOff>192858</xdr:rowOff>
    </xdr:to>
    <xdr:sp macro="" textlink="" fLocksText="0">
      <xdr:nvSpPr>
        <xdr:cNvPr id="13" name="Rounded Rectangle 17">
          <a:hlinkClick xmlns:r="http://schemas.openxmlformats.org/officeDocument/2006/relationships" r:id="rId4"/>
          <a:extLst>
            <a:ext uri="{FF2B5EF4-FFF2-40B4-BE49-F238E27FC236}">
              <a16:creationId xmlns:a16="http://schemas.microsoft.com/office/drawing/2014/main" id="{A6D7639D-F969-4447-9BEA-3C3874DB37A3}"/>
            </a:ext>
          </a:extLst>
        </xdr:cNvPr>
        <xdr:cNvSpPr/>
      </xdr:nvSpPr>
      <xdr:spPr>
        <a:xfrm>
          <a:off x="6609422" y="5366525"/>
          <a:ext cx="4506952" cy="564565"/>
        </a:xfrm>
        <a:prstGeom prst="roundRect">
          <a:avLst/>
        </a:prstGeom>
        <a:solidFill>
          <a:schemeClr val="accent1">
            <a:lumMod val="40000"/>
            <a:lumOff val="6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FAQs</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xdr:from>
      <xdr:col>0</xdr:col>
      <xdr:colOff>123824</xdr:colOff>
      <xdr:row>0</xdr:row>
      <xdr:rowOff>57150</xdr:rowOff>
    </xdr:from>
    <xdr:to>
      <xdr:col>1</xdr:col>
      <xdr:colOff>685800</xdr:colOff>
      <xdr:row>0</xdr:row>
      <xdr:rowOff>381000</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E0496DEE-B893-4E9A-83F7-CE6F8E7C0937}"/>
            </a:ext>
          </a:extLst>
        </xdr:cNvPr>
        <xdr:cNvSpPr/>
      </xdr:nvSpPr>
      <xdr:spPr>
        <a:xfrm>
          <a:off x="123824" y="57150"/>
          <a:ext cx="1171576" cy="3238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0</xdr:col>
      <xdr:colOff>142875</xdr:colOff>
      <xdr:row>1</xdr:row>
      <xdr:rowOff>171450</xdr:rowOff>
    </xdr:from>
    <xdr:to>
      <xdr:col>16</xdr:col>
      <xdr:colOff>581025</xdr:colOff>
      <xdr:row>28</xdr:row>
      <xdr:rowOff>158750</xdr:rowOff>
    </xdr:to>
    <xdr:sp macro="" textlink="">
      <xdr:nvSpPr>
        <xdr:cNvPr id="5" name="TextBox 4">
          <a:extLst>
            <a:ext uri="{FF2B5EF4-FFF2-40B4-BE49-F238E27FC236}">
              <a16:creationId xmlns:a16="http://schemas.microsoft.com/office/drawing/2014/main" id="{7960B5FA-D676-44C8-B03A-57B5609B2C1F}"/>
            </a:ext>
          </a:extLst>
        </xdr:cNvPr>
        <xdr:cNvSpPr txBox="1"/>
      </xdr:nvSpPr>
      <xdr:spPr>
        <a:xfrm>
          <a:off x="142875" y="685800"/>
          <a:ext cx="9886950" cy="5130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a:p>
          <a:r>
            <a:rPr lang="en-GB" sz="1100"/>
            <a:t>What</a:t>
          </a:r>
          <a:r>
            <a:rPr lang="en-GB" sz="1100" baseline="0"/>
            <a:t> are 'dummy' (DMY) officers? - </a:t>
          </a:r>
          <a:r>
            <a:rPr lang="en-GB" sz="1100" baseline="0">
              <a:solidFill>
                <a:schemeClr val="accent5">
                  <a:lumMod val="75000"/>
                </a:schemeClr>
              </a:solidFill>
            </a:rPr>
            <a:t>These are shown as such as they have NO recorded grade within nDelius.</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Why are there fewer headcount staff showing on this report when I know I have more within my cluster? </a:t>
          </a:r>
          <a:r>
            <a:rPr lang="en-GB" sz="1100">
              <a:solidFill>
                <a:schemeClr val="accent5">
                  <a:lumMod val="75000"/>
                </a:schemeClr>
              </a:solidFill>
              <a:effectLst/>
              <a:latin typeface="+mn-lt"/>
              <a:ea typeface="+mn-ea"/>
              <a:cs typeface="+mn-cs"/>
            </a:rPr>
            <a:t>Because OMs will only appear on WMT if they are holding a case.</a:t>
          </a:r>
        </a:p>
        <a:p>
          <a:endParaRPr lang="en-GB" sz="1100" baseline="0"/>
        </a:p>
        <a:p>
          <a:r>
            <a:rPr lang="en-GB" sz="1100" baseline="0"/>
            <a:t>What are the two figures displayed in relation to CMS? </a:t>
          </a:r>
          <a:r>
            <a:rPr lang="en-GB" sz="1100" baseline="0">
              <a:solidFill>
                <a:schemeClr val="accent5">
                  <a:lumMod val="75000"/>
                </a:schemeClr>
              </a:solidFill>
            </a:rPr>
            <a:t>CMS % of capacity in use is reflective of how much of the work that has been generated was by case management support. e.g. if a certain region shows their PSO capacity in use as 90%, and CMS % of capacity in use is 30%, 30% of the 90% average capacity for PSOs in that region to have been gained by the addition of points to PSOs via CMS activities. CMS % of overall available capacity reflects the average percentage of CMS conducted by PSOs and TPOs in relation to their elgible capacity. The NPS's assumption is that PSOs will conduct 25% of their overall output on CMS activities, so for a PSO working 37 hours per week there is an assumption that they would spend 9 hours and 15 minutes per week on CMS activities. </a:t>
          </a:r>
        </a:p>
        <a:p>
          <a:endParaRPr lang="en-GB" sz="1100" baseline="0"/>
        </a:p>
        <a:p>
          <a:r>
            <a:rPr lang="en-GB" sz="1100" b="0" i="0" u="none" strike="noStrike">
              <a:solidFill>
                <a:sysClr val="windowText" lastClr="000000"/>
              </a:solidFill>
              <a:effectLst/>
              <a:latin typeface="+mn-lt"/>
              <a:ea typeface="+mn-ea"/>
              <a:cs typeface="+mn-cs"/>
            </a:rPr>
            <a:t>Why is</a:t>
          </a:r>
          <a:r>
            <a:rPr lang="en-GB" sz="1100" b="0" i="0" u="none" strike="noStrike" baseline="0">
              <a:solidFill>
                <a:sysClr val="windowText" lastClr="000000"/>
              </a:solidFill>
              <a:effectLst/>
              <a:latin typeface="+mn-lt"/>
              <a:ea typeface="+mn-ea"/>
              <a:cs typeface="+mn-cs"/>
            </a:rPr>
            <a:t> their a difference in the numbers shown for PO/PSO/TPO contracted hours as opposed to the contracted hours shown overall? </a:t>
          </a:r>
          <a:r>
            <a:rPr lang="en-GB" sz="1100" b="0" i="0" u="none" strike="noStrike" baseline="0">
              <a:solidFill>
                <a:schemeClr val="accent5">
                  <a:lumMod val="75000"/>
                </a:schemeClr>
              </a:solidFill>
              <a:effectLst/>
              <a:latin typeface="+mn-lt"/>
              <a:ea typeface="+mn-ea"/>
              <a:cs typeface="+mn-cs"/>
            </a:rPr>
            <a:t>This is due to SPOs recorded within the WMT showing as 37 contracted hours - SPO Contracted hours should always shows as zero - as they are not contracted to manage offenders within the OMU.</a:t>
          </a:r>
          <a:r>
            <a:rPr lang="en-GB">
              <a:solidFill>
                <a:schemeClr val="accent5">
                  <a:lumMod val="75000"/>
                </a:schemeClr>
              </a:solidFill>
            </a:rPr>
            <a:t> </a:t>
          </a:r>
          <a:r>
            <a:rPr lang="en-GB" sz="1100" b="0" i="0" u="none" strike="noStrike" baseline="0">
              <a:solidFill>
                <a:schemeClr val="accent5">
                  <a:lumMod val="75000"/>
                </a:schemeClr>
              </a:solidFill>
              <a:effectLst/>
              <a:latin typeface="+mn-lt"/>
              <a:ea typeface="+mn-ea"/>
              <a:cs typeface="+mn-cs"/>
            </a:rPr>
            <a:t> </a:t>
          </a:r>
        </a:p>
        <a:p>
          <a:endParaRPr lang="en-GB" sz="1100" baseline="0">
            <a:solidFill>
              <a:schemeClr val="accent5">
                <a:lumMod val="75000"/>
              </a:schemeClr>
            </a:solidFill>
          </a:endParaRPr>
        </a:p>
        <a:p>
          <a:r>
            <a:rPr lang="en-GB" sz="1100" baseline="0">
              <a:solidFill>
                <a:sysClr val="windowText" lastClr="000000"/>
              </a:solidFill>
            </a:rPr>
            <a:t>Why are there duplicate values on the Cluster Top Tens?</a:t>
          </a:r>
        </a:p>
        <a:p>
          <a:r>
            <a:rPr lang="en-GB" sz="1100" baseline="0">
              <a:solidFill>
                <a:schemeClr val="accent5">
                  <a:lumMod val="75000"/>
                </a:schemeClr>
              </a:solidFill>
            </a:rPr>
            <a:t>A limitation with the dashboard is when 2 clusters have the same value Excel will default to the first cluster in a list. It is a rare occurence though and should cause minimal issues.</a:t>
          </a:r>
        </a:p>
        <a:p>
          <a:endParaRPr lang="en-GB" sz="110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do the HMIP tabs show caseload per FTE instead of caseload per OM? </a:t>
          </a:r>
          <a:r>
            <a:rPr lang="en-GB" sz="1100">
              <a:solidFill>
                <a:schemeClr val="accent5">
                  <a:lumMod val="75000"/>
                </a:schemeClr>
              </a:solidFill>
            </a:rPr>
            <a:t>The</a:t>
          </a:r>
          <a:r>
            <a:rPr lang="en-GB" sz="1100" baseline="0">
              <a:solidFill>
                <a:schemeClr val="accent5">
                  <a:lumMod val="75000"/>
                </a:schemeClr>
              </a:solidFill>
            </a:rPr>
            <a:t> number of hours an OM works can vary significantly based on circumstance. Therefore, determining caseload per FTE is a more accurate representation of average workload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5">
                <a:lumMod val="75000"/>
              </a:schemeClr>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Why is the capcity in use different on the HMIP tabs to the other overview tabs? </a:t>
          </a:r>
          <a:r>
            <a:rPr lang="en-GB" sz="1100" baseline="0">
              <a:solidFill>
                <a:schemeClr val="accent5">
                  <a:lumMod val="75000"/>
                </a:schemeClr>
              </a:solidFill>
              <a:latin typeface="+mn-lt"/>
              <a:ea typeface="+mn-ea"/>
              <a:cs typeface="+mn-cs"/>
            </a:rPr>
            <a:t>The Overview tabs show the combined capacity of all OMs in an entire division or cluster divided by the origonally allocated points from that division or cluster to get an overall percentage capacity for that division or cluster. The HMIP tabs show the average capacity of an OM in a region or cluster and excludes OMs who currently do not have any assigned capacity points (hence some variation in results).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593270</xdr:colOff>
      <xdr:row>0</xdr:row>
      <xdr:rowOff>0</xdr:rowOff>
    </xdr:from>
    <xdr:to>
      <xdr:col>1</xdr:col>
      <xdr:colOff>1456763</xdr:colOff>
      <xdr:row>0</xdr:row>
      <xdr:rowOff>664029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600-000002000000}"/>
            </a:ext>
          </a:extLst>
        </xdr:cNvPr>
        <xdr:cNvSpPr/>
      </xdr:nvSpPr>
      <xdr:spPr>
        <a:xfrm>
          <a:off x="593270" y="0"/>
          <a:ext cx="1468611" cy="66402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35719</xdr:colOff>
      <xdr:row>0</xdr:row>
      <xdr:rowOff>666348</xdr:rowOff>
    </xdr:from>
    <xdr:to>
      <xdr:col>10</xdr:col>
      <xdr:colOff>1740713</xdr:colOff>
      <xdr:row>2</xdr:row>
      <xdr:rowOff>22412</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185716CA-EA3F-4A60-A970-E51FB929D0BC}"/>
            </a:ext>
          </a:extLst>
        </xdr:cNvPr>
        <xdr:cNvSpPr/>
      </xdr:nvSpPr>
      <xdr:spPr>
        <a:xfrm>
          <a:off x="12832837" y="666348"/>
          <a:ext cx="1704994" cy="38700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1973034</xdr:colOff>
      <xdr:row>1</xdr:row>
      <xdr:rowOff>12504</xdr:rowOff>
    </xdr:from>
    <xdr:to>
      <xdr:col>12</xdr:col>
      <xdr:colOff>335076</xdr:colOff>
      <xdr:row>2</xdr:row>
      <xdr:rowOff>22791</xdr:rowOff>
    </xdr:to>
    <xdr:sp macro="" textlink="">
      <xdr:nvSpPr>
        <xdr:cNvPr id="4" name="Rounded Rectangle 4">
          <a:hlinkClick xmlns:r="http://schemas.openxmlformats.org/officeDocument/2006/relationships" r:id="rId3"/>
          <a:extLst>
            <a:ext uri="{FF2B5EF4-FFF2-40B4-BE49-F238E27FC236}">
              <a16:creationId xmlns:a16="http://schemas.microsoft.com/office/drawing/2014/main" id="{B65F87C2-0D1D-43AB-9683-9FEAA2871A4F}"/>
            </a:ext>
          </a:extLst>
        </xdr:cNvPr>
        <xdr:cNvSpPr/>
      </xdr:nvSpPr>
      <xdr:spPr>
        <a:xfrm>
          <a:off x="14770152" y="684857"/>
          <a:ext cx="1757424" cy="368875"/>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Team </a:t>
          </a:r>
          <a:r>
            <a:rPr lang="en-GB" sz="120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xdr:from>
      <xdr:col>1</xdr:col>
      <xdr:colOff>1001</xdr:colOff>
      <xdr:row>0</xdr:row>
      <xdr:rowOff>1</xdr:rowOff>
    </xdr:from>
    <xdr:to>
      <xdr:col>1</xdr:col>
      <xdr:colOff>1355343</xdr:colOff>
      <xdr:row>0</xdr:row>
      <xdr:rowOff>654719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95A4D05-B536-4677-B4E1-A8D3D3089E1E}"/>
            </a:ext>
          </a:extLst>
        </xdr:cNvPr>
        <xdr:cNvSpPr/>
      </xdr:nvSpPr>
      <xdr:spPr>
        <a:xfrm>
          <a:off x="606119" y="1"/>
          <a:ext cx="1354342" cy="654718"/>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ln cap="rnd">
                <a:solidFill>
                  <a:schemeClr val="bg1"/>
                </a:solidFill>
                <a:round/>
              </a:ln>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9</xdr:col>
      <xdr:colOff>795617</xdr:colOff>
      <xdr:row>0</xdr:row>
      <xdr:rowOff>18876</xdr:rowOff>
    </xdr:from>
    <xdr:to>
      <xdr:col>11</xdr:col>
      <xdr:colOff>454647</xdr:colOff>
      <xdr:row>1</xdr:row>
      <xdr:rowOff>0</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578CF1DB-27B5-4C20-9752-A5D409893EE4}"/>
            </a:ext>
          </a:extLst>
        </xdr:cNvPr>
        <xdr:cNvSpPr/>
      </xdr:nvSpPr>
      <xdr:spPr>
        <a:xfrm>
          <a:off x="14130617" y="18876"/>
          <a:ext cx="2213971" cy="642271"/>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a:t>
          </a:r>
          <a:r>
            <a:rPr lang="en-GB" sz="1800" b="1" baseline="0">
              <a:solidFill>
                <a:srgbClr val="7030A0"/>
              </a:solidFill>
              <a:latin typeface="Arial" panose="020B0604020202020204" pitchFamily="34" charset="0"/>
              <a:cs typeface="Arial" panose="020B0604020202020204" pitchFamily="34" charset="0"/>
            </a:rPr>
            <a:t>PDU</a:t>
          </a:r>
          <a:r>
            <a:rPr lang="en-GB" sz="1200" b="1" baseline="0">
              <a:solidFill>
                <a:srgbClr val="7030A0"/>
              </a:solidFill>
              <a:latin typeface="Arial" panose="020B0604020202020204" pitchFamily="34" charset="0"/>
              <a:cs typeface="Arial" panose="020B0604020202020204" pitchFamily="34" charset="0"/>
            </a:rPr>
            <a:t> </a:t>
          </a:r>
          <a:r>
            <a:rPr lang="en-GB" sz="1200" b="0" baseline="0">
              <a:solidFill>
                <a:srgbClr val="7030A0"/>
              </a:solidFill>
              <a:latin typeface="Arial" panose="020B0604020202020204" pitchFamily="34" charset="0"/>
              <a:cs typeface="Arial" panose="020B0604020202020204" pitchFamily="34" charset="0"/>
            </a:rPr>
            <a:t>overview</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44159</xdr:colOff>
      <xdr:row>0</xdr:row>
      <xdr:rowOff>26096</xdr:rowOff>
    </xdr:from>
    <xdr:to>
      <xdr:col>1</xdr:col>
      <xdr:colOff>1591849</xdr:colOff>
      <xdr:row>0</xdr:row>
      <xdr:rowOff>808973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F8C55C77-5B0D-4491-8840-298F65E88412}"/>
            </a:ext>
          </a:extLst>
        </xdr:cNvPr>
        <xdr:cNvSpPr/>
      </xdr:nvSpPr>
      <xdr:spPr>
        <a:xfrm>
          <a:off x="631317" y="26096"/>
          <a:ext cx="1547690" cy="782877"/>
        </a:xfrm>
        <a:prstGeom prst="roundRect">
          <a:avLst/>
        </a:prstGeom>
        <a:solidFill>
          <a:schemeClr val="accent1">
            <a:lumMod val="20000"/>
            <a:lumOff val="80000"/>
          </a:schemeClr>
        </a:solidFill>
        <a:ln cap="rnd">
          <a:solidFill>
            <a:schemeClr val="accent1"/>
          </a:solidFill>
          <a:beve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10</xdr:col>
      <xdr:colOff>469726</xdr:colOff>
      <xdr:row>0</xdr:row>
      <xdr:rowOff>33619</xdr:rowOff>
    </xdr:from>
    <xdr:to>
      <xdr:col>12</xdr:col>
      <xdr:colOff>11206</xdr:colOff>
      <xdr:row>0</xdr:row>
      <xdr:rowOff>808973</xdr:rowOff>
    </xdr:to>
    <xdr:sp macro="" textlink="">
      <xdr:nvSpPr>
        <xdr:cNvPr id="3" name="Rounded Rectangle 4">
          <a:hlinkClick xmlns:r="http://schemas.openxmlformats.org/officeDocument/2006/relationships" r:id="rId2"/>
          <a:extLst>
            <a:ext uri="{FF2B5EF4-FFF2-40B4-BE49-F238E27FC236}">
              <a16:creationId xmlns:a16="http://schemas.microsoft.com/office/drawing/2014/main" id="{260DB05D-F13B-4AE9-B23A-4FADD8AE7C74}"/>
            </a:ext>
          </a:extLst>
        </xdr:cNvPr>
        <xdr:cNvSpPr/>
      </xdr:nvSpPr>
      <xdr:spPr>
        <a:xfrm>
          <a:off x="15362344" y="33619"/>
          <a:ext cx="2421391" cy="775354"/>
        </a:xfrm>
        <a:prstGeom prst="roundRect">
          <a:avLst/>
        </a:prstGeom>
        <a:solidFill>
          <a:schemeClr val="accent1">
            <a:lumMod val="20000"/>
            <a:lumOff val="80000"/>
          </a:schemeClr>
        </a:solidFill>
        <a:ln cap="rnd">
          <a:solidFill>
            <a:schemeClr val="accent1"/>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HMIP Regional overview</a:t>
          </a:r>
          <a:endParaRPr lang="en-GB" sz="1400" b="1" baseline="0">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1</xdr:col>
      <xdr:colOff>256</xdr:colOff>
      <xdr:row>0</xdr:row>
      <xdr:rowOff>1</xdr:rowOff>
    </xdr:from>
    <xdr:to>
      <xdr:col>1</xdr:col>
      <xdr:colOff>1535205</xdr:colOff>
      <xdr:row>0</xdr:row>
      <xdr:rowOff>571501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500-000002000000}"/>
            </a:ext>
          </a:extLst>
        </xdr:cNvPr>
        <xdr:cNvSpPr/>
      </xdr:nvSpPr>
      <xdr:spPr>
        <a:xfrm>
          <a:off x="594168" y="1"/>
          <a:ext cx="1534949" cy="57150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endParaRPr lang="en-GB" sz="24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9</xdr:col>
      <xdr:colOff>818030</xdr:colOff>
      <xdr:row>1</xdr:row>
      <xdr:rowOff>5209</xdr:rowOff>
    </xdr:from>
    <xdr:to>
      <xdr:col>10</xdr:col>
      <xdr:colOff>1513331</xdr:colOff>
      <xdr:row>1</xdr:row>
      <xdr:rowOff>452203</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AB217693-4384-4BD4-A389-1480CD75AB84}"/>
            </a:ext>
          </a:extLst>
        </xdr:cNvPr>
        <xdr:cNvSpPr/>
      </xdr:nvSpPr>
      <xdr:spPr>
        <a:xfrm>
          <a:off x="12360089" y="587915"/>
          <a:ext cx="2062418" cy="4469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10</xdr:col>
      <xdr:colOff>1679218</xdr:colOff>
      <xdr:row>0</xdr:row>
      <xdr:rowOff>566769</xdr:rowOff>
    </xdr:from>
    <xdr:to>
      <xdr:col>12</xdr:col>
      <xdr:colOff>324972</xdr:colOff>
      <xdr:row>1</xdr:row>
      <xdr:rowOff>450107</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4FEE9EF5-DB25-4018-B675-5586F8FA252B}"/>
            </a:ext>
          </a:extLst>
        </xdr:cNvPr>
        <xdr:cNvSpPr/>
      </xdr:nvSpPr>
      <xdr:spPr>
        <a:xfrm>
          <a:off x="14588394" y="566769"/>
          <a:ext cx="1525666" cy="46604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Team</a:t>
          </a:r>
          <a:r>
            <a:rPr lang="en-GB" sz="14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469105</xdr:colOff>
      <xdr:row>0</xdr:row>
      <xdr:rowOff>0</xdr:rowOff>
    </xdr:from>
    <xdr:to>
      <xdr:col>1</xdr:col>
      <xdr:colOff>1026584</xdr:colOff>
      <xdr:row>0</xdr:row>
      <xdr:rowOff>518583</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1113245-2D35-435C-BFE9-9CEC3B58B703}"/>
            </a:ext>
          </a:extLst>
        </xdr:cNvPr>
        <xdr:cNvSpPr/>
      </xdr:nvSpPr>
      <xdr:spPr>
        <a:xfrm>
          <a:off x="469105" y="0"/>
          <a:ext cx="1171312" cy="51858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1395677</xdr:colOff>
      <xdr:row>1</xdr:row>
      <xdr:rowOff>5293</xdr:rowOff>
    </xdr:from>
    <xdr:to>
      <xdr:col>12</xdr:col>
      <xdr:colOff>7937</xdr:colOff>
      <xdr:row>1</xdr:row>
      <xdr:rowOff>423712</xdr:rowOff>
    </xdr:to>
    <xdr:sp macro="" textlink="">
      <xdr:nvSpPr>
        <xdr:cNvPr id="4" name="Rounded Rectangle 4">
          <a:hlinkClick xmlns:r="http://schemas.openxmlformats.org/officeDocument/2006/relationships" r:id="rId2"/>
          <a:extLst>
            <a:ext uri="{FF2B5EF4-FFF2-40B4-BE49-F238E27FC236}">
              <a16:creationId xmlns:a16="http://schemas.microsoft.com/office/drawing/2014/main" id="{EA7A666B-BC1E-4E4F-9D60-4670FFDB69D5}"/>
            </a:ext>
          </a:extLst>
        </xdr:cNvPr>
        <xdr:cNvSpPr/>
      </xdr:nvSpPr>
      <xdr:spPr>
        <a:xfrm>
          <a:off x="14455510" y="555626"/>
          <a:ext cx="1501510" cy="41841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PDU</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twoCellAnchor>
    <xdr:from>
      <xdr:col>9</xdr:col>
      <xdr:colOff>1037166</xdr:colOff>
      <xdr:row>1</xdr:row>
      <xdr:rowOff>14153</xdr:rowOff>
    </xdr:from>
    <xdr:to>
      <xdr:col>10</xdr:col>
      <xdr:colOff>1272877</xdr:colOff>
      <xdr:row>1</xdr:row>
      <xdr:rowOff>427286</xdr:rowOff>
    </xdr:to>
    <xdr:sp macro="" textlink="">
      <xdr:nvSpPr>
        <xdr:cNvPr id="5" name="Rounded Rectangle 4">
          <a:hlinkClick xmlns:r="http://schemas.openxmlformats.org/officeDocument/2006/relationships" r:id="rId3"/>
          <a:extLst>
            <a:ext uri="{FF2B5EF4-FFF2-40B4-BE49-F238E27FC236}">
              <a16:creationId xmlns:a16="http://schemas.microsoft.com/office/drawing/2014/main" id="{DEA8F6EA-4D22-43BC-B849-C66BCB52ACEB}"/>
            </a:ext>
          </a:extLst>
        </xdr:cNvPr>
        <xdr:cNvSpPr/>
      </xdr:nvSpPr>
      <xdr:spPr>
        <a:xfrm>
          <a:off x="12731749" y="564486"/>
          <a:ext cx="1600961" cy="41313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overview</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xdr:from>
      <xdr:col>0</xdr:col>
      <xdr:colOff>151039</xdr:colOff>
      <xdr:row>0</xdr:row>
      <xdr:rowOff>11207</xdr:rowOff>
    </xdr:from>
    <xdr:to>
      <xdr:col>1</xdr:col>
      <xdr:colOff>874059</xdr:colOff>
      <xdr:row>0</xdr:row>
      <xdr:rowOff>885265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700-000002000000}"/>
            </a:ext>
          </a:extLst>
        </xdr:cNvPr>
        <xdr:cNvSpPr/>
      </xdr:nvSpPr>
      <xdr:spPr>
        <a:xfrm>
          <a:off x="151039" y="11207"/>
          <a:ext cx="1316932" cy="87405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22</xdr:col>
      <xdr:colOff>293916</xdr:colOff>
      <xdr:row>0</xdr:row>
      <xdr:rowOff>97232</xdr:rowOff>
    </xdr:from>
    <xdr:to>
      <xdr:col>22</xdr:col>
      <xdr:colOff>2161721</xdr:colOff>
      <xdr:row>0</xdr:row>
      <xdr:rowOff>691190</xdr:rowOff>
    </xdr:to>
    <xdr:sp macro="" textlink="">
      <xdr:nvSpPr>
        <xdr:cNvPr id="9" name="Rounded Rectangle 1">
          <a:hlinkClick xmlns:r="http://schemas.openxmlformats.org/officeDocument/2006/relationships" r:id="rId2"/>
          <a:extLst>
            <a:ext uri="{FF2B5EF4-FFF2-40B4-BE49-F238E27FC236}">
              <a16:creationId xmlns:a16="http://schemas.microsoft.com/office/drawing/2014/main" id="{79441E23-5C31-47BD-89F4-7E496D4DFAE4}"/>
            </a:ext>
          </a:extLst>
        </xdr:cNvPr>
        <xdr:cNvSpPr/>
      </xdr:nvSpPr>
      <xdr:spPr>
        <a:xfrm>
          <a:off x="12676416" y="97232"/>
          <a:ext cx="1867805"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218249</xdr:colOff>
      <xdr:row>0</xdr:row>
      <xdr:rowOff>834919</xdr:rowOff>
    </xdr:from>
    <xdr:to>
      <xdr:col>22</xdr:col>
      <xdr:colOff>15902</xdr:colOff>
      <xdr:row>2</xdr:row>
      <xdr:rowOff>11204</xdr:rowOff>
    </xdr:to>
    <xdr:sp macro="" textlink="">
      <xdr:nvSpPr>
        <xdr:cNvPr id="11" name="Rounded Rectangle 1">
          <a:hlinkClick xmlns:r="http://schemas.openxmlformats.org/officeDocument/2006/relationships" r:id="rId3"/>
          <a:extLst>
            <a:ext uri="{FF2B5EF4-FFF2-40B4-BE49-F238E27FC236}">
              <a16:creationId xmlns:a16="http://schemas.microsoft.com/office/drawing/2014/main" id="{EB039528-D08B-4C3B-83F5-BDB87FDCC4E9}"/>
            </a:ext>
          </a:extLst>
        </xdr:cNvPr>
        <xdr:cNvSpPr/>
      </xdr:nvSpPr>
      <xdr:spPr>
        <a:xfrm>
          <a:off x="15917690" y="834919"/>
          <a:ext cx="1747477" cy="7226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338098</xdr:colOff>
      <xdr:row>0</xdr:row>
      <xdr:rowOff>847867</xdr:rowOff>
    </xdr:from>
    <xdr:to>
      <xdr:col>22</xdr:col>
      <xdr:colOff>2176823</xdr:colOff>
      <xdr:row>2</xdr:row>
      <xdr:rowOff>22410</xdr:rowOff>
    </xdr:to>
    <xdr:sp macro="" textlink="">
      <xdr:nvSpPr>
        <xdr:cNvPr id="12" name="Rounded Rectangle 1">
          <a:hlinkClick xmlns:r="http://schemas.openxmlformats.org/officeDocument/2006/relationships" r:id="rId4"/>
          <a:extLst>
            <a:ext uri="{FF2B5EF4-FFF2-40B4-BE49-F238E27FC236}">
              <a16:creationId xmlns:a16="http://schemas.microsoft.com/office/drawing/2014/main" id="{2F0855F0-4F38-44D7-B22B-224CDEFB64DD}"/>
            </a:ext>
          </a:extLst>
        </xdr:cNvPr>
        <xdr:cNvSpPr/>
      </xdr:nvSpPr>
      <xdr:spPr>
        <a:xfrm>
          <a:off x="17987363" y="847867"/>
          <a:ext cx="1838725" cy="72095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2409905</xdr:colOff>
      <xdr:row>0</xdr:row>
      <xdr:rowOff>840441</xdr:rowOff>
    </xdr:from>
    <xdr:to>
      <xdr:col>24</xdr:col>
      <xdr:colOff>425824</xdr:colOff>
      <xdr:row>1</xdr:row>
      <xdr:rowOff>638733</xdr:rowOff>
    </xdr:to>
    <xdr:sp macro="" textlink="">
      <xdr:nvSpPr>
        <xdr:cNvPr id="13" name="Rounded Rectangle 1">
          <a:hlinkClick xmlns:r="http://schemas.openxmlformats.org/officeDocument/2006/relationships" r:id="rId5"/>
          <a:extLst>
            <a:ext uri="{FF2B5EF4-FFF2-40B4-BE49-F238E27FC236}">
              <a16:creationId xmlns:a16="http://schemas.microsoft.com/office/drawing/2014/main" id="{F1AD8DDB-CA82-4B7B-9E27-A1089850F934}"/>
            </a:ext>
          </a:extLst>
        </xdr:cNvPr>
        <xdr:cNvSpPr/>
      </xdr:nvSpPr>
      <xdr:spPr>
        <a:xfrm>
          <a:off x="20059170" y="840441"/>
          <a:ext cx="2083654" cy="6947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22</xdr:col>
      <xdr:colOff>2406069</xdr:colOff>
      <xdr:row>0</xdr:row>
      <xdr:rowOff>108856</xdr:rowOff>
    </xdr:from>
    <xdr:to>
      <xdr:col>24</xdr:col>
      <xdr:colOff>130219</xdr:colOff>
      <xdr:row>0</xdr:row>
      <xdr:rowOff>728930</xdr:rowOff>
    </xdr:to>
    <xdr:sp macro="" textlink="">
      <xdr:nvSpPr>
        <xdr:cNvPr id="14" name="Rounded Rectangle 1">
          <a:hlinkClick xmlns:r="http://schemas.openxmlformats.org/officeDocument/2006/relationships" r:id="rId6"/>
          <a:extLst>
            <a:ext uri="{FF2B5EF4-FFF2-40B4-BE49-F238E27FC236}">
              <a16:creationId xmlns:a16="http://schemas.microsoft.com/office/drawing/2014/main" id="{C4EE2FFD-5E09-43DE-96C4-F9FAF9237FC5}"/>
            </a:ext>
          </a:extLst>
        </xdr:cNvPr>
        <xdr:cNvSpPr/>
      </xdr:nvSpPr>
      <xdr:spPr>
        <a:xfrm>
          <a:off x="14788569" y="108856"/>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176893</xdr:colOff>
      <xdr:row>0</xdr:row>
      <xdr:rowOff>95250</xdr:rowOff>
    </xdr:from>
    <xdr:to>
      <xdr:col>21</xdr:col>
      <xdr:colOff>609071</xdr:colOff>
      <xdr:row>0</xdr:row>
      <xdr:rowOff>689208</xdr:rowOff>
    </xdr:to>
    <xdr:sp macro="" textlink="">
      <xdr:nvSpPr>
        <xdr:cNvPr id="16" name="Rounded Rectangle 1">
          <a:hlinkClick xmlns:r="http://schemas.openxmlformats.org/officeDocument/2006/relationships" r:id="rId7"/>
          <a:extLst>
            <a:ext uri="{FF2B5EF4-FFF2-40B4-BE49-F238E27FC236}">
              <a16:creationId xmlns:a16="http://schemas.microsoft.com/office/drawing/2014/main" id="{2518E166-C5E6-49C3-BB78-DCDEC2EE9686}"/>
            </a:ext>
          </a:extLst>
        </xdr:cNvPr>
        <xdr:cNvSpPr/>
      </xdr:nvSpPr>
      <xdr:spPr>
        <a:xfrm>
          <a:off x="10586357" y="95250"/>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16</xdr:col>
      <xdr:colOff>54428</xdr:colOff>
      <xdr:row>0</xdr:row>
      <xdr:rowOff>149678</xdr:rowOff>
    </xdr:from>
    <xdr:to>
      <xdr:col>18</xdr:col>
      <xdr:colOff>500214</xdr:colOff>
      <xdr:row>0</xdr:row>
      <xdr:rowOff>743636</xdr:rowOff>
    </xdr:to>
    <xdr:sp macro="" textlink="">
      <xdr:nvSpPr>
        <xdr:cNvPr id="15" name="Rounded Rectangle 1">
          <a:hlinkClick xmlns:r="http://schemas.openxmlformats.org/officeDocument/2006/relationships" r:id="rId8"/>
          <a:extLst>
            <a:ext uri="{FF2B5EF4-FFF2-40B4-BE49-F238E27FC236}">
              <a16:creationId xmlns:a16="http://schemas.microsoft.com/office/drawing/2014/main" id="{B274543B-6E1A-4A1F-B098-1563AD56A317}"/>
            </a:ext>
          </a:extLst>
        </xdr:cNvPr>
        <xdr:cNvSpPr/>
      </xdr:nvSpPr>
      <xdr:spPr>
        <a:xfrm>
          <a:off x="8395607" y="149678"/>
          <a:ext cx="1792893"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xdr:from>
      <xdr:col>0</xdr:col>
      <xdr:colOff>151039</xdr:colOff>
      <xdr:row>0</xdr:row>
      <xdr:rowOff>247649</xdr:rowOff>
    </xdr:from>
    <xdr:to>
      <xdr:col>1</xdr:col>
      <xdr:colOff>713015</xdr:colOff>
      <xdr:row>0</xdr:row>
      <xdr:rowOff>748392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5D96D643-CEC8-4476-B3C6-83C98F08873C}"/>
            </a:ext>
          </a:extLst>
        </xdr:cNvPr>
        <xdr:cNvSpPr/>
      </xdr:nvSpPr>
      <xdr:spPr>
        <a:xfrm>
          <a:off x="151039" y="247649"/>
          <a:ext cx="1171576" cy="50074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25</xdr:col>
      <xdr:colOff>348344</xdr:colOff>
      <xdr:row>0</xdr:row>
      <xdr:rowOff>97232</xdr:rowOff>
    </xdr:from>
    <xdr:to>
      <xdr:col>27</xdr:col>
      <xdr:colOff>542471</xdr:colOff>
      <xdr:row>0</xdr:row>
      <xdr:rowOff>691190</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C789B312-9FA8-453D-8FBD-C88D50351FC9}"/>
            </a:ext>
          </a:extLst>
        </xdr:cNvPr>
        <xdr:cNvSpPr/>
      </xdr:nvSpPr>
      <xdr:spPr>
        <a:xfrm>
          <a:off x="13873844" y="97232"/>
          <a:ext cx="155484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28</xdr:col>
      <xdr:colOff>106462</xdr:colOff>
      <xdr:row>0</xdr:row>
      <xdr:rowOff>95248</xdr:rowOff>
    </xdr:from>
    <xdr:to>
      <xdr:col>31</xdr:col>
      <xdr:colOff>95250</xdr:colOff>
      <xdr:row>0</xdr:row>
      <xdr:rowOff>715322</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66071803-C699-455A-A48A-5088E5415590}"/>
            </a:ext>
          </a:extLst>
        </xdr:cNvPr>
        <xdr:cNvSpPr/>
      </xdr:nvSpPr>
      <xdr:spPr>
        <a:xfrm>
          <a:off x="15999605" y="95248"/>
          <a:ext cx="1825752"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24</xdr:col>
      <xdr:colOff>493055</xdr:colOff>
      <xdr:row>1</xdr:row>
      <xdr:rowOff>7426</xdr:rowOff>
    </xdr:from>
    <xdr:to>
      <xdr:col>27</xdr:col>
      <xdr:colOff>232599</xdr:colOff>
      <xdr:row>2</xdr:row>
      <xdr:rowOff>14406</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D7AF0CA9-8E57-46B7-9E12-3713FEDEEB73}"/>
            </a:ext>
          </a:extLst>
        </xdr:cNvPr>
        <xdr:cNvSpPr/>
      </xdr:nvSpPr>
      <xdr:spPr>
        <a:xfrm>
          <a:off x="18814673" y="836661"/>
          <a:ext cx="1756602" cy="54486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27</xdr:col>
      <xdr:colOff>563411</xdr:colOff>
      <xdr:row>1</xdr:row>
      <xdr:rowOff>10388</xdr:rowOff>
    </xdr:from>
    <xdr:to>
      <xdr:col>31</xdr:col>
      <xdr:colOff>112055</xdr:colOff>
      <xdr:row>2</xdr:row>
      <xdr:rowOff>23213</xdr:rowOff>
    </xdr:to>
    <xdr:sp macro="" textlink="">
      <xdr:nvSpPr>
        <xdr:cNvPr id="11" name="Rounded Rectangle 1">
          <a:hlinkClick xmlns:r="http://schemas.openxmlformats.org/officeDocument/2006/relationships" r:id="rId5"/>
          <a:extLst>
            <a:ext uri="{FF2B5EF4-FFF2-40B4-BE49-F238E27FC236}">
              <a16:creationId xmlns:a16="http://schemas.microsoft.com/office/drawing/2014/main" id="{15E16ED1-3F21-4E68-A73C-AD6C6B8EA6C2}"/>
            </a:ext>
          </a:extLst>
        </xdr:cNvPr>
        <xdr:cNvSpPr/>
      </xdr:nvSpPr>
      <xdr:spPr>
        <a:xfrm>
          <a:off x="20902087" y="839623"/>
          <a:ext cx="2002733" cy="55070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20</xdr:col>
      <xdr:colOff>2272391</xdr:colOff>
      <xdr:row>0</xdr:row>
      <xdr:rowOff>108856</xdr:rowOff>
    </xdr:from>
    <xdr:to>
      <xdr:col>22</xdr:col>
      <xdr:colOff>476249</xdr:colOff>
      <xdr:row>0</xdr:row>
      <xdr:rowOff>734785</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7A80AC0C-9E01-48D8-9AD4-1637E75DD8F3}"/>
            </a:ext>
          </a:extLst>
        </xdr:cNvPr>
        <xdr:cNvSpPr/>
      </xdr:nvSpPr>
      <xdr:spPr>
        <a:xfrm>
          <a:off x="10980962" y="108856"/>
          <a:ext cx="1306287" cy="6259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22</xdr:col>
      <xdr:colOff>535214</xdr:colOff>
      <xdr:row>0</xdr:row>
      <xdr:rowOff>108857</xdr:rowOff>
    </xdr:from>
    <xdr:to>
      <xdr:col>25</xdr:col>
      <xdr:colOff>252261</xdr:colOff>
      <xdr:row>0</xdr:row>
      <xdr:rowOff>702815</xdr:rowOff>
    </xdr:to>
    <xdr:sp macro="" textlink="">
      <xdr:nvSpPr>
        <xdr:cNvPr id="12" name="Rounded Rectangle 1">
          <a:hlinkClick xmlns:r="http://schemas.openxmlformats.org/officeDocument/2006/relationships" r:id="rId7"/>
          <a:extLst>
            <a:ext uri="{FF2B5EF4-FFF2-40B4-BE49-F238E27FC236}">
              <a16:creationId xmlns:a16="http://schemas.microsoft.com/office/drawing/2014/main" id="{23C12429-6138-4142-B62A-13AF95AB39EA}"/>
            </a:ext>
          </a:extLst>
        </xdr:cNvPr>
        <xdr:cNvSpPr/>
      </xdr:nvSpPr>
      <xdr:spPr>
        <a:xfrm>
          <a:off x="12681857" y="108857"/>
          <a:ext cx="1839761"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p>
        <a:p>
          <a:pPr algn="ct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589108</xdr:colOff>
      <xdr:row>1</xdr:row>
      <xdr:rowOff>14407</xdr:rowOff>
    </xdr:from>
    <xdr:to>
      <xdr:col>24</xdr:col>
      <xdr:colOff>195816</xdr:colOff>
      <xdr:row>2</xdr:row>
      <xdr:rowOff>8003</xdr:rowOff>
    </xdr:to>
    <xdr:sp macro="" textlink="">
      <xdr:nvSpPr>
        <xdr:cNvPr id="14" name="Rounded Rectangle 1">
          <a:hlinkClick xmlns:r="http://schemas.openxmlformats.org/officeDocument/2006/relationships" r:id="rId8"/>
          <a:extLst>
            <a:ext uri="{FF2B5EF4-FFF2-40B4-BE49-F238E27FC236}">
              <a16:creationId xmlns:a16="http://schemas.microsoft.com/office/drawing/2014/main" id="{63A62803-61AA-444E-B8D0-C7798E358CCA}"/>
            </a:ext>
          </a:extLst>
        </xdr:cNvPr>
        <xdr:cNvSpPr/>
      </xdr:nvSpPr>
      <xdr:spPr>
        <a:xfrm>
          <a:off x="16804020" y="843642"/>
          <a:ext cx="1713414" cy="531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1</xdr:col>
      <xdr:colOff>135029</xdr:colOff>
      <xdr:row>0</xdr:row>
      <xdr:rowOff>33618</xdr:rowOff>
    </xdr:from>
    <xdr:to>
      <xdr:col>1</xdr:col>
      <xdr:colOff>1423147</xdr:colOff>
      <xdr:row>0</xdr:row>
      <xdr:rowOff>784412</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800-000002000000}"/>
            </a:ext>
          </a:extLst>
        </xdr:cNvPr>
        <xdr:cNvSpPr/>
      </xdr:nvSpPr>
      <xdr:spPr>
        <a:xfrm>
          <a:off x="291911" y="33618"/>
          <a:ext cx="1288118" cy="75079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2193311</xdr:colOff>
      <xdr:row>0</xdr:row>
      <xdr:rowOff>117502</xdr:rowOff>
    </xdr:from>
    <xdr:to>
      <xdr:col>22</xdr:col>
      <xdr:colOff>323850</xdr:colOff>
      <xdr:row>0</xdr:row>
      <xdr:rowOff>711460</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430B05CE-6A5A-4CC5-B491-A5303BE226EB}"/>
            </a:ext>
          </a:extLst>
        </xdr:cNvPr>
        <xdr:cNvSpPr/>
      </xdr:nvSpPr>
      <xdr:spPr>
        <a:xfrm>
          <a:off x="14804411" y="117502"/>
          <a:ext cx="1511914"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549087</xdr:colOff>
      <xdr:row>0</xdr:row>
      <xdr:rowOff>381001</xdr:rowOff>
    </xdr:from>
    <xdr:to>
      <xdr:col>29</xdr:col>
      <xdr:colOff>504825</xdr:colOff>
      <xdr:row>1</xdr:row>
      <xdr:rowOff>347383</xdr:rowOff>
    </xdr:to>
    <xdr:sp macro="" textlink="">
      <xdr:nvSpPr>
        <xdr:cNvPr id="13" name="Rounded Rectangle 1">
          <a:hlinkClick xmlns:r="http://schemas.openxmlformats.org/officeDocument/2006/relationships" r:id="rId3"/>
          <a:extLst>
            <a:ext uri="{FF2B5EF4-FFF2-40B4-BE49-F238E27FC236}">
              <a16:creationId xmlns:a16="http://schemas.microsoft.com/office/drawing/2014/main" id="{0F9A821E-6EB7-401E-AC1A-7B68C78A9791}"/>
            </a:ext>
          </a:extLst>
        </xdr:cNvPr>
        <xdr:cNvSpPr/>
      </xdr:nvSpPr>
      <xdr:spPr>
        <a:xfrm>
          <a:off x="18903762" y="381001"/>
          <a:ext cx="1727388" cy="7664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 </a:t>
          </a:r>
        </a:p>
        <a:p>
          <a:pPr algn="ct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20</xdr:col>
      <xdr:colOff>23531</xdr:colOff>
      <xdr:row>1</xdr:row>
      <xdr:rowOff>192584</xdr:rowOff>
    </xdr:from>
    <xdr:to>
      <xdr:col>22</xdr:col>
      <xdr:colOff>583985</xdr:colOff>
      <xdr:row>2</xdr:row>
      <xdr:rowOff>13290</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D4B7BD73-1640-4A18-8DD6-C1602D362B67}"/>
            </a:ext>
          </a:extLst>
        </xdr:cNvPr>
        <xdr:cNvSpPr/>
      </xdr:nvSpPr>
      <xdr:spPr>
        <a:xfrm>
          <a:off x="9626972" y="988202"/>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212751</xdr:colOff>
      <xdr:row>1</xdr:row>
      <xdr:rowOff>179297</xdr:rowOff>
    </xdr:from>
    <xdr:to>
      <xdr:col>26</xdr:col>
      <xdr:colOff>168087</xdr:colOff>
      <xdr:row>2</xdr:row>
      <xdr:rowOff>3</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3D0F9FB8-B443-4DF0-960E-5BA599C0D7C4}"/>
            </a:ext>
          </a:extLst>
        </xdr:cNvPr>
        <xdr:cNvSpPr/>
      </xdr:nvSpPr>
      <xdr:spPr>
        <a:xfrm>
          <a:off x="11631545" y="974915"/>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 </a:t>
          </a:r>
          <a:r>
            <a:rPr lang="en-GB" sz="1200" baseline="0">
              <a:solidFill>
                <a:srgbClr val="7030A0"/>
              </a:solidFill>
              <a:latin typeface="Arial" panose="020B0604020202020204" pitchFamily="34" charset="0"/>
              <a:cs typeface="Arial" panose="020B0604020202020204" pitchFamily="34" charset="0"/>
            </a:rPr>
            <a:t>caseload percentage</a:t>
          </a:r>
        </a:p>
      </xdr:txBody>
    </xdr:sp>
    <xdr:clientData fPrintsWithSheet="0"/>
  </xdr:twoCellAnchor>
  <xdr:twoCellAnchor>
    <xdr:from>
      <xdr:col>23</xdr:col>
      <xdr:colOff>161691</xdr:colOff>
      <xdr:row>0</xdr:row>
      <xdr:rowOff>99510</xdr:rowOff>
    </xdr:from>
    <xdr:to>
      <xdr:col>26</xdr:col>
      <xdr:colOff>139024</xdr:colOff>
      <xdr:row>0</xdr:row>
      <xdr:rowOff>719584</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8725B7B9-E641-431B-869F-FBEB794DDD53}"/>
            </a:ext>
          </a:extLst>
        </xdr:cNvPr>
        <xdr:cNvSpPr/>
      </xdr:nvSpPr>
      <xdr:spPr>
        <a:xfrm>
          <a:off x="11580485" y="99510"/>
          <a:ext cx="1792686" cy="62007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593913</xdr:colOff>
      <xdr:row>0</xdr:row>
      <xdr:rowOff>89649</xdr:rowOff>
    </xdr:from>
    <xdr:to>
      <xdr:col>19</xdr:col>
      <xdr:colOff>1927413</xdr:colOff>
      <xdr:row>0</xdr:row>
      <xdr:rowOff>705971</xdr:rowOff>
    </xdr:to>
    <xdr:sp macro="" textlink="">
      <xdr:nvSpPr>
        <xdr:cNvPr id="20" name="Rounded Rectangle 1">
          <a:hlinkClick xmlns:r="http://schemas.openxmlformats.org/officeDocument/2006/relationships" r:id="rId7"/>
          <a:extLst>
            <a:ext uri="{FF2B5EF4-FFF2-40B4-BE49-F238E27FC236}">
              <a16:creationId xmlns:a16="http://schemas.microsoft.com/office/drawing/2014/main" id="{58E32077-9BE4-45F7-9209-2A661A67E90D}"/>
            </a:ext>
          </a:extLst>
        </xdr:cNvPr>
        <xdr:cNvSpPr/>
      </xdr:nvSpPr>
      <xdr:spPr>
        <a:xfrm>
          <a:off x="8001001" y="89649"/>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571499</xdr:colOff>
      <xdr:row>1</xdr:row>
      <xdr:rowOff>89647</xdr:rowOff>
    </xdr:from>
    <xdr:to>
      <xdr:col>19</xdr:col>
      <xdr:colOff>1904999</xdr:colOff>
      <xdr:row>1</xdr:row>
      <xdr:rowOff>705969</xdr:rowOff>
    </xdr:to>
    <xdr:sp macro="" textlink="">
      <xdr:nvSpPr>
        <xdr:cNvPr id="9" name="Rounded Rectangle 1">
          <a:hlinkClick xmlns:r="http://schemas.openxmlformats.org/officeDocument/2006/relationships" r:id="rId8"/>
          <a:extLst>
            <a:ext uri="{FF2B5EF4-FFF2-40B4-BE49-F238E27FC236}">
              <a16:creationId xmlns:a16="http://schemas.microsoft.com/office/drawing/2014/main" id="{315936D6-945B-480A-9CB7-7BE16FBE4A08}"/>
            </a:ext>
          </a:extLst>
        </xdr:cNvPr>
        <xdr:cNvSpPr/>
      </xdr:nvSpPr>
      <xdr:spPr>
        <a:xfrm>
          <a:off x="7978587" y="885265"/>
          <a:ext cx="1333500" cy="61632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1</xdr:col>
      <xdr:colOff>71093</xdr:colOff>
      <xdr:row>0</xdr:row>
      <xdr:rowOff>11207</xdr:rowOff>
    </xdr:from>
    <xdr:to>
      <xdr:col>1</xdr:col>
      <xdr:colOff>1423148</xdr:colOff>
      <xdr:row>0</xdr:row>
      <xdr:rowOff>750795</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00000000-0008-0000-0900-000002000000}"/>
            </a:ext>
          </a:extLst>
        </xdr:cNvPr>
        <xdr:cNvSpPr/>
      </xdr:nvSpPr>
      <xdr:spPr>
        <a:xfrm>
          <a:off x="216769" y="11207"/>
          <a:ext cx="1352055" cy="739588"/>
        </a:xfrm>
        <a:prstGeom prst="roundRect">
          <a:avLst/>
        </a:prstGeom>
        <a:solidFill>
          <a:schemeClr val="accent1">
            <a:lumMod val="20000"/>
            <a:lumOff val="80000"/>
          </a:schemeClr>
        </a:solidFill>
        <a:ln>
          <a:solidFill>
            <a:srgbClr val="00B0F0"/>
          </a:solidFill>
        </a:ln>
        <a:effectLst>
          <a:reflection stA="45000" endPos="8000" dist="50800" dir="5400000" sy="-100000" algn="bl" rotWithShape="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endParaRPr lang="en-GB" sz="18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22</xdr:col>
      <xdr:colOff>126467</xdr:colOff>
      <xdr:row>1</xdr:row>
      <xdr:rowOff>4547</xdr:rowOff>
    </xdr:from>
    <xdr:to>
      <xdr:col>24</xdr:col>
      <xdr:colOff>470646</xdr:colOff>
      <xdr:row>1</xdr:row>
      <xdr:rowOff>571216</xdr:rowOff>
    </xdr:to>
    <xdr:sp macro="" textlink="">
      <xdr:nvSpPr>
        <xdr:cNvPr id="11" name="Rounded Rectangle 1">
          <a:hlinkClick xmlns:r="http://schemas.openxmlformats.org/officeDocument/2006/relationships" r:id="rId2"/>
          <a:extLst>
            <a:ext uri="{FF2B5EF4-FFF2-40B4-BE49-F238E27FC236}">
              <a16:creationId xmlns:a16="http://schemas.microsoft.com/office/drawing/2014/main" id="{8A17DB77-FCBD-4AC5-BC23-C008C769EF55}"/>
            </a:ext>
          </a:extLst>
        </xdr:cNvPr>
        <xdr:cNvSpPr/>
      </xdr:nvSpPr>
      <xdr:spPr>
        <a:xfrm>
          <a:off x="16374996" y="777753"/>
          <a:ext cx="1554415" cy="56666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26</xdr:col>
      <xdr:colOff>483082</xdr:colOff>
      <xdr:row>0</xdr:row>
      <xdr:rowOff>84044</xdr:rowOff>
    </xdr:from>
    <xdr:to>
      <xdr:col>29</xdr:col>
      <xdr:colOff>238425</xdr:colOff>
      <xdr:row>0</xdr:row>
      <xdr:rowOff>664975</xdr:rowOff>
    </xdr:to>
    <xdr:sp macro="" textlink="">
      <xdr:nvSpPr>
        <xdr:cNvPr id="12" name="Rounded Rectangle 1">
          <a:hlinkClick xmlns:r="http://schemas.openxmlformats.org/officeDocument/2006/relationships" r:id="rId3"/>
          <a:extLst>
            <a:ext uri="{FF2B5EF4-FFF2-40B4-BE49-F238E27FC236}">
              <a16:creationId xmlns:a16="http://schemas.microsoft.com/office/drawing/2014/main" id="{42E8B3DF-C138-4ECE-8792-ECDA18F32DF0}"/>
            </a:ext>
          </a:extLst>
        </xdr:cNvPr>
        <xdr:cNvSpPr/>
      </xdr:nvSpPr>
      <xdr:spPr>
        <a:xfrm>
          <a:off x="19152082" y="84044"/>
          <a:ext cx="1570696" cy="5809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330762</xdr:colOff>
      <xdr:row>1</xdr:row>
      <xdr:rowOff>17614</xdr:rowOff>
    </xdr:from>
    <xdr:to>
      <xdr:col>30</xdr:col>
      <xdr:colOff>291353</xdr:colOff>
      <xdr:row>2</xdr:row>
      <xdr:rowOff>5786</xdr:rowOff>
    </xdr:to>
    <xdr:sp macro="" textlink="">
      <xdr:nvSpPr>
        <xdr:cNvPr id="14" name="Rounded Rectangle 1">
          <a:hlinkClick xmlns:r="http://schemas.openxmlformats.org/officeDocument/2006/relationships" r:id="rId4"/>
          <a:extLst>
            <a:ext uri="{FF2B5EF4-FFF2-40B4-BE49-F238E27FC236}">
              <a16:creationId xmlns:a16="http://schemas.microsoft.com/office/drawing/2014/main" id="{19F214F7-515F-412D-892D-EDEBE6B99A5C}"/>
            </a:ext>
          </a:extLst>
        </xdr:cNvPr>
        <xdr:cNvSpPr/>
      </xdr:nvSpPr>
      <xdr:spPr>
        <a:xfrm>
          <a:off x="19604880" y="790820"/>
          <a:ext cx="1775944" cy="59329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30</xdr:col>
      <xdr:colOff>474957</xdr:colOff>
      <xdr:row>1</xdr:row>
      <xdr:rowOff>15393</xdr:rowOff>
    </xdr:from>
    <xdr:to>
      <xdr:col>33</xdr:col>
      <xdr:colOff>386670</xdr:colOff>
      <xdr:row>1</xdr:row>
      <xdr:rowOff>595429</xdr:rowOff>
    </xdr:to>
    <xdr:sp macro="" textlink="">
      <xdr:nvSpPr>
        <xdr:cNvPr id="15" name="Rounded Rectangle 1">
          <a:hlinkClick xmlns:r="http://schemas.openxmlformats.org/officeDocument/2006/relationships" r:id="rId5"/>
          <a:extLst>
            <a:ext uri="{FF2B5EF4-FFF2-40B4-BE49-F238E27FC236}">
              <a16:creationId xmlns:a16="http://schemas.microsoft.com/office/drawing/2014/main" id="{A056CFF0-C3BB-4188-9AFD-F0C1B9630991}"/>
            </a:ext>
          </a:extLst>
        </xdr:cNvPr>
        <xdr:cNvSpPr/>
      </xdr:nvSpPr>
      <xdr:spPr>
        <a:xfrm>
          <a:off x="21770136" y="791000"/>
          <a:ext cx="1748677" cy="580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29</xdr:col>
      <xdr:colOff>437302</xdr:colOff>
      <xdr:row>0</xdr:row>
      <xdr:rowOff>77857</xdr:rowOff>
    </xdr:from>
    <xdr:to>
      <xdr:col>32</xdr:col>
      <xdr:colOff>300624</xdr:colOff>
      <xdr:row>0</xdr:row>
      <xdr:rowOff>694429</xdr:rowOff>
    </xdr:to>
    <xdr:sp macro="" textlink="">
      <xdr:nvSpPr>
        <xdr:cNvPr id="16" name="Rounded Rectangle 1">
          <a:hlinkClick xmlns:r="http://schemas.openxmlformats.org/officeDocument/2006/relationships" r:id="rId6"/>
          <a:extLst>
            <a:ext uri="{FF2B5EF4-FFF2-40B4-BE49-F238E27FC236}">
              <a16:creationId xmlns:a16="http://schemas.microsoft.com/office/drawing/2014/main" id="{B7966E71-FAF1-47D8-AF69-60100EC96364}"/>
            </a:ext>
          </a:extLst>
        </xdr:cNvPr>
        <xdr:cNvSpPr/>
      </xdr:nvSpPr>
      <xdr:spPr>
        <a:xfrm>
          <a:off x="20921655" y="77857"/>
          <a:ext cx="1678675" cy="61657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23</xdr:col>
      <xdr:colOff>560293</xdr:colOff>
      <xdr:row>0</xdr:row>
      <xdr:rowOff>90263</xdr:rowOff>
    </xdr:from>
    <xdr:to>
      <xdr:col>26</xdr:col>
      <xdr:colOff>291353</xdr:colOff>
      <xdr:row>0</xdr:row>
      <xdr:rowOff>659383</xdr:rowOff>
    </xdr:to>
    <xdr:sp macro="" textlink="">
      <xdr:nvSpPr>
        <xdr:cNvPr id="17" name="Rounded Rectangle 1">
          <a:hlinkClick xmlns:r="http://schemas.openxmlformats.org/officeDocument/2006/relationships" r:id="rId7"/>
          <a:extLst>
            <a:ext uri="{FF2B5EF4-FFF2-40B4-BE49-F238E27FC236}">
              <a16:creationId xmlns:a16="http://schemas.microsoft.com/office/drawing/2014/main" id="{6094617C-5178-424C-AA66-CAF88607D332}"/>
            </a:ext>
          </a:extLst>
        </xdr:cNvPr>
        <xdr:cNvSpPr/>
      </xdr:nvSpPr>
      <xdr:spPr>
        <a:xfrm>
          <a:off x="17413940" y="90263"/>
          <a:ext cx="1546413" cy="56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25</xdr:col>
      <xdr:colOff>33618</xdr:colOff>
      <xdr:row>1</xdr:row>
      <xdr:rowOff>29599</xdr:rowOff>
    </xdr:from>
    <xdr:to>
      <xdr:col>27</xdr:col>
      <xdr:colOff>156881</xdr:colOff>
      <xdr:row>2</xdr:row>
      <xdr:rowOff>517</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72BA0468-9D0B-4EA6-9FD1-DC9A8F84AA6B}"/>
            </a:ext>
          </a:extLst>
        </xdr:cNvPr>
        <xdr:cNvSpPr/>
      </xdr:nvSpPr>
      <xdr:spPr>
        <a:xfrm>
          <a:off x="18097500" y="802805"/>
          <a:ext cx="1333499" cy="57603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xdr:from>
      <xdr:col>1</xdr:col>
      <xdr:colOff>227481</xdr:colOff>
      <xdr:row>0</xdr:row>
      <xdr:rowOff>22413</xdr:rowOff>
    </xdr:from>
    <xdr:to>
      <xdr:col>1</xdr:col>
      <xdr:colOff>1221441</xdr:colOff>
      <xdr:row>0</xdr:row>
      <xdr:rowOff>830917</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B00-000002000000}"/>
            </a:ext>
          </a:extLst>
        </xdr:cNvPr>
        <xdr:cNvSpPr/>
      </xdr:nvSpPr>
      <xdr:spPr>
        <a:xfrm>
          <a:off x="227481" y="22413"/>
          <a:ext cx="993960" cy="808504"/>
        </a:xfrm>
        <a:prstGeom prst="roundRect">
          <a:avLst>
            <a:gd name="adj" fmla="val 0"/>
          </a:avLst>
        </a:prstGeom>
        <a:solidFill>
          <a:schemeClr val="accent1">
            <a:lumMod val="20000"/>
            <a:lumOff val="80000"/>
          </a:schemeClr>
        </a:solidFill>
        <a:ln cap="flat">
          <a:solidFill>
            <a:srgbClr val="00B0F0"/>
          </a:solidFill>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376786</xdr:colOff>
      <xdr:row>0</xdr:row>
      <xdr:rowOff>792535</xdr:rowOff>
    </xdr:from>
    <xdr:to>
      <xdr:col>5</xdr:col>
      <xdr:colOff>313765</xdr:colOff>
      <xdr:row>2</xdr:row>
      <xdr:rowOff>42021</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B00-000003000000}"/>
            </a:ext>
          </a:extLst>
        </xdr:cNvPr>
        <xdr:cNvSpPr/>
      </xdr:nvSpPr>
      <xdr:spPr>
        <a:xfrm>
          <a:off x="5240139" y="792535"/>
          <a:ext cx="1886802" cy="65022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a:t>
          </a:r>
          <a:r>
            <a:rPr lang="en-GB" sz="1400">
              <a:solidFill>
                <a:srgbClr val="7030A0"/>
              </a:solidFill>
              <a:latin typeface="Arial" panose="020B0604020202020204" pitchFamily="34" charset="0"/>
              <a:cs typeface="Arial" panose="020B0604020202020204" pitchFamily="34" charset="0"/>
            </a:rPr>
            <a:t>capacity</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6</xdr:col>
      <xdr:colOff>209168</xdr:colOff>
      <xdr:row>0</xdr:row>
      <xdr:rowOff>806824</xdr:rowOff>
    </xdr:from>
    <xdr:to>
      <xdr:col>8</xdr:col>
      <xdr:colOff>69594</xdr:colOff>
      <xdr:row>2</xdr:row>
      <xdr:rowOff>52604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B00-000004000000}"/>
            </a:ext>
          </a:extLst>
        </xdr:cNvPr>
        <xdr:cNvSpPr/>
      </xdr:nvSpPr>
      <xdr:spPr>
        <a:xfrm>
          <a:off x="7750727" y="806824"/>
          <a:ext cx="1675779" cy="64651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8</xdr:col>
      <xdr:colOff>574069</xdr:colOff>
      <xdr:row>0</xdr:row>
      <xdr:rowOff>829706</xdr:rowOff>
    </xdr:from>
    <xdr:to>
      <xdr:col>10</xdr:col>
      <xdr:colOff>514200</xdr:colOff>
      <xdr:row>2</xdr:row>
      <xdr:rowOff>55177</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B00-000005000000}"/>
            </a:ext>
          </a:extLst>
        </xdr:cNvPr>
        <xdr:cNvSpPr/>
      </xdr:nvSpPr>
      <xdr:spPr>
        <a:xfrm>
          <a:off x="9930981" y="829706"/>
          <a:ext cx="1811513" cy="62620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over capacity by </a:t>
          </a:r>
          <a:r>
            <a:rPr lang="en-GB" sz="1600" b="1">
              <a:solidFill>
                <a:srgbClr val="7030A0"/>
              </a:solidFill>
              <a:latin typeface="Arial" panose="020B0604020202020204" pitchFamily="34" charset="0"/>
              <a:cs typeface="Arial" panose="020B0604020202020204" pitchFamily="34" charset="0"/>
            </a:rPr>
            <a:t>Region</a:t>
          </a:r>
          <a:endParaRPr lang="en-GB" sz="14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xdr:from>
      <xdr:col>1</xdr:col>
      <xdr:colOff>494177</xdr:colOff>
      <xdr:row>0</xdr:row>
      <xdr:rowOff>11207</xdr:rowOff>
    </xdr:from>
    <xdr:to>
      <xdr:col>1</xdr:col>
      <xdr:colOff>1949822</xdr:colOff>
      <xdr:row>1</xdr:row>
      <xdr:rowOff>11206</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C5BB2B92-6E85-4597-876B-C506D4D7D10B}"/>
            </a:ext>
          </a:extLst>
        </xdr:cNvPr>
        <xdr:cNvSpPr/>
      </xdr:nvSpPr>
      <xdr:spPr>
        <a:xfrm>
          <a:off x="595030" y="11207"/>
          <a:ext cx="1455645" cy="84044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21</xdr:col>
      <xdr:colOff>481854</xdr:colOff>
      <xdr:row>2</xdr:row>
      <xdr:rowOff>178959</xdr:rowOff>
    </xdr:from>
    <xdr:to>
      <xdr:col>25</xdr:col>
      <xdr:colOff>168090</xdr:colOff>
      <xdr:row>4</xdr:row>
      <xdr:rowOff>156882</xdr:rowOff>
    </xdr:to>
    <xdr:sp macro="" textlink="">
      <xdr:nvSpPr>
        <xdr:cNvPr id="14" name="Rounded Rectangle 1">
          <a:hlinkClick xmlns:r="http://schemas.openxmlformats.org/officeDocument/2006/relationships" r:id="rId2"/>
          <a:extLst>
            <a:ext uri="{FF2B5EF4-FFF2-40B4-BE49-F238E27FC236}">
              <a16:creationId xmlns:a16="http://schemas.microsoft.com/office/drawing/2014/main" id="{847A3EDD-FB78-490B-8F97-2C2047ECFA32}"/>
            </a:ext>
          </a:extLst>
        </xdr:cNvPr>
        <xdr:cNvSpPr/>
      </xdr:nvSpPr>
      <xdr:spPr>
        <a:xfrm>
          <a:off x="16080442" y="1691753"/>
          <a:ext cx="2106707" cy="5494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 percentage</a:t>
          </a:r>
        </a:p>
      </xdr:txBody>
    </xdr:sp>
    <xdr:clientData fPrintsWithSheet="0"/>
  </xdr:twoCellAnchor>
  <xdr:twoCellAnchor>
    <xdr:from>
      <xdr:col>25</xdr:col>
      <xdr:colOff>281668</xdr:colOff>
      <xdr:row>2</xdr:row>
      <xdr:rowOff>177393</xdr:rowOff>
    </xdr:from>
    <xdr:to>
      <xdr:col>28</xdr:col>
      <xdr:colOff>493059</xdr:colOff>
      <xdr:row>4</xdr:row>
      <xdr:rowOff>171768</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E9AF3482-F134-4043-976B-1069547BCA24}"/>
            </a:ext>
          </a:extLst>
        </xdr:cNvPr>
        <xdr:cNvSpPr/>
      </xdr:nvSpPr>
      <xdr:spPr>
        <a:xfrm>
          <a:off x="18300727" y="1690187"/>
          <a:ext cx="2026744" cy="5658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Custody caseload percentage</a:t>
          </a:r>
        </a:p>
      </xdr:txBody>
    </xdr:sp>
    <xdr:clientData fPrintsWithSheet="0"/>
  </xdr:twoCellAnchor>
  <xdr:twoCellAnchor>
    <xdr:from>
      <xdr:col>29</xdr:col>
      <xdr:colOff>57550</xdr:colOff>
      <xdr:row>3</xdr:row>
      <xdr:rowOff>11206</xdr:rowOff>
    </xdr:from>
    <xdr:to>
      <xdr:col>32</xdr:col>
      <xdr:colOff>313764</xdr:colOff>
      <xdr:row>4</xdr:row>
      <xdr:rowOff>156322</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353D09B-18CF-4070-85CE-DCB14996A822}"/>
            </a:ext>
          </a:extLst>
        </xdr:cNvPr>
        <xdr:cNvSpPr/>
      </xdr:nvSpPr>
      <xdr:spPr>
        <a:xfrm>
          <a:off x="20497079" y="1714500"/>
          <a:ext cx="2071567" cy="52611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Community caseload percentage</a:t>
          </a:r>
        </a:p>
      </xdr:txBody>
    </xdr:sp>
    <xdr:clientData fPrintsWithSheet="0"/>
  </xdr:twoCellAnchor>
  <xdr:twoCellAnchor>
    <xdr:from>
      <xdr:col>25</xdr:col>
      <xdr:colOff>595544</xdr:colOff>
      <xdr:row>1</xdr:row>
      <xdr:rowOff>33551</xdr:rowOff>
    </xdr:from>
    <xdr:to>
      <xdr:col>28</xdr:col>
      <xdr:colOff>559430</xdr:colOff>
      <xdr:row>1</xdr:row>
      <xdr:rowOff>596086</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1F01837F-21FC-4BF7-B54B-09E98A2C6AF5}"/>
            </a:ext>
          </a:extLst>
        </xdr:cNvPr>
        <xdr:cNvSpPr/>
      </xdr:nvSpPr>
      <xdr:spPr>
        <a:xfrm>
          <a:off x="18764126" y="872320"/>
          <a:ext cx="1797804" cy="56253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1930164</xdr:colOff>
      <xdr:row>1</xdr:row>
      <xdr:rowOff>55194</xdr:rowOff>
    </xdr:from>
    <xdr:to>
      <xdr:col>22</xdr:col>
      <xdr:colOff>324480</xdr:colOff>
      <xdr:row>1</xdr:row>
      <xdr:rowOff>636728</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6DF4EE97-C4CD-4E56-AEC5-514977FE3DE4}"/>
            </a:ext>
          </a:extLst>
        </xdr:cNvPr>
        <xdr:cNvSpPr/>
      </xdr:nvSpPr>
      <xdr:spPr>
        <a:xfrm>
          <a:off x="14838671" y="893963"/>
          <a:ext cx="1820473" cy="581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caseload</a:t>
          </a:r>
        </a:p>
      </xdr:txBody>
    </xdr:sp>
    <xdr:clientData fPrintsWithSheet="0"/>
  </xdr:twoCellAnchor>
  <xdr:twoCellAnchor>
    <xdr:from>
      <xdr:col>19</xdr:col>
      <xdr:colOff>982381</xdr:colOff>
      <xdr:row>2</xdr:row>
      <xdr:rowOff>186765</xdr:rowOff>
    </xdr:from>
    <xdr:to>
      <xdr:col>20</xdr:col>
      <xdr:colOff>587936</xdr:colOff>
      <xdr:row>4</xdr:row>
      <xdr:rowOff>164353</xdr:rowOff>
    </xdr:to>
    <xdr:sp macro="" textlink="">
      <xdr:nvSpPr>
        <xdr:cNvPr id="9" name="Rounded Rectangle 1">
          <a:hlinkClick xmlns:r="http://schemas.openxmlformats.org/officeDocument/2006/relationships" r:id="rId7"/>
          <a:extLst>
            <a:ext uri="{FF2B5EF4-FFF2-40B4-BE49-F238E27FC236}">
              <a16:creationId xmlns:a16="http://schemas.microsoft.com/office/drawing/2014/main" id="{99225A51-413E-47B6-A6FD-3328B33D36BB}"/>
            </a:ext>
          </a:extLst>
        </xdr:cNvPr>
        <xdr:cNvSpPr/>
      </xdr:nvSpPr>
      <xdr:spPr>
        <a:xfrm>
          <a:off x="13779499" y="1699559"/>
          <a:ext cx="1801908"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National tier ratios</a:t>
          </a:r>
        </a:p>
      </xdr:txBody>
    </xdr:sp>
    <xdr:clientData fPrintsWithSheet="0"/>
  </xdr:twoCellAnchor>
  <xdr:twoCellAnchor>
    <xdr:from>
      <xdr:col>22</xdr:col>
      <xdr:colOff>496221</xdr:colOff>
      <xdr:row>1</xdr:row>
      <xdr:rowOff>42922</xdr:rowOff>
    </xdr:from>
    <xdr:to>
      <xdr:col>25</xdr:col>
      <xdr:colOff>445643</xdr:colOff>
      <xdr:row>1</xdr:row>
      <xdr:rowOff>607456</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280D3601-28D1-4233-959B-3464C11C777D}"/>
            </a:ext>
          </a:extLst>
        </xdr:cNvPr>
        <xdr:cNvSpPr/>
      </xdr:nvSpPr>
      <xdr:spPr>
        <a:xfrm>
          <a:off x="16830885" y="881691"/>
          <a:ext cx="1783340"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aseline="0">
              <a:solidFill>
                <a:srgbClr val="7030A0"/>
              </a:solidFill>
              <a:latin typeface="Arial" panose="020B0604020202020204" pitchFamily="34" charset="0"/>
              <a:cs typeface="Arial" panose="020B0604020202020204" pitchFamily="34" charset="0"/>
            </a:rPr>
            <a:t>Regional caseload</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1</xdr:col>
      <xdr:colOff>76199</xdr:colOff>
      <xdr:row>0</xdr:row>
      <xdr:rowOff>100853</xdr:rowOff>
    </xdr:from>
    <xdr:to>
      <xdr:col>1</xdr:col>
      <xdr:colOff>1390650</xdr:colOff>
      <xdr:row>0</xdr:row>
      <xdr:rowOff>896471</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BE49B180-F10B-434C-A41C-EAA306AB684F}"/>
            </a:ext>
          </a:extLst>
        </xdr:cNvPr>
        <xdr:cNvSpPr/>
      </xdr:nvSpPr>
      <xdr:spPr>
        <a:xfrm>
          <a:off x="233081" y="100853"/>
          <a:ext cx="1314451" cy="7956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28</xdr:col>
      <xdr:colOff>120225</xdr:colOff>
      <xdr:row>1</xdr:row>
      <xdr:rowOff>96433</xdr:rowOff>
    </xdr:from>
    <xdr:to>
      <xdr:col>31</xdr:col>
      <xdr:colOff>104641</xdr:colOff>
      <xdr:row>1</xdr:row>
      <xdr:rowOff>690391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4CB39380-5B53-4309-90CD-82F4F133851A}"/>
            </a:ext>
          </a:extLst>
        </xdr:cNvPr>
        <xdr:cNvSpPr/>
      </xdr:nvSpPr>
      <xdr:spPr>
        <a:xfrm>
          <a:off x="20010666" y="1048933"/>
          <a:ext cx="1799769"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21</xdr:col>
      <xdr:colOff>329773</xdr:colOff>
      <xdr:row>2</xdr:row>
      <xdr:rowOff>94354</xdr:rowOff>
    </xdr:from>
    <xdr:to>
      <xdr:col>24</xdr:col>
      <xdr:colOff>285109</xdr:colOff>
      <xdr:row>4</xdr:row>
      <xdr:rowOff>78441</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D2E6ECDB-4BDB-41AB-A0DB-5E22C5563C32}"/>
            </a:ext>
          </a:extLst>
        </xdr:cNvPr>
        <xdr:cNvSpPr/>
      </xdr:nvSpPr>
      <xdr:spPr>
        <a:xfrm>
          <a:off x="15984391" y="1797648"/>
          <a:ext cx="1770689" cy="55558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526515</xdr:colOff>
      <xdr:row>2</xdr:row>
      <xdr:rowOff>79786</xdr:rowOff>
    </xdr:from>
    <xdr:to>
      <xdr:col>27</xdr:col>
      <xdr:colOff>481851</xdr:colOff>
      <xdr:row>4</xdr:row>
      <xdr:rowOff>46168</xdr:rowOff>
    </xdr:to>
    <xdr:sp macro="" textlink="">
      <xdr:nvSpPr>
        <xdr:cNvPr id="16" name="Rounded Rectangle 1">
          <a:hlinkClick xmlns:r="http://schemas.openxmlformats.org/officeDocument/2006/relationships" r:id="rId4"/>
          <a:extLst>
            <a:ext uri="{FF2B5EF4-FFF2-40B4-BE49-F238E27FC236}">
              <a16:creationId xmlns:a16="http://schemas.microsoft.com/office/drawing/2014/main" id="{5AFAA047-CD2B-46DE-9DAD-1317189AD50C}"/>
            </a:ext>
          </a:extLst>
        </xdr:cNvPr>
        <xdr:cNvSpPr/>
      </xdr:nvSpPr>
      <xdr:spPr>
        <a:xfrm>
          <a:off x="17996486" y="1783080"/>
          <a:ext cx="1770689" cy="53788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24</xdr:col>
      <xdr:colOff>520280</xdr:colOff>
      <xdr:row>1</xdr:row>
      <xdr:rowOff>100853</xdr:rowOff>
    </xdr:from>
    <xdr:to>
      <xdr:col>27</xdr:col>
      <xdr:colOff>497613</xdr:colOff>
      <xdr:row>1</xdr:row>
      <xdr:rowOff>694765</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2D6D50B8-726D-4632-B187-A1EB12011431}"/>
            </a:ext>
          </a:extLst>
        </xdr:cNvPr>
        <xdr:cNvSpPr/>
      </xdr:nvSpPr>
      <xdr:spPr>
        <a:xfrm>
          <a:off x="17990251" y="1053353"/>
          <a:ext cx="1792686" cy="59391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19</xdr:col>
      <xdr:colOff>1008529</xdr:colOff>
      <xdr:row>1</xdr:row>
      <xdr:rowOff>100853</xdr:rowOff>
    </xdr:from>
    <xdr:to>
      <xdr:col>21</xdr:col>
      <xdr:colOff>22413</xdr:colOff>
      <xdr:row>1</xdr:row>
      <xdr:rowOff>649941</xdr:rowOff>
    </xdr:to>
    <xdr:sp macro="" textlink="">
      <xdr:nvSpPr>
        <xdr:cNvPr id="18" name="Rounded Rectangle 1">
          <a:hlinkClick xmlns:r="http://schemas.openxmlformats.org/officeDocument/2006/relationships" r:id="rId6"/>
          <a:extLst>
            <a:ext uri="{FF2B5EF4-FFF2-40B4-BE49-F238E27FC236}">
              <a16:creationId xmlns:a16="http://schemas.microsoft.com/office/drawing/2014/main" id="{214167E5-E0D6-4555-83B2-E5DADE90574F}"/>
            </a:ext>
          </a:extLst>
        </xdr:cNvPr>
        <xdr:cNvSpPr/>
      </xdr:nvSpPr>
      <xdr:spPr>
        <a:xfrm>
          <a:off x="13861676" y="1053353"/>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19</xdr:col>
      <xdr:colOff>1042148</xdr:colOff>
      <xdr:row>2</xdr:row>
      <xdr:rowOff>112060</xdr:rowOff>
    </xdr:from>
    <xdr:to>
      <xdr:col>21</xdr:col>
      <xdr:colOff>56032</xdr:colOff>
      <xdr:row>4</xdr:row>
      <xdr:rowOff>89648</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58EE818E-4639-48FF-B0CD-B9D43C3624DA}"/>
            </a:ext>
          </a:extLst>
        </xdr:cNvPr>
        <xdr:cNvSpPr/>
      </xdr:nvSpPr>
      <xdr:spPr>
        <a:xfrm>
          <a:off x="13895295" y="1815354"/>
          <a:ext cx="1815355" cy="54908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21</xdr:col>
      <xdr:colOff>319100</xdr:colOff>
      <xdr:row>1</xdr:row>
      <xdr:rowOff>101920</xdr:rowOff>
    </xdr:from>
    <xdr:to>
      <xdr:col>24</xdr:col>
      <xdr:colOff>274711</xdr:colOff>
      <xdr:row>1</xdr:row>
      <xdr:rowOff>666454</xdr:rowOff>
    </xdr:to>
    <xdr:sp macro="" textlink="">
      <xdr:nvSpPr>
        <xdr:cNvPr id="11" name="Rounded Rectangle 1">
          <a:hlinkClick xmlns:r="http://schemas.openxmlformats.org/officeDocument/2006/relationships" r:id="rId8"/>
          <a:extLst>
            <a:ext uri="{FF2B5EF4-FFF2-40B4-BE49-F238E27FC236}">
              <a16:creationId xmlns:a16="http://schemas.microsoft.com/office/drawing/2014/main" id="{6E0D1690-CA80-48DC-818F-CB2A7C323155}"/>
            </a:ext>
          </a:extLst>
        </xdr:cNvPr>
        <xdr:cNvSpPr/>
      </xdr:nvSpPr>
      <xdr:spPr>
        <a:xfrm>
          <a:off x="15973718" y="1054420"/>
          <a:ext cx="1770964"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28</xdr:col>
      <xdr:colOff>285750</xdr:colOff>
      <xdr:row>0</xdr:row>
      <xdr:rowOff>838823</xdr:rowOff>
    </xdr:from>
    <xdr:to>
      <xdr:col>31</xdr:col>
      <xdr:colOff>218941</xdr:colOff>
      <xdr:row>1</xdr:row>
      <xdr:rowOff>575531</xdr:rowOff>
    </xdr:to>
    <xdr:sp macro="" textlink="">
      <xdr:nvSpPr>
        <xdr:cNvPr id="12" name="Rounded Rectangle 1">
          <a:hlinkClick xmlns:r="http://schemas.openxmlformats.org/officeDocument/2006/relationships" r:id="rId1"/>
          <a:extLst>
            <a:ext uri="{FF2B5EF4-FFF2-40B4-BE49-F238E27FC236}">
              <a16:creationId xmlns:a16="http://schemas.microsoft.com/office/drawing/2014/main" id="{2A5D4F24-21FF-4264-9243-911F3D6C69DA}"/>
            </a:ext>
          </a:extLst>
        </xdr:cNvPr>
        <xdr:cNvSpPr/>
      </xdr:nvSpPr>
      <xdr:spPr>
        <a:xfrm>
          <a:off x="20410714" y="838823"/>
          <a:ext cx="1770156" cy="5939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 </a:t>
          </a:r>
          <a:r>
            <a:rPr lang="en-GB" sz="1200" baseline="0">
              <a:solidFill>
                <a:srgbClr val="7030A0"/>
              </a:solidFill>
              <a:latin typeface="Arial" panose="020B0604020202020204" pitchFamily="34" charset="0"/>
              <a:cs typeface="Arial" panose="020B0604020202020204" pitchFamily="34" charset="0"/>
            </a:rPr>
            <a:t>caseload</a:t>
          </a:r>
        </a:p>
      </xdr:txBody>
    </xdr:sp>
    <xdr:clientData fPrintsWithSheet="0"/>
  </xdr:twoCellAnchor>
  <xdr:twoCellAnchor>
    <xdr:from>
      <xdr:col>22</xdr:col>
      <xdr:colOff>32337</xdr:colOff>
      <xdr:row>3</xdr:row>
      <xdr:rowOff>2466</xdr:rowOff>
    </xdr:from>
    <xdr:to>
      <xdr:col>24</xdr:col>
      <xdr:colOff>586547</xdr:colOff>
      <xdr:row>5</xdr:row>
      <xdr:rowOff>63500</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F5AEE480-63D1-4E70-98E5-F6D8F9D237CE}"/>
            </a:ext>
          </a:extLst>
        </xdr:cNvPr>
        <xdr:cNvSpPr/>
      </xdr:nvSpPr>
      <xdr:spPr>
        <a:xfrm>
          <a:off x="16483373" y="1676145"/>
          <a:ext cx="1778853" cy="632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28</xdr:col>
      <xdr:colOff>353786</xdr:colOff>
      <xdr:row>3</xdr:row>
      <xdr:rowOff>24316</xdr:rowOff>
    </xdr:from>
    <xdr:to>
      <xdr:col>31</xdr:col>
      <xdr:colOff>214352</xdr:colOff>
      <xdr:row>5</xdr:row>
      <xdr:rowOff>27213</xdr:rowOff>
    </xdr:to>
    <xdr:sp macro="" textlink="">
      <xdr:nvSpPr>
        <xdr:cNvPr id="14" name="Rounded Rectangle 1">
          <a:hlinkClick xmlns:r="http://schemas.openxmlformats.org/officeDocument/2006/relationships" r:id="rId3"/>
          <a:extLst>
            <a:ext uri="{FF2B5EF4-FFF2-40B4-BE49-F238E27FC236}">
              <a16:creationId xmlns:a16="http://schemas.microsoft.com/office/drawing/2014/main" id="{B1960570-E641-4B5F-8807-872C01DC41E0}"/>
            </a:ext>
          </a:extLst>
        </xdr:cNvPr>
        <xdr:cNvSpPr/>
      </xdr:nvSpPr>
      <xdr:spPr>
        <a:xfrm>
          <a:off x="20478750" y="1697995"/>
          <a:ext cx="1697531" cy="57439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25</xdr:col>
      <xdr:colOff>229001</xdr:colOff>
      <xdr:row>2</xdr:row>
      <xdr:rowOff>185842</xdr:rowOff>
    </xdr:from>
    <xdr:to>
      <xdr:col>28</xdr:col>
      <xdr:colOff>190499</xdr:colOff>
      <xdr:row>5</xdr:row>
      <xdr:rowOff>40822</xdr:rowOff>
    </xdr:to>
    <xdr:sp macro="" textlink="">
      <xdr:nvSpPr>
        <xdr:cNvPr id="15" name="Rounded Rectangle 1">
          <a:hlinkClick xmlns:r="http://schemas.openxmlformats.org/officeDocument/2006/relationships" r:id="rId4"/>
          <a:extLst>
            <a:ext uri="{FF2B5EF4-FFF2-40B4-BE49-F238E27FC236}">
              <a16:creationId xmlns:a16="http://schemas.microsoft.com/office/drawing/2014/main" id="{FC861751-7D31-4359-A3D3-4EBC5F413078}"/>
            </a:ext>
          </a:extLst>
        </xdr:cNvPr>
        <xdr:cNvSpPr/>
      </xdr:nvSpPr>
      <xdr:spPr>
        <a:xfrm>
          <a:off x="18517001" y="1669021"/>
          <a:ext cx="1798462" cy="61698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21</xdr:col>
      <xdr:colOff>576943</xdr:colOff>
      <xdr:row>1</xdr:row>
      <xdr:rowOff>13608</xdr:rowOff>
    </xdr:from>
    <xdr:to>
      <xdr:col>24</xdr:col>
      <xdr:colOff>563497</xdr:colOff>
      <xdr:row>2</xdr:row>
      <xdr:rowOff>-1</xdr:rowOff>
    </xdr:to>
    <xdr:sp macro="" textlink="">
      <xdr:nvSpPr>
        <xdr:cNvPr id="17" name="Rounded Rectangle 1">
          <a:hlinkClick xmlns:r="http://schemas.openxmlformats.org/officeDocument/2006/relationships" r:id="rId5"/>
          <a:extLst>
            <a:ext uri="{FF2B5EF4-FFF2-40B4-BE49-F238E27FC236}">
              <a16:creationId xmlns:a16="http://schemas.microsoft.com/office/drawing/2014/main" id="{F7826FA7-6CE0-4E9D-B63E-12FD29439F38}"/>
            </a:ext>
          </a:extLst>
        </xdr:cNvPr>
        <xdr:cNvSpPr/>
      </xdr:nvSpPr>
      <xdr:spPr>
        <a:xfrm>
          <a:off x="16415657" y="870858"/>
          <a:ext cx="1823519" cy="6123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1</xdr:col>
      <xdr:colOff>5442</xdr:colOff>
      <xdr:row>0</xdr:row>
      <xdr:rowOff>95249</xdr:rowOff>
    </xdr:from>
    <xdr:to>
      <xdr:col>1</xdr:col>
      <xdr:colOff>1687285</xdr:colOff>
      <xdr:row>0</xdr:row>
      <xdr:rowOff>802820</xdr:rowOff>
    </xdr:to>
    <xdr:sp macro="" textlink="">
      <xdr:nvSpPr>
        <xdr:cNvPr id="9" name="Rounded Rectangle 1">
          <a:hlinkClick xmlns:r="http://schemas.openxmlformats.org/officeDocument/2006/relationships" r:id="rId6"/>
          <a:extLst>
            <a:ext uri="{FF2B5EF4-FFF2-40B4-BE49-F238E27FC236}">
              <a16:creationId xmlns:a16="http://schemas.microsoft.com/office/drawing/2014/main" id="{C0070BB8-25FF-4360-901C-174ADEE9349B}"/>
            </a:ext>
          </a:extLst>
        </xdr:cNvPr>
        <xdr:cNvSpPr/>
      </xdr:nvSpPr>
      <xdr:spPr>
        <a:xfrm flipH="1">
          <a:off x="209549" y="95249"/>
          <a:ext cx="1681843" cy="70757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baseline="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19</xdr:col>
      <xdr:colOff>1455964</xdr:colOff>
      <xdr:row>2</xdr:row>
      <xdr:rowOff>148317</xdr:rowOff>
    </xdr:from>
    <xdr:to>
      <xdr:col>21</xdr:col>
      <xdr:colOff>462805</xdr:colOff>
      <xdr:row>5</xdr:row>
      <xdr:rowOff>68034</xdr:rowOff>
    </xdr:to>
    <xdr:sp macro="" textlink="">
      <xdr:nvSpPr>
        <xdr:cNvPr id="11" name="Rounded Rectangle 1">
          <a:hlinkClick xmlns:r="http://schemas.openxmlformats.org/officeDocument/2006/relationships" r:id="rId7"/>
          <a:extLst>
            <a:ext uri="{FF2B5EF4-FFF2-40B4-BE49-F238E27FC236}">
              <a16:creationId xmlns:a16="http://schemas.microsoft.com/office/drawing/2014/main" id="{61CA40A7-DACC-4D22-B0E2-1B79542D0956}"/>
            </a:ext>
          </a:extLst>
        </xdr:cNvPr>
        <xdr:cNvSpPr/>
      </xdr:nvSpPr>
      <xdr:spPr>
        <a:xfrm>
          <a:off x="14478000" y="1631496"/>
          <a:ext cx="1823519" cy="68171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 </a:t>
          </a:r>
          <a:r>
            <a:rPr lang="en-GB" sz="1200" baseline="0">
              <a:solidFill>
                <a:srgbClr val="7030A0"/>
              </a:solidFill>
              <a:latin typeface="Arial" panose="020B0604020202020204" pitchFamily="34" charset="0"/>
              <a:cs typeface="Arial" panose="020B0604020202020204" pitchFamily="34" charset="0"/>
            </a:rPr>
            <a:t>tier ratios</a:t>
          </a:r>
        </a:p>
      </xdr:txBody>
    </xdr:sp>
    <xdr:clientData fPrintsWithSheet="0"/>
  </xdr:twoCellAnchor>
  <xdr:twoCellAnchor>
    <xdr:from>
      <xdr:col>25</xdr:col>
      <xdr:colOff>145144</xdr:colOff>
      <xdr:row>1</xdr:row>
      <xdr:rowOff>4535</xdr:rowOff>
    </xdr:from>
    <xdr:to>
      <xdr:col>28</xdr:col>
      <xdr:colOff>93552</xdr:colOff>
      <xdr:row>1</xdr:row>
      <xdr:rowOff>569069</xdr:rowOff>
    </xdr:to>
    <xdr:sp macro="" textlink="">
      <xdr:nvSpPr>
        <xdr:cNvPr id="18" name="Rounded Rectangle 1">
          <a:hlinkClick xmlns:r="http://schemas.openxmlformats.org/officeDocument/2006/relationships" r:id="rId8"/>
          <a:extLst>
            <a:ext uri="{FF2B5EF4-FFF2-40B4-BE49-F238E27FC236}">
              <a16:creationId xmlns:a16="http://schemas.microsoft.com/office/drawing/2014/main" id="{80A07CBD-C1E6-4AE3-A8D7-D935F84608DE}"/>
            </a:ext>
          </a:extLst>
        </xdr:cNvPr>
        <xdr:cNvSpPr/>
      </xdr:nvSpPr>
      <xdr:spPr>
        <a:xfrm>
          <a:off x="18433144" y="861785"/>
          <a:ext cx="1785372" cy="56453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xdr:from>
      <xdr:col>1</xdr:col>
      <xdr:colOff>112619</xdr:colOff>
      <xdr:row>0</xdr:row>
      <xdr:rowOff>1</xdr:rowOff>
    </xdr:from>
    <xdr:to>
      <xdr:col>1</xdr:col>
      <xdr:colOff>1537607</xdr:colOff>
      <xdr:row>0</xdr:row>
      <xdr:rowOff>910319</xdr:rowOff>
    </xdr:to>
    <xdr:sp macro="" textlink="">
      <xdr:nvSpPr>
        <xdr:cNvPr id="2" name="Rounded Rectangle 4">
          <a:hlinkClick xmlns:r="http://schemas.openxmlformats.org/officeDocument/2006/relationships" r:id="rId1"/>
          <a:extLst>
            <a:ext uri="{FF2B5EF4-FFF2-40B4-BE49-F238E27FC236}">
              <a16:creationId xmlns:a16="http://schemas.microsoft.com/office/drawing/2014/main" id="{6B2B5D1B-3A15-4463-ACB4-CDA1AAEF6692}"/>
            </a:ext>
          </a:extLst>
        </xdr:cNvPr>
        <xdr:cNvSpPr/>
      </xdr:nvSpPr>
      <xdr:spPr>
        <a:xfrm>
          <a:off x="275905" y="1"/>
          <a:ext cx="1424988" cy="910318"/>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27</xdr:col>
      <xdr:colOff>340178</xdr:colOff>
      <xdr:row>1</xdr:row>
      <xdr:rowOff>17190</xdr:rowOff>
    </xdr:from>
    <xdr:to>
      <xdr:col>30</xdr:col>
      <xdr:colOff>575286</xdr:colOff>
      <xdr:row>1</xdr:row>
      <xdr:rowOff>615151</xdr:rowOff>
    </xdr:to>
    <xdr:sp macro="" textlink="">
      <xdr:nvSpPr>
        <xdr:cNvPr id="13" name="Rounded Rectangle 1">
          <a:hlinkClick xmlns:r="http://schemas.openxmlformats.org/officeDocument/2006/relationships" r:id="rId2"/>
          <a:extLst>
            <a:ext uri="{FF2B5EF4-FFF2-40B4-BE49-F238E27FC236}">
              <a16:creationId xmlns:a16="http://schemas.microsoft.com/office/drawing/2014/main" id="{3A97DABF-D489-4FC7-9DAF-D063D148EA39}"/>
            </a:ext>
          </a:extLst>
        </xdr:cNvPr>
        <xdr:cNvSpPr/>
      </xdr:nvSpPr>
      <xdr:spPr>
        <a:xfrm>
          <a:off x="19811999" y="1309869"/>
          <a:ext cx="2072073" cy="59796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27</xdr:col>
      <xdr:colOff>373110</xdr:colOff>
      <xdr:row>1</xdr:row>
      <xdr:rowOff>800644</xdr:rowOff>
    </xdr:from>
    <xdr:to>
      <xdr:col>30</xdr:col>
      <xdr:colOff>599993</xdr:colOff>
      <xdr:row>4</xdr:row>
      <xdr:rowOff>0</xdr:rowOff>
    </xdr:to>
    <xdr:sp macro="" textlink="">
      <xdr:nvSpPr>
        <xdr:cNvPr id="15" name="Rounded Rectangle 1">
          <a:hlinkClick xmlns:r="http://schemas.openxmlformats.org/officeDocument/2006/relationships" r:id="rId3"/>
          <a:extLst>
            <a:ext uri="{FF2B5EF4-FFF2-40B4-BE49-F238E27FC236}">
              <a16:creationId xmlns:a16="http://schemas.microsoft.com/office/drawing/2014/main" id="{3430FAAA-AC98-4D33-BCCB-24799CFC106A}"/>
            </a:ext>
          </a:extLst>
        </xdr:cNvPr>
        <xdr:cNvSpPr/>
      </xdr:nvSpPr>
      <xdr:spPr>
        <a:xfrm>
          <a:off x="19844931" y="2093323"/>
          <a:ext cx="2063848" cy="61449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Custody</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31</xdr:col>
      <xdr:colOff>128074</xdr:colOff>
      <xdr:row>1</xdr:row>
      <xdr:rowOff>8003</xdr:rowOff>
    </xdr:from>
    <xdr:to>
      <xdr:col>34</xdr:col>
      <xdr:colOff>105407</xdr:colOff>
      <xdr:row>1</xdr:row>
      <xdr:rowOff>632080</xdr:rowOff>
    </xdr:to>
    <xdr:sp macro="" textlink="">
      <xdr:nvSpPr>
        <xdr:cNvPr id="17" name="Rounded Rectangle 1">
          <a:hlinkClick xmlns:r="http://schemas.openxmlformats.org/officeDocument/2006/relationships" r:id="rId4"/>
          <a:extLst>
            <a:ext uri="{FF2B5EF4-FFF2-40B4-BE49-F238E27FC236}">
              <a16:creationId xmlns:a16="http://schemas.microsoft.com/office/drawing/2014/main" id="{BA97A689-6C7A-4CB5-ABD1-F4D19E70FB82}"/>
            </a:ext>
          </a:extLst>
        </xdr:cNvPr>
        <xdr:cNvSpPr/>
      </xdr:nvSpPr>
      <xdr:spPr>
        <a:xfrm>
          <a:off x="22049181" y="1300682"/>
          <a:ext cx="1814297" cy="62407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Community</a:t>
          </a:r>
          <a:r>
            <a:rPr lang="en-GB" sz="1200" baseline="0">
              <a:solidFill>
                <a:srgbClr val="7030A0"/>
              </a:solidFill>
              <a:latin typeface="Arial" panose="020B0604020202020204" pitchFamily="34" charset="0"/>
              <a:cs typeface="Arial" panose="020B0604020202020204" pitchFamily="34" charset="0"/>
            </a:rPr>
            <a:t> caseload</a:t>
          </a:r>
          <a:endParaRPr lang="en-GB" sz="1200">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20</xdr:col>
      <xdr:colOff>433029</xdr:colOff>
      <xdr:row>1</xdr:row>
      <xdr:rowOff>16808</xdr:rowOff>
    </xdr:from>
    <xdr:to>
      <xdr:col>23</xdr:col>
      <xdr:colOff>433030</xdr:colOff>
      <xdr:row>1</xdr:row>
      <xdr:rowOff>625928</xdr:rowOff>
    </xdr:to>
    <xdr:sp macro="" textlink="">
      <xdr:nvSpPr>
        <xdr:cNvPr id="18" name="Rounded Rectangle 1">
          <a:hlinkClick xmlns:r="http://schemas.openxmlformats.org/officeDocument/2006/relationships" r:id="rId5"/>
          <a:extLst>
            <a:ext uri="{FF2B5EF4-FFF2-40B4-BE49-F238E27FC236}">
              <a16:creationId xmlns:a16="http://schemas.microsoft.com/office/drawing/2014/main" id="{10CFF7C7-9A6E-479D-81CC-DB1B6AED6E96}"/>
            </a:ext>
          </a:extLst>
        </xdr:cNvPr>
        <xdr:cNvSpPr/>
      </xdr:nvSpPr>
      <xdr:spPr>
        <a:xfrm>
          <a:off x="15618600" y="1309487"/>
          <a:ext cx="1836966" cy="60912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caseload</a:t>
          </a:r>
        </a:p>
      </xdr:txBody>
    </xdr:sp>
    <xdr:clientData fPrintsWithSheet="0"/>
  </xdr:twoCellAnchor>
  <xdr:twoCellAnchor>
    <xdr:from>
      <xdr:col>20</xdr:col>
      <xdr:colOff>403413</xdr:colOff>
      <xdr:row>1</xdr:row>
      <xdr:rowOff>794817</xdr:rowOff>
    </xdr:from>
    <xdr:to>
      <xdr:col>23</xdr:col>
      <xdr:colOff>403414</xdr:colOff>
      <xdr:row>3</xdr:row>
      <xdr:rowOff>367393</xdr:rowOff>
    </xdr:to>
    <xdr:sp macro="" textlink="">
      <xdr:nvSpPr>
        <xdr:cNvPr id="12" name="Rounded Rectangle 1">
          <a:hlinkClick xmlns:r="http://schemas.openxmlformats.org/officeDocument/2006/relationships" r:id="rId6"/>
          <a:extLst>
            <a:ext uri="{FF2B5EF4-FFF2-40B4-BE49-F238E27FC236}">
              <a16:creationId xmlns:a16="http://schemas.microsoft.com/office/drawing/2014/main" id="{90A69594-7901-4254-8EEE-E171661F8C82}"/>
            </a:ext>
          </a:extLst>
        </xdr:cNvPr>
        <xdr:cNvSpPr/>
      </xdr:nvSpPr>
      <xdr:spPr>
        <a:xfrm>
          <a:off x="15588984" y="2087496"/>
          <a:ext cx="1836966" cy="60671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National</a:t>
          </a:r>
          <a:r>
            <a:rPr lang="en-GB" sz="1200" baseline="0">
              <a:solidFill>
                <a:srgbClr val="7030A0"/>
              </a:solidFill>
              <a:latin typeface="Arial" panose="020B0604020202020204" pitchFamily="34" charset="0"/>
              <a:cs typeface="Arial" panose="020B0604020202020204" pitchFamily="34" charset="0"/>
            </a:rPr>
            <a:t> tier ratios</a:t>
          </a:r>
        </a:p>
      </xdr:txBody>
    </xdr:sp>
    <xdr:clientData fPrintsWithSheet="0"/>
  </xdr:twoCellAnchor>
  <xdr:twoCellAnchor>
    <xdr:from>
      <xdr:col>23</xdr:col>
      <xdr:colOff>594765</xdr:colOff>
      <xdr:row>1</xdr:row>
      <xdr:rowOff>805289</xdr:rowOff>
    </xdr:from>
    <xdr:to>
      <xdr:col>26</xdr:col>
      <xdr:colOff>568404</xdr:colOff>
      <xdr:row>3</xdr:row>
      <xdr:rowOff>367394</xdr:rowOff>
    </xdr:to>
    <xdr:sp macro="" textlink="">
      <xdr:nvSpPr>
        <xdr:cNvPr id="10" name="Rounded Rectangle 1">
          <a:hlinkClick xmlns:r="http://schemas.openxmlformats.org/officeDocument/2006/relationships" r:id="rId7"/>
          <a:extLst>
            <a:ext uri="{FF2B5EF4-FFF2-40B4-BE49-F238E27FC236}">
              <a16:creationId xmlns:a16="http://schemas.microsoft.com/office/drawing/2014/main" id="{0EC26C68-A580-4C61-B80F-201DC5CEE0A8}"/>
            </a:ext>
          </a:extLst>
        </xdr:cNvPr>
        <xdr:cNvSpPr/>
      </xdr:nvSpPr>
      <xdr:spPr>
        <a:xfrm>
          <a:off x="17617301" y="2097968"/>
          <a:ext cx="1810603" cy="596247"/>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Regional</a:t>
          </a:r>
          <a:r>
            <a:rPr lang="en-GB" sz="1200" baseline="0">
              <a:solidFill>
                <a:srgbClr val="7030A0"/>
              </a:solidFill>
              <a:latin typeface="Arial" panose="020B0604020202020204" pitchFamily="34" charset="0"/>
              <a:cs typeface="Arial" panose="020B0604020202020204" pitchFamily="34" charset="0"/>
            </a:rPr>
            <a:t> caseload percentage</a:t>
          </a:r>
        </a:p>
      </xdr:txBody>
    </xdr:sp>
    <xdr:clientData fPrintsWithSheet="0"/>
  </xdr:twoCellAnchor>
  <xdr:twoCellAnchor>
    <xdr:from>
      <xdr:col>23</xdr:col>
      <xdr:colOff>576035</xdr:colOff>
      <xdr:row>0</xdr:row>
      <xdr:rowOff>1283606</xdr:rowOff>
    </xdr:from>
    <xdr:to>
      <xdr:col>26</xdr:col>
      <xdr:colOff>556193</xdr:colOff>
      <xdr:row>1</xdr:row>
      <xdr:rowOff>612320</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BF5D130-6B9B-4181-8EF6-4912F7B71ABE}"/>
            </a:ext>
          </a:extLst>
        </xdr:cNvPr>
        <xdr:cNvSpPr/>
      </xdr:nvSpPr>
      <xdr:spPr>
        <a:xfrm>
          <a:off x="17598571" y="1283606"/>
          <a:ext cx="1817122" cy="62139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baseline="0">
              <a:solidFill>
                <a:srgbClr val="7030A0"/>
              </a:solidFill>
              <a:latin typeface="Arial" panose="020B0604020202020204" pitchFamily="34" charset="0"/>
              <a:cs typeface="Arial" panose="020B0604020202020204" pitchFamily="34" charset="0"/>
            </a:rPr>
            <a:t>Regiona</a:t>
          </a:r>
          <a:r>
            <a:rPr lang="en-GB" sz="1200" baseline="0">
              <a:solidFill>
                <a:srgbClr val="7030A0"/>
              </a:solidFill>
              <a:latin typeface="Arial" panose="020B0604020202020204" pitchFamily="34" charset="0"/>
              <a:cs typeface="Arial" panose="020B0604020202020204" pitchFamily="34" charset="0"/>
            </a:rPr>
            <a:t>l caseload</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xdr:from>
      <xdr:col>0</xdr:col>
      <xdr:colOff>66676</xdr:colOff>
      <xdr:row>0</xdr:row>
      <xdr:rowOff>114300</xdr:rowOff>
    </xdr:from>
    <xdr:to>
      <xdr:col>1</xdr:col>
      <xdr:colOff>771525</xdr:colOff>
      <xdr:row>0</xdr:row>
      <xdr:rowOff>683559</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A00-000002000000}"/>
            </a:ext>
          </a:extLst>
        </xdr:cNvPr>
        <xdr:cNvSpPr/>
      </xdr:nvSpPr>
      <xdr:spPr>
        <a:xfrm>
          <a:off x="66676" y="114300"/>
          <a:ext cx="928967" cy="569259"/>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4</xdr:col>
      <xdr:colOff>615761</xdr:colOff>
      <xdr:row>0</xdr:row>
      <xdr:rowOff>717176</xdr:rowOff>
    </xdr:from>
    <xdr:to>
      <xdr:col>7</xdr:col>
      <xdr:colOff>560293</xdr:colOff>
      <xdr:row>2</xdr:row>
      <xdr:rowOff>33618</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A00-000003000000}"/>
            </a:ext>
          </a:extLst>
        </xdr:cNvPr>
        <xdr:cNvSpPr/>
      </xdr:nvSpPr>
      <xdr:spPr>
        <a:xfrm>
          <a:off x="4930026" y="717176"/>
          <a:ext cx="2443443" cy="5602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100">
              <a:solidFill>
                <a:srgbClr val="7030A0"/>
              </a:solidFill>
              <a:latin typeface="Arial" panose="020B0604020202020204" pitchFamily="34" charset="0"/>
              <a:cs typeface="Arial" panose="020B0604020202020204" pitchFamily="34" charset="0"/>
            </a:rPr>
            <a:t>Cluster capacity, hours of reduction and unallocated cases</a:t>
          </a:r>
        </a:p>
      </xdr:txBody>
    </xdr:sp>
    <xdr:clientData fPrintsWithSheet="0"/>
  </xdr:twoCellAnchor>
  <xdr:twoCellAnchor>
    <xdr:from>
      <xdr:col>7</xdr:col>
      <xdr:colOff>742391</xdr:colOff>
      <xdr:row>1</xdr:row>
      <xdr:rowOff>3361</xdr:rowOff>
    </xdr:from>
    <xdr:to>
      <xdr:col>9</xdr:col>
      <xdr:colOff>263337</xdr:colOff>
      <xdr:row>2</xdr:row>
      <xdr:rowOff>22411</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A00-000004000000}"/>
            </a:ext>
          </a:extLst>
        </xdr:cNvPr>
        <xdr:cNvSpPr/>
      </xdr:nvSpPr>
      <xdr:spPr>
        <a:xfrm>
          <a:off x="7555567" y="754155"/>
          <a:ext cx="1560417" cy="51210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PrintsWithSheet="0"/>
  </xdr:twoCellAnchor>
  <xdr:twoCellAnchor>
    <xdr:from>
      <xdr:col>9</xdr:col>
      <xdr:colOff>643219</xdr:colOff>
      <xdr:row>1</xdr:row>
      <xdr:rowOff>9856</xdr:rowOff>
    </xdr:from>
    <xdr:to>
      <xdr:col>11</xdr:col>
      <xdr:colOff>862854</xdr:colOff>
      <xdr:row>1</xdr:row>
      <xdr:rowOff>468406</xdr:rowOff>
    </xdr:to>
    <xdr:sp macro="" textlink="">
      <xdr:nvSpPr>
        <xdr:cNvPr id="5" name="Rounded Rectangle 1">
          <a:hlinkClick xmlns:r="http://schemas.openxmlformats.org/officeDocument/2006/relationships" r:id="rId4"/>
          <a:extLst>
            <a:ext uri="{FF2B5EF4-FFF2-40B4-BE49-F238E27FC236}">
              <a16:creationId xmlns:a16="http://schemas.microsoft.com/office/drawing/2014/main" id="{00000000-0008-0000-0A00-000005000000}"/>
            </a:ext>
          </a:extLst>
        </xdr:cNvPr>
        <xdr:cNvSpPr/>
      </xdr:nvSpPr>
      <xdr:spPr>
        <a:xfrm>
          <a:off x="9495866" y="760650"/>
          <a:ext cx="2046194" cy="45855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9</xdr:col>
      <xdr:colOff>853168</xdr:colOff>
      <xdr:row>1</xdr:row>
      <xdr:rowOff>1919</xdr:rowOff>
    </xdr:from>
    <xdr:to>
      <xdr:col>10</xdr:col>
      <xdr:colOff>1726746</xdr:colOff>
      <xdr:row>2</xdr:row>
      <xdr:rowOff>31526</xdr:rowOff>
    </xdr:to>
    <xdr:sp macro="" textlink="">
      <xdr:nvSpPr>
        <xdr:cNvPr id="4" name="Rounded Rectangle 1">
          <a:hlinkClick xmlns:r="http://schemas.openxmlformats.org/officeDocument/2006/relationships" r:id="rId1"/>
          <a:extLst>
            <a:ext uri="{FF2B5EF4-FFF2-40B4-BE49-F238E27FC236}">
              <a16:creationId xmlns:a16="http://schemas.microsoft.com/office/drawing/2014/main" id="{00000000-0008-0000-0C00-000004000000}"/>
            </a:ext>
          </a:extLst>
        </xdr:cNvPr>
        <xdr:cNvSpPr/>
      </xdr:nvSpPr>
      <xdr:spPr>
        <a:xfrm>
          <a:off x="13970454" y="587026"/>
          <a:ext cx="2438399" cy="5466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Cluster capacity, reduction in hours and unallocated cases</a:t>
          </a:r>
        </a:p>
      </xdr:txBody>
    </xdr:sp>
    <xdr:clientData fPrintsWithSheet="0"/>
  </xdr:twoCellAnchor>
  <xdr:twoCellAnchor>
    <xdr:from>
      <xdr:col>1</xdr:col>
      <xdr:colOff>69472</xdr:colOff>
      <xdr:row>0</xdr:row>
      <xdr:rowOff>19049</xdr:rowOff>
    </xdr:from>
    <xdr:to>
      <xdr:col>1</xdr:col>
      <xdr:colOff>1344706</xdr:colOff>
      <xdr:row>0</xdr:row>
      <xdr:rowOff>578783</xdr:rowOff>
    </xdr:to>
    <xdr:sp macro="" textlink="">
      <xdr:nvSpPr>
        <xdr:cNvPr id="5" name="Rounded Rectangle 1">
          <a:hlinkClick xmlns:r="http://schemas.openxmlformats.org/officeDocument/2006/relationships" r:id="rId2"/>
          <a:extLst>
            <a:ext uri="{FF2B5EF4-FFF2-40B4-BE49-F238E27FC236}">
              <a16:creationId xmlns:a16="http://schemas.microsoft.com/office/drawing/2014/main" id="{00000000-0008-0000-0C00-000005000000}"/>
            </a:ext>
          </a:extLst>
        </xdr:cNvPr>
        <xdr:cNvSpPr/>
      </xdr:nvSpPr>
      <xdr:spPr>
        <a:xfrm>
          <a:off x="428060" y="19049"/>
          <a:ext cx="1275234" cy="559734"/>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7</xdr:col>
      <xdr:colOff>81643</xdr:colOff>
      <xdr:row>0</xdr:row>
      <xdr:rowOff>585106</xdr:rowOff>
    </xdr:from>
    <xdr:to>
      <xdr:col>9</xdr:col>
      <xdr:colOff>730687</xdr:colOff>
      <xdr:row>2</xdr:row>
      <xdr:rowOff>9072</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C8A90310-08AB-4DAE-98E6-AFA3022648E0}"/>
            </a:ext>
          </a:extLst>
        </xdr:cNvPr>
        <xdr:cNvSpPr/>
      </xdr:nvSpPr>
      <xdr:spPr>
        <a:xfrm>
          <a:off x="11647714" y="585106"/>
          <a:ext cx="2200259" cy="52614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Regional capacity</a:t>
          </a:r>
        </a:p>
      </xdr:txBody>
    </xdr:sp>
    <xdr:clientData fPrintsWithSheet="0"/>
  </xdr:twoCellAnchor>
  <xdr:twoCellAnchor>
    <xdr:from>
      <xdr:col>10</xdr:col>
      <xdr:colOff>1855107</xdr:colOff>
      <xdr:row>0</xdr:row>
      <xdr:rowOff>557893</xdr:rowOff>
    </xdr:from>
    <xdr:to>
      <xdr:col>11</xdr:col>
      <xdr:colOff>1828259</xdr:colOff>
      <xdr:row>2</xdr:row>
      <xdr:rowOff>27214</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96107CE1-3E0A-4CC7-8942-45BB562DF107}"/>
            </a:ext>
          </a:extLst>
        </xdr:cNvPr>
        <xdr:cNvSpPr/>
      </xdr:nvSpPr>
      <xdr:spPr>
        <a:xfrm>
          <a:off x="16537214" y="557893"/>
          <a:ext cx="2136688" cy="571500"/>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 capacity by region</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1</xdr:col>
      <xdr:colOff>139515</xdr:colOff>
      <xdr:row>0</xdr:row>
      <xdr:rowOff>0</xdr:rowOff>
    </xdr:from>
    <xdr:to>
      <xdr:col>1</xdr:col>
      <xdr:colOff>1266265</xdr:colOff>
      <xdr:row>0</xdr:row>
      <xdr:rowOff>595593</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D00-000002000000}"/>
            </a:ext>
          </a:extLst>
        </xdr:cNvPr>
        <xdr:cNvSpPr/>
      </xdr:nvSpPr>
      <xdr:spPr>
        <a:xfrm>
          <a:off x="240368" y="0"/>
          <a:ext cx="1126750" cy="595593"/>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6</xdr:col>
      <xdr:colOff>537881</xdr:colOff>
      <xdr:row>0</xdr:row>
      <xdr:rowOff>595364</xdr:rowOff>
    </xdr:from>
    <xdr:to>
      <xdr:col>9</xdr:col>
      <xdr:colOff>728381</xdr:colOff>
      <xdr:row>2</xdr:row>
      <xdr:rowOff>22412</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0D00-000003000000}"/>
            </a:ext>
          </a:extLst>
        </xdr:cNvPr>
        <xdr:cNvSpPr/>
      </xdr:nvSpPr>
      <xdr:spPr>
        <a:xfrm>
          <a:off x="6095999" y="595364"/>
          <a:ext cx="4191000" cy="558842"/>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C</a:t>
          </a:r>
          <a:r>
            <a:rPr lang="en-GB" sz="1050">
              <a:solidFill>
                <a:srgbClr val="7030A0"/>
              </a:solidFill>
              <a:latin typeface="Arial" panose="020B0604020202020204" pitchFamily="34" charset="0"/>
              <a:cs typeface="Arial" panose="020B0604020202020204" pitchFamily="34" charset="0"/>
            </a:rPr>
            <a:t>luster capacity, </a:t>
          </a:r>
          <a:r>
            <a:rPr lang="en-GB" sz="1400" b="1">
              <a:solidFill>
                <a:srgbClr val="7030A0"/>
              </a:solidFill>
              <a:latin typeface="Arial" panose="020B0604020202020204" pitchFamily="34" charset="0"/>
              <a:cs typeface="Arial" panose="020B0604020202020204" pitchFamily="34" charset="0"/>
            </a:rPr>
            <a:t>R</a:t>
          </a:r>
          <a:r>
            <a:rPr lang="en-GB" sz="1050">
              <a:solidFill>
                <a:srgbClr val="7030A0"/>
              </a:solidFill>
              <a:latin typeface="Arial" panose="020B0604020202020204" pitchFamily="34" charset="0"/>
              <a:cs typeface="Arial" panose="020B0604020202020204" pitchFamily="34" charset="0"/>
            </a:rPr>
            <a:t>eduction in hours and </a:t>
          </a:r>
          <a:r>
            <a:rPr lang="en-GB" sz="1600" b="1">
              <a:solidFill>
                <a:srgbClr val="7030A0"/>
              </a:solidFill>
              <a:latin typeface="Arial" panose="020B0604020202020204" pitchFamily="34" charset="0"/>
              <a:cs typeface="Arial" panose="020B0604020202020204" pitchFamily="34" charset="0"/>
            </a:rPr>
            <a:t>u</a:t>
          </a:r>
          <a:r>
            <a:rPr lang="en-GB" sz="1200">
              <a:solidFill>
                <a:srgbClr val="7030A0"/>
              </a:solidFill>
              <a:latin typeface="Arial" panose="020B0604020202020204" pitchFamily="34" charset="0"/>
              <a:cs typeface="Arial" panose="020B0604020202020204" pitchFamily="34" charset="0"/>
            </a:rPr>
            <a:t>nallocated</a:t>
          </a:r>
          <a:r>
            <a:rPr lang="en-GB" sz="1050">
              <a:solidFill>
                <a:srgbClr val="7030A0"/>
              </a:solidFill>
              <a:latin typeface="Arial" panose="020B0604020202020204" pitchFamily="34" charset="0"/>
              <a:cs typeface="Arial" panose="020B0604020202020204" pitchFamily="34" charset="0"/>
            </a:rPr>
            <a:t> cases</a:t>
          </a:r>
        </a:p>
      </xdr:txBody>
    </xdr:sp>
    <xdr:clientData fPrintsWithSheet="0"/>
  </xdr:twoCellAnchor>
  <xdr:twoCellAnchor>
    <xdr:from>
      <xdr:col>10</xdr:col>
      <xdr:colOff>46507</xdr:colOff>
      <xdr:row>1</xdr:row>
      <xdr:rowOff>15688</xdr:rowOff>
    </xdr:from>
    <xdr:to>
      <xdr:col>11</xdr:col>
      <xdr:colOff>649944</xdr:colOff>
      <xdr:row>1</xdr:row>
      <xdr:rowOff>463363</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0D00-000004000000}"/>
            </a:ext>
          </a:extLst>
        </xdr:cNvPr>
        <xdr:cNvSpPr/>
      </xdr:nvSpPr>
      <xdr:spPr>
        <a:xfrm>
          <a:off x="10703301" y="620806"/>
          <a:ext cx="1634378" cy="44767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C</a:t>
          </a:r>
          <a:r>
            <a:rPr lang="en-GB" sz="1100">
              <a:solidFill>
                <a:srgbClr val="7030A0"/>
              </a:solidFill>
              <a:latin typeface="Arial" panose="020B0604020202020204" pitchFamily="34" charset="0"/>
              <a:cs typeface="Arial" panose="020B0604020202020204" pitchFamily="34" charset="0"/>
            </a:rPr>
            <a:t>apacity rankings</a:t>
          </a:r>
        </a:p>
      </xdr:txBody>
    </xdr:sp>
    <xdr:clientData fPrintsWithSheet="0"/>
  </xdr:twoCellAnchor>
  <xdr:twoCellAnchor>
    <xdr:from>
      <xdr:col>4</xdr:col>
      <xdr:colOff>100853</xdr:colOff>
      <xdr:row>1</xdr:row>
      <xdr:rowOff>14940</xdr:rowOff>
    </xdr:from>
    <xdr:to>
      <xdr:col>6</xdr:col>
      <xdr:colOff>2</xdr:colOff>
      <xdr:row>1</xdr:row>
      <xdr:rowOff>511734</xdr:rowOff>
    </xdr:to>
    <xdr:sp macro="" textlink="">
      <xdr:nvSpPr>
        <xdr:cNvPr id="6" name="Rounded Rectangle 1">
          <a:hlinkClick xmlns:r="http://schemas.openxmlformats.org/officeDocument/2006/relationships" r:id="rId4"/>
          <a:extLst>
            <a:ext uri="{FF2B5EF4-FFF2-40B4-BE49-F238E27FC236}">
              <a16:creationId xmlns:a16="http://schemas.microsoft.com/office/drawing/2014/main" id="{026BE1CB-AD68-4732-BEB9-3EF27735CCC3}"/>
            </a:ext>
          </a:extLst>
        </xdr:cNvPr>
        <xdr:cNvSpPr/>
      </xdr:nvSpPr>
      <xdr:spPr>
        <a:xfrm>
          <a:off x="3753971" y="620058"/>
          <a:ext cx="1804149" cy="49679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 </a:t>
          </a:r>
          <a:r>
            <a:rPr lang="en-GB" sz="1200">
              <a:solidFill>
                <a:srgbClr val="7030A0"/>
              </a:solidFill>
              <a:latin typeface="Arial" panose="020B0604020202020204" pitchFamily="34" charset="0"/>
              <a:cs typeface="Arial" panose="020B0604020202020204" pitchFamily="34" charset="0"/>
            </a:rPr>
            <a:t>capacity</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165287</xdr:colOff>
      <xdr:row>0</xdr:row>
      <xdr:rowOff>344020</xdr:rowOff>
    </xdr:from>
    <xdr:to>
      <xdr:col>1</xdr:col>
      <xdr:colOff>728382</xdr:colOff>
      <xdr:row>2</xdr:row>
      <xdr:rowOff>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000-000002000000}"/>
            </a:ext>
          </a:extLst>
        </xdr:cNvPr>
        <xdr:cNvSpPr/>
      </xdr:nvSpPr>
      <xdr:spPr>
        <a:xfrm>
          <a:off x="165287" y="344020"/>
          <a:ext cx="832036" cy="49642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xdr:from>
      <xdr:col>0</xdr:col>
      <xdr:colOff>169332</xdr:colOff>
      <xdr:row>0</xdr:row>
      <xdr:rowOff>169333</xdr:rowOff>
    </xdr:from>
    <xdr:to>
      <xdr:col>1</xdr:col>
      <xdr:colOff>994833</xdr:colOff>
      <xdr:row>0</xdr:row>
      <xdr:rowOff>582083</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1100-000003000000}"/>
            </a:ext>
          </a:extLst>
        </xdr:cNvPr>
        <xdr:cNvSpPr/>
      </xdr:nvSpPr>
      <xdr:spPr>
        <a:xfrm>
          <a:off x="19938999" y="169333"/>
          <a:ext cx="1068917" cy="412750"/>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5</xdr:col>
      <xdr:colOff>1535207</xdr:colOff>
      <xdr:row>0</xdr:row>
      <xdr:rowOff>11207</xdr:rowOff>
    </xdr:from>
    <xdr:to>
      <xdr:col>7</xdr:col>
      <xdr:colOff>457333</xdr:colOff>
      <xdr:row>0</xdr:row>
      <xdr:rowOff>638735</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1100-000004000000}"/>
            </a:ext>
          </a:extLst>
        </xdr:cNvPr>
        <xdr:cNvSpPr/>
      </xdr:nvSpPr>
      <xdr:spPr>
        <a:xfrm>
          <a:off x="8953501" y="11207"/>
          <a:ext cx="2160626" cy="62752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Reduction</a:t>
          </a:r>
          <a:r>
            <a:rPr lang="en-GB" sz="1000">
              <a:solidFill>
                <a:srgbClr val="7030A0"/>
              </a:solidFill>
              <a:latin typeface="Arial" panose="020B0604020202020204" pitchFamily="34" charset="0"/>
              <a:cs typeface="Arial" panose="020B0604020202020204" pitchFamily="34" charset="0"/>
            </a:rPr>
            <a:t>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1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7</xdr:col>
      <xdr:colOff>597649</xdr:colOff>
      <xdr:row>0</xdr:row>
      <xdr:rowOff>33618</xdr:rowOff>
    </xdr:from>
    <xdr:to>
      <xdr:col>8</xdr:col>
      <xdr:colOff>1344706</xdr:colOff>
      <xdr:row>1</xdr:row>
      <xdr:rowOff>0</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1100-000005000000}"/>
            </a:ext>
          </a:extLst>
        </xdr:cNvPr>
        <xdr:cNvSpPr/>
      </xdr:nvSpPr>
      <xdr:spPr>
        <a:xfrm>
          <a:off x="11254443" y="33618"/>
          <a:ext cx="2181410" cy="62752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1">
              <a:solidFill>
                <a:srgbClr val="7030A0"/>
              </a:solidFill>
              <a:latin typeface="Arial" panose="020B0604020202020204" pitchFamily="34" charset="0"/>
              <a:cs typeface="Arial" panose="020B0604020202020204" pitchFamily="34" charset="0"/>
            </a:rPr>
            <a:t> Regional </a:t>
          </a:r>
          <a:r>
            <a:rPr lang="en-GB" sz="1000">
              <a:solidFill>
                <a:srgbClr val="7030A0"/>
              </a:solidFill>
              <a:latin typeface="Arial" panose="020B0604020202020204" pitchFamily="34" charset="0"/>
              <a:cs typeface="Arial" panose="020B0604020202020204" pitchFamily="34" charset="0"/>
            </a:rPr>
            <a:t>reductions as % of contracted hours</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244929</xdr:colOff>
      <xdr:row>0</xdr:row>
      <xdr:rowOff>11206</xdr:rowOff>
    </xdr:from>
    <xdr:to>
      <xdr:col>0</xdr:col>
      <xdr:colOff>1658470</xdr:colOff>
      <xdr:row>0</xdr:row>
      <xdr:rowOff>834838</xdr:rowOff>
    </xdr:to>
    <xdr:sp macro="" textlink="">
      <xdr:nvSpPr>
        <xdr:cNvPr id="3" name="Rounded Rectangle 1">
          <a:hlinkClick xmlns:r="http://schemas.openxmlformats.org/officeDocument/2006/relationships" r:id="rId1"/>
          <a:extLst>
            <a:ext uri="{FF2B5EF4-FFF2-40B4-BE49-F238E27FC236}">
              <a16:creationId xmlns:a16="http://schemas.microsoft.com/office/drawing/2014/main" id="{00000000-0008-0000-0E00-000003000000}"/>
            </a:ext>
          </a:extLst>
        </xdr:cNvPr>
        <xdr:cNvSpPr/>
      </xdr:nvSpPr>
      <xdr:spPr>
        <a:xfrm>
          <a:off x="244929" y="11206"/>
          <a:ext cx="1413541" cy="82363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3</xdr:col>
      <xdr:colOff>392206</xdr:colOff>
      <xdr:row>0</xdr:row>
      <xdr:rowOff>780275</xdr:rowOff>
    </xdr:from>
    <xdr:to>
      <xdr:col>4</xdr:col>
      <xdr:colOff>1972236</xdr:colOff>
      <xdr:row>2</xdr:row>
      <xdr:rowOff>44823</xdr:rowOff>
    </xdr:to>
    <xdr:sp macro="" textlink="">
      <xdr:nvSpPr>
        <xdr:cNvPr id="4" name="Rounded Rectangle 1">
          <a:hlinkClick xmlns:r="http://schemas.openxmlformats.org/officeDocument/2006/relationships" r:id="rId2"/>
          <a:extLst>
            <a:ext uri="{FF2B5EF4-FFF2-40B4-BE49-F238E27FC236}">
              <a16:creationId xmlns:a16="http://schemas.microsoft.com/office/drawing/2014/main" id="{00000000-0008-0000-0E00-000004000000}"/>
            </a:ext>
          </a:extLst>
        </xdr:cNvPr>
        <xdr:cNvSpPr/>
      </xdr:nvSpPr>
      <xdr:spPr>
        <a:xfrm>
          <a:off x="7093324" y="780275"/>
          <a:ext cx="2185147" cy="609254"/>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600" b="1" baseline="0">
              <a:solidFill>
                <a:srgbClr val="7030A0"/>
              </a:solidFill>
              <a:latin typeface="Arial" panose="020B0604020202020204" pitchFamily="34" charset="0"/>
              <a:cs typeface="Arial" panose="020B0604020202020204" pitchFamily="34" charset="0"/>
            </a:rPr>
            <a:t>Region</a:t>
          </a:r>
          <a:endParaRPr lang="en-GB" sz="12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4</xdr:col>
      <xdr:colOff>2253610</xdr:colOff>
      <xdr:row>0</xdr:row>
      <xdr:rowOff>770004</xdr:rowOff>
    </xdr:from>
    <xdr:to>
      <xdr:col>6</xdr:col>
      <xdr:colOff>16435</xdr:colOff>
      <xdr:row>2</xdr:row>
      <xdr:rowOff>56029</xdr:rowOff>
    </xdr:to>
    <xdr:sp macro="" textlink="">
      <xdr:nvSpPr>
        <xdr:cNvPr id="5" name="Rounded Rectangle 1">
          <a:hlinkClick xmlns:r="http://schemas.openxmlformats.org/officeDocument/2006/relationships" r:id="rId3"/>
          <a:extLst>
            <a:ext uri="{FF2B5EF4-FFF2-40B4-BE49-F238E27FC236}">
              <a16:creationId xmlns:a16="http://schemas.microsoft.com/office/drawing/2014/main" id="{00000000-0008-0000-0E00-000005000000}"/>
            </a:ext>
          </a:extLst>
        </xdr:cNvPr>
        <xdr:cNvSpPr/>
      </xdr:nvSpPr>
      <xdr:spPr>
        <a:xfrm>
          <a:off x="9559845" y="770004"/>
          <a:ext cx="1998649" cy="63073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b="1">
              <a:solidFill>
                <a:srgbClr val="7030A0"/>
              </a:solidFill>
              <a:latin typeface="Arial" panose="020B0604020202020204" pitchFamily="34" charset="0"/>
              <a:cs typeface="Arial" panose="020B0604020202020204" pitchFamily="34" charset="0"/>
            </a:rPr>
            <a:t>Regional</a:t>
          </a:r>
          <a:r>
            <a:rPr lang="en-GB" sz="1200">
              <a:solidFill>
                <a:srgbClr val="7030A0"/>
              </a:solidFill>
              <a:latin typeface="Arial" panose="020B0604020202020204" pitchFamily="34" charset="0"/>
              <a:cs typeface="Arial" panose="020B0604020202020204" pitchFamily="34" charset="0"/>
            </a:rPr>
            <a:t> reductions as % of contracted hours</a:t>
          </a:r>
        </a:p>
      </xdr:txBody>
    </xdr: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180975</xdr:colOff>
      <xdr:row>0</xdr:row>
      <xdr:rowOff>124945</xdr:rowOff>
    </xdr:from>
    <xdr:to>
      <xdr:col>1</xdr:col>
      <xdr:colOff>1176618</xdr:colOff>
      <xdr:row>0</xdr:row>
      <xdr:rowOff>582706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200-000002000000}"/>
            </a:ext>
          </a:extLst>
        </xdr:cNvPr>
        <xdr:cNvSpPr/>
      </xdr:nvSpPr>
      <xdr:spPr>
        <a:xfrm>
          <a:off x="180975" y="124945"/>
          <a:ext cx="1286996" cy="457761"/>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1">
              <a:solidFill>
                <a:srgbClr val="7030A0"/>
              </a:solidFill>
              <a:latin typeface="Arial" panose="020B0604020202020204" pitchFamily="34" charset="0"/>
              <a:cs typeface="Arial" panose="020B0604020202020204" pitchFamily="34" charset="0"/>
            </a:rPr>
            <a:t>Home</a:t>
          </a:r>
        </a:p>
      </xdr:txBody>
    </xdr:sp>
    <xdr:clientData fPrintsWithSheet="0"/>
  </xdr:twoCellAnchor>
  <xdr:twoCellAnchor>
    <xdr:from>
      <xdr:col>10</xdr:col>
      <xdr:colOff>11207</xdr:colOff>
      <xdr:row>0</xdr:row>
      <xdr:rowOff>705970</xdr:rowOff>
    </xdr:from>
    <xdr:to>
      <xdr:col>11</xdr:col>
      <xdr:colOff>805142</xdr:colOff>
      <xdr:row>2</xdr:row>
      <xdr:rowOff>109816</xdr:rowOff>
    </xdr:to>
    <xdr:sp macro="" textlink="">
      <xdr:nvSpPr>
        <xdr:cNvPr id="3" name="Rounded Rectangle 1">
          <a:hlinkClick xmlns:r="http://schemas.openxmlformats.org/officeDocument/2006/relationships" r:id="rId2"/>
          <a:extLst>
            <a:ext uri="{FF2B5EF4-FFF2-40B4-BE49-F238E27FC236}">
              <a16:creationId xmlns:a16="http://schemas.microsoft.com/office/drawing/2014/main" id="{00000000-0008-0000-1200-000003000000}"/>
            </a:ext>
          </a:extLst>
        </xdr:cNvPr>
        <xdr:cNvSpPr/>
      </xdr:nvSpPr>
      <xdr:spPr>
        <a:xfrm>
          <a:off x="10062883" y="705970"/>
          <a:ext cx="1690406" cy="614081"/>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Region</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twoCellAnchor>
    <xdr:from>
      <xdr:col>12</xdr:col>
      <xdr:colOff>24090</xdr:colOff>
      <xdr:row>0</xdr:row>
      <xdr:rowOff>725020</xdr:rowOff>
    </xdr:from>
    <xdr:to>
      <xdr:col>13</xdr:col>
      <xdr:colOff>680195</xdr:colOff>
      <xdr:row>2</xdr:row>
      <xdr:rowOff>123264</xdr:rowOff>
    </xdr:to>
    <xdr:sp macro="" textlink="">
      <xdr:nvSpPr>
        <xdr:cNvPr id="4" name="Rounded Rectangle 1">
          <a:hlinkClick xmlns:r="http://schemas.openxmlformats.org/officeDocument/2006/relationships" r:id="rId3"/>
          <a:extLst>
            <a:ext uri="{FF2B5EF4-FFF2-40B4-BE49-F238E27FC236}">
              <a16:creationId xmlns:a16="http://schemas.microsoft.com/office/drawing/2014/main" id="{00000000-0008-0000-1200-000004000000}"/>
            </a:ext>
          </a:extLst>
        </xdr:cNvPr>
        <xdr:cNvSpPr/>
      </xdr:nvSpPr>
      <xdr:spPr>
        <a:xfrm>
          <a:off x="11969561" y="725020"/>
          <a:ext cx="1552575" cy="608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000">
              <a:solidFill>
                <a:srgbClr val="7030A0"/>
              </a:solidFill>
              <a:latin typeface="Arial" panose="020B0604020202020204" pitchFamily="34" charset="0"/>
              <a:cs typeface="Arial" panose="020B0604020202020204" pitchFamily="34" charset="0"/>
            </a:rPr>
            <a:t>Reduction reasons</a:t>
          </a:r>
        </a:p>
        <a:p>
          <a:pPr algn="ctr"/>
          <a:r>
            <a:rPr lang="en-GB" sz="1000">
              <a:solidFill>
                <a:srgbClr val="7030A0"/>
              </a:solidFill>
              <a:latin typeface="Arial" panose="020B0604020202020204" pitchFamily="34" charset="0"/>
              <a:cs typeface="Arial" panose="020B0604020202020204" pitchFamily="34" charset="0"/>
            </a:rPr>
            <a:t>by</a:t>
          </a:r>
          <a:r>
            <a:rPr lang="en-GB" sz="1000" baseline="0">
              <a:solidFill>
                <a:srgbClr val="7030A0"/>
              </a:solidFill>
              <a:latin typeface="Arial" panose="020B0604020202020204" pitchFamily="34" charset="0"/>
              <a:cs typeface="Arial" panose="020B0604020202020204" pitchFamily="34" charset="0"/>
            </a:rPr>
            <a:t> </a:t>
          </a:r>
          <a:r>
            <a:rPr lang="en-GB" sz="1400" b="1" baseline="0">
              <a:solidFill>
                <a:srgbClr val="7030A0"/>
              </a:solidFill>
              <a:latin typeface="Arial" panose="020B0604020202020204" pitchFamily="34" charset="0"/>
              <a:cs typeface="Arial" panose="020B0604020202020204" pitchFamily="34" charset="0"/>
            </a:rPr>
            <a:t>PDU</a:t>
          </a:r>
          <a:endParaRPr lang="en-GB" sz="1000" b="1">
            <a:solidFill>
              <a:srgbClr val="7030A0"/>
            </a:solidFill>
            <a:latin typeface="Arial" panose="020B0604020202020204" pitchFamily="34" charset="0"/>
            <a:cs typeface="Arial" panose="020B0604020202020204" pitchFamily="34" charset="0"/>
          </a:endParaRP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xdr:from>
      <xdr:col>0</xdr:col>
      <xdr:colOff>68159</xdr:colOff>
      <xdr:row>0</xdr:row>
      <xdr:rowOff>176894</xdr:rowOff>
    </xdr:from>
    <xdr:to>
      <xdr:col>1</xdr:col>
      <xdr:colOff>375557</xdr:colOff>
      <xdr:row>0</xdr:row>
      <xdr:rowOff>830036</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800-000002000000}"/>
            </a:ext>
          </a:extLst>
        </xdr:cNvPr>
        <xdr:cNvSpPr/>
      </xdr:nvSpPr>
      <xdr:spPr>
        <a:xfrm>
          <a:off x="68159" y="176894"/>
          <a:ext cx="1341541" cy="653142"/>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8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1614714</xdr:colOff>
      <xdr:row>2</xdr:row>
      <xdr:rowOff>974640</xdr:rowOff>
    </xdr:from>
    <xdr:to>
      <xdr:col>3</xdr:col>
      <xdr:colOff>2118714</xdr:colOff>
      <xdr:row>2</xdr:row>
      <xdr:rowOff>1651886</xdr:rowOff>
    </xdr:to>
    <xdr:sp macro="" textlink="">
      <xdr:nvSpPr>
        <xdr:cNvPr id="8" name="Rounded Rectangle 1">
          <a:hlinkClick xmlns:r="http://schemas.openxmlformats.org/officeDocument/2006/relationships" r:id="rId2"/>
          <a:extLst>
            <a:ext uri="{FF2B5EF4-FFF2-40B4-BE49-F238E27FC236}">
              <a16:creationId xmlns:a16="http://schemas.microsoft.com/office/drawing/2014/main" id="{00000000-0008-0000-1800-000008000000}"/>
            </a:ext>
          </a:extLst>
        </xdr:cNvPr>
        <xdr:cNvSpPr/>
      </xdr:nvSpPr>
      <xdr:spPr>
        <a:xfrm>
          <a:off x="4544785" y="2779854"/>
          <a:ext cx="2182215" cy="677246"/>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a:t>
          </a:r>
        </a:p>
      </xdr:txBody>
    </xdr:sp>
    <xdr:clientData fLocksWithSheet="0"/>
  </xdr:twoCellAnchor>
  <xdr:twoCellAnchor>
    <xdr:from>
      <xdr:col>3</xdr:col>
      <xdr:colOff>3048001</xdr:colOff>
      <xdr:row>2</xdr:row>
      <xdr:rowOff>972825</xdr:rowOff>
    </xdr:from>
    <xdr:to>
      <xdr:col>6</xdr:col>
      <xdr:colOff>132858</xdr:colOff>
      <xdr:row>2</xdr:row>
      <xdr:rowOff>1656393</xdr:rowOff>
    </xdr:to>
    <xdr:sp macro="" textlink="">
      <xdr:nvSpPr>
        <xdr:cNvPr id="9" name="Rounded Rectangle 1">
          <a:hlinkClick xmlns:r="http://schemas.openxmlformats.org/officeDocument/2006/relationships" r:id="rId3"/>
          <a:extLst>
            <a:ext uri="{FF2B5EF4-FFF2-40B4-BE49-F238E27FC236}">
              <a16:creationId xmlns:a16="http://schemas.microsoft.com/office/drawing/2014/main" id="{00000000-0008-0000-1800-000009000000}"/>
            </a:ext>
          </a:extLst>
        </xdr:cNvPr>
        <xdr:cNvSpPr/>
      </xdr:nvSpPr>
      <xdr:spPr>
        <a:xfrm>
          <a:off x="7443108" y="2768968"/>
          <a:ext cx="2310000" cy="68356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a:t>
          </a:r>
        </a:p>
      </xdr:txBody>
    </xdr:sp>
    <xdr:clientData fLocksWithSheet="0"/>
  </xdr:twoCellAnchor>
  <xdr:twoCellAnchor>
    <xdr:from>
      <xdr:col>1</xdr:col>
      <xdr:colOff>377799</xdr:colOff>
      <xdr:row>2</xdr:row>
      <xdr:rowOff>1010924</xdr:rowOff>
    </xdr:from>
    <xdr:to>
      <xdr:col>2</xdr:col>
      <xdr:colOff>911680</xdr:colOff>
      <xdr:row>2</xdr:row>
      <xdr:rowOff>1632857</xdr:rowOff>
    </xdr:to>
    <xdr:sp macro="" textlink="">
      <xdr:nvSpPr>
        <xdr:cNvPr id="10" name="Rounded Rectangle 1">
          <a:hlinkClick xmlns:r="http://schemas.openxmlformats.org/officeDocument/2006/relationships" r:id="rId4"/>
          <a:extLst>
            <a:ext uri="{FF2B5EF4-FFF2-40B4-BE49-F238E27FC236}">
              <a16:creationId xmlns:a16="http://schemas.microsoft.com/office/drawing/2014/main" id="{00000000-0008-0000-1800-00000A000000}"/>
            </a:ext>
          </a:extLst>
        </xdr:cNvPr>
        <xdr:cNvSpPr/>
      </xdr:nvSpPr>
      <xdr:spPr>
        <a:xfrm>
          <a:off x="1411942" y="2807067"/>
          <a:ext cx="2302809" cy="62193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National caseload</a:t>
          </a:r>
        </a:p>
      </xdr:txBody>
    </xdr:sp>
    <xdr:clientData fLocksWithSheet="0"/>
  </xdr:twoCellAnchor>
  <xdr:twoCellAnchor>
    <xdr:from>
      <xdr:col>1</xdr:col>
      <xdr:colOff>875394</xdr:colOff>
      <xdr:row>2</xdr:row>
      <xdr:rowOff>2444750</xdr:rowOff>
    </xdr:from>
    <xdr:to>
      <xdr:col>3</xdr:col>
      <xdr:colOff>192562</xdr:colOff>
      <xdr:row>2</xdr:row>
      <xdr:rowOff>3297229</xdr:rowOff>
    </xdr:to>
    <xdr:sp macro="" textlink="">
      <xdr:nvSpPr>
        <xdr:cNvPr id="12" name="Rounded Rectangle 1">
          <a:hlinkClick xmlns:r="http://schemas.openxmlformats.org/officeDocument/2006/relationships" r:id="rId5"/>
          <a:extLst>
            <a:ext uri="{FF2B5EF4-FFF2-40B4-BE49-F238E27FC236}">
              <a16:creationId xmlns:a16="http://schemas.microsoft.com/office/drawing/2014/main" id="{10CCF790-0382-4122-BFD8-EAD102398E44}"/>
            </a:ext>
          </a:extLst>
        </xdr:cNvPr>
        <xdr:cNvSpPr/>
      </xdr:nvSpPr>
      <xdr:spPr>
        <a:xfrm>
          <a:off x="1954894" y="4249964"/>
          <a:ext cx="2845954"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Divisional caseload percentage</a:t>
          </a:r>
        </a:p>
      </xdr:txBody>
    </xdr:sp>
    <xdr:clientData fLocksWithSheet="0"/>
  </xdr:twoCellAnchor>
  <xdr:twoCellAnchor>
    <xdr:from>
      <xdr:col>3</xdr:col>
      <xdr:colOff>1200150</xdr:colOff>
      <xdr:row>2</xdr:row>
      <xdr:rowOff>2479222</xdr:rowOff>
    </xdr:from>
    <xdr:to>
      <xdr:col>4</xdr:col>
      <xdr:colOff>354032</xdr:colOff>
      <xdr:row>2</xdr:row>
      <xdr:rowOff>3331701</xdr:rowOff>
    </xdr:to>
    <xdr:sp macro="" textlink="">
      <xdr:nvSpPr>
        <xdr:cNvPr id="13" name="Rounded Rectangle 1">
          <a:hlinkClick xmlns:r="http://schemas.openxmlformats.org/officeDocument/2006/relationships" r:id="rId6"/>
          <a:extLst>
            <a:ext uri="{FF2B5EF4-FFF2-40B4-BE49-F238E27FC236}">
              <a16:creationId xmlns:a16="http://schemas.microsoft.com/office/drawing/2014/main" id="{48BBB189-CB77-4642-B571-896ADF9DAFA0}"/>
            </a:ext>
          </a:extLst>
        </xdr:cNvPr>
        <xdr:cNvSpPr/>
      </xdr:nvSpPr>
      <xdr:spPr>
        <a:xfrm>
          <a:off x="5595257" y="4275365"/>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Custody caseload percentage</a:t>
          </a:r>
        </a:p>
      </xdr:txBody>
    </xdr:sp>
    <xdr:clientData fLocksWithSheet="0"/>
  </xdr:twoCellAnchor>
  <xdr:twoCellAnchor>
    <xdr:from>
      <xdr:col>5</xdr:col>
      <xdr:colOff>304801</xdr:colOff>
      <xdr:row>2</xdr:row>
      <xdr:rowOff>2427514</xdr:rowOff>
    </xdr:from>
    <xdr:to>
      <xdr:col>9</xdr:col>
      <xdr:colOff>220683</xdr:colOff>
      <xdr:row>2</xdr:row>
      <xdr:rowOff>3279993</xdr:rowOff>
    </xdr:to>
    <xdr:sp macro="" textlink="">
      <xdr:nvSpPr>
        <xdr:cNvPr id="15" name="Rounded Rectangle 1">
          <a:hlinkClick xmlns:r="http://schemas.openxmlformats.org/officeDocument/2006/relationships" r:id="rId7"/>
          <a:extLst>
            <a:ext uri="{FF2B5EF4-FFF2-40B4-BE49-F238E27FC236}">
              <a16:creationId xmlns:a16="http://schemas.microsoft.com/office/drawing/2014/main" id="{B1AB9B6B-A9C9-44D8-BCC8-9966003091CC}"/>
            </a:ext>
          </a:extLst>
        </xdr:cNvPr>
        <xdr:cNvSpPr/>
      </xdr:nvSpPr>
      <xdr:spPr>
        <a:xfrm>
          <a:off x="9203872" y="4223657"/>
          <a:ext cx="2678132" cy="8524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baseline="0">
              <a:solidFill>
                <a:srgbClr val="7030A0"/>
              </a:solidFill>
              <a:latin typeface="Arial" panose="020B0604020202020204" pitchFamily="34" charset="0"/>
              <a:cs typeface="Arial" panose="020B0604020202020204" pitchFamily="34" charset="0"/>
            </a:rPr>
            <a:t>Community caseload percentage</a:t>
          </a:r>
        </a:p>
      </xdr:txBody>
    </xdr:sp>
    <xdr:clientData fLocksWithSheet="0"/>
  </xdr:twoCellAnchor>
  <xdr:twoCellAnchor>
    <xdr:from>
      <xdr:col>7</xdr:col>
      <xdr:colOff>598715</xdr:colOff>
      <xdr:row>2</xdr:row>
      <xdr:rowOff>902068</xdr:rowOff>
    </xdr:from>
    <xdr:to>
      <xdr:col>11</xdr:col>
      <xdr:colOff>230785</xdr:colOff>
      <xdr:row>2</xdr:row>
      <xdr:rowOff>1626726</xdr:rowOff>
    </xdr:to>
    <xdr:sp macro="" textlink="">
      <xdr:nvSpPr>
        <xdr:cNvPr id="16" name="Rounded Rectangle 1">
          <a:hlinkClick xmlns:r="http://schemas.openxmlformats.org/officeDocument/2006/relationships" r:id="rId8"/>
          <a:extLst>
            <a:ext uri="{FF2B5EF4-FFF2-40B4-BE49-F238E27FC236}">
              <a16:creationId xmlns:a16="http://schemas.microsoft.com/office/drawing/2014/main" id="{6150301F-49C0-45D1-9E83-B722A6866DB9}"/>
            </a:ext>
          </a:extLst>
        </xdr:cNvPr>
        <xdr:cNvSpPr/>
      </xdr:nvSpPr>
      <xdr:spPr>
        <a:xfrm>
          <a:off x="10899322" y="2698211"/>
          <a:ext cx="2380713" cy="72465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600">
              <a:solidFill>
                <a:srgbClr val="7030A0"/>
              </a:solidFill>
              <a:latin typeface="Arial" panose="020B0604020202020204" pitchFamily="34" charset="0"/>
              <a:cs typeface="Arial" panose="020B0604020202020204" pitchFamily="34" charset="0"/>
            </a:rPr>
            <a:t>Community</a:t>
          </a:r>
          <a:r>
            <a:rPr lang="en-GB" sz="1600" baseline="0">
              <a:solidFill>
                <a:srgbClr val="7030A0"/>
              </a:solidFill>
              <a:latin typeface="Arial" panose="020B0604020202020204" pitchFamily="34" charset="0"/>
              <a:cs typeface="Arial" panose="020B0604020202020204" pitchFamily="34" charset="0"/>
            </a:rPr>
            <a:t> caseload</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5.xml><?xml version="1.0" encoding="utf-8"?>
<xdr:wsDr xmlns:xdr="http://schemas.openxmlformats.org/drawingml/2006/spreadsheetDrawing" xmlns:a="http://schemas.openxmlformats.org/drawingml/2006/main">
  <xdr:twoCellAnchor>
    <xdr:from>
      <xdr:col>1</xdr:col>
      <xdr:colOff>235323</xdr:colOff>
      <xdr:row>0</xdr:row>
      <xdr:rowOff>199465</xdr:rowOff>
    </xdr:from>
    <xdr:to>
      <xdr:col>1</xdr:col>
      <xdr:colOff>1146361</xdr:colOff>
      <xdr:row>0</xdr:row>
      <xdr:rowOff>579782</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1266264" y="199465"/>
          <a:ext cx="911038"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2</xdr:col>
      <xdr:colOff>493057</xdr:colOff>
      <xdr:row>2</xdr:row>
      <xdr:rowOff>1813668</xdr:rowOff>
    </xdr:from>
    <xdr:to>
      <xdr:col>3</xdr:col>
      <xdr:colOff>1064557</xdr:colOff>
      <xdr:row>2</xdr:row>
      <xdr:rowOff>3025587</xdr:rowOff>
    </xdr:to>
    <xdr:sp macro="" textlink="">
      <xdr:nvSpPr>
        <xdr:cNvPr id="69" name="Rounded Rectangle 1">
          <a:hlinkClick xmlns:r="http://schemas.openxmlformats.org/officeDocument/2006/relationships" r:id="rId2"/>
          <a:extLst>
            <a:ext uri="{FF2B5EF4-FFF2-40B4-BE49-F238E27FC236}">
              <a16:creationId xmlns:a16="http://schemas.microsoft.com/office/drawing/2014/main" id="{00000000-0008-0000-1900-000045000000}"/>
            </a:ext>
          </a:extLst>
        </xdr:cNvPr>
        <xdr:cNvSpPr/>
      </xdr:nvSpPr>
      <xdr:spPr>
        <a:xfrm>
          <a:off x="3272116" y="2889433"/>
          <a:ext cx="2173941" cy="121191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200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Cluster Level Capacities, Reduction of Hours and Unallocated Cases</a:t>
          </a:r>
          <a:endParaRPr lang="en-GB" sz="20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3</xdr:col>
      <xdr:colOff>1689292</xdr:colOff>
      <xdr:row>2</xdr:row>
      <xdr:rowOff>1961029</xdr:rowOff>
    </xdr:from>
    <xdr:to>
      <xdr:col>3</xdr:col>
      <xdr:colOff>3320489</xdr:colOff>
      <xdr:row>2</xdr:row>
      <xdr:rowOff>2830352</xdr:rowOff>
    </xdr:to>
    <xdr:sp macro="" textlink="">
      <xdr:nvSpPr>
        <xdr:cNvPr id="70" name="Rounded Rectangle 1">
          <a:hlinkClick xmlns:r="http://schemas.openxmlformats.org/officeDocument/2006/relationships" r:id="rId3"/>
          <a:extLst>
            <a:ext uri="{FF2B5EF4-FFF2-40B4-BE49-F238E27FC236}">
              <a16:creationId xmlns:a16="http://schemas.microsoft.com/office/drawing/2014/main" id="{00000000-0008-0000-1900-000046000000}"/>
            </a:ext>
          </a:extLst>
        </xdr:cNvPr>
        <xdr:cNvSpPr/>
      </xdr:nvSpPr>
      <xdr:spPr>
        <a:xfrm>
          <a:off x="6070792" y="3036794"/>
          <a:ext cx="1631197" cy="869323"/>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Capacity Rankings</a:t>
          </a:r>
        </a:p>
      </xdr:txBody>
    </xdr:sp>
    <xdr:clientData fLocksWithSheet="0"/>
  </xdr:twoCellAnchor>
  <xdr:twoCellAnchor>
    <xdr:from>
      <xdr:col>0</xdr:col>
      <xdr:colOff>930087</xdr:colOff>
      <xdr:row>2</xdr:row>
      <xdr:rowOff>1927411</xdr:rowOff>
    </xdr:from>
    <xdr:to>
      <xdr:col>1</xdr:col>
      <xdr:colOff>1523670</xdr:colOff>
      <xdr:row>2</xdr:row>
      <xdr:rowOff>2801470</xdr:rowOff>
    </xdr:to>
    <xdr:sp macro="" textlink="">
      <xdr:nvSpPr>
        <xdr:cNvPr id="71" name="Rounded Rectangle 1">
          <a:hlinkClick xmlns:r="http://schemas.openxmlformats.org/officeDocument/2006/relationships" r:id="rId4"/>
          <a:extLst>
            <a:ext uri="{FF2B5EF4-FFF2-40B4-BE49-F238E27FC236}">
              <a16:creationId xmlns:a16="http://schemas.microsoft.com/office/drawing/2014/main" id="{00000000-0008-0000-1900-000047000000}"/>
            </a:ext>
          </a:extLst>
        </xdr:cNvPr>
        <xdr:cNvSpPr/>
      </xdr:nvSpPr>
      <xdr:spPr>
        <a:xfrm>
          <a:off x="930087" y="3003176"/>
          <a:ext cx="1624524"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WMT Divisional Capacity</a:t>
          </a:r>
        </a:p>
      </xdr:txBody>
    </xdr:sp>
    <xdr:clientData fLocksWithSheet="0"/>
  </xdr:twoCellAnchor>
  <xdr:twoCellAnchor>
    <xdr:from>
      <xdr:col>4</xdr:col>
      <xdr:colOff>212913</xdr:colOff>
      <xdr:row>2</xdr:row>
      <xdr:rowOff>1972234</xdr:rowOff>
    </xdr:from>
    <xdr:to>
      <xdr:col>6</xdr:col>
      <xdr:colOff>437029</xdr:colOff>
      <xdr:row>2</xdr:row>
      <xdr:rowOff>2846293</xdr:rowOff>
    </xdr:to>
    <xdr:sp macro="" textlink="">
      <xdr:nvSpPr>
        <xdr:cNvPr id="6" name="Rounded Rectangle 1">
          <a:hlinkClick xmlns:r="http://schemas.openxmlformats.org/officeDocument/2006/relationships" r:id="rId5"/>
          <a:extLst>
            <a:ext uri="{FF2B5EF4-FFF2-40B4-BE49-F238E27FC236}">
              <a16:creationId xmlns:a16="http://schemas.microsoft.com/office/drawing/2014/main" id="{00000000-0008-0000-1900-000006000000}"/>
            </a:ext>
          </a:extLst>
        </xdr:cNvPr>
        <xdr:cNvSpPr/>
      </xdr:nvSpPr>
      <xdr:spPr>
        <a:xfrm>
          <a:off x="8505266" y="3047999"/>
          <a:ext cx="1994645" cy="87405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Over</a:t>
          </a:r>
          <a:r>
            <a:rPr lang="en-GB" sz="1200" baseline="0">
              <a:solidFill>
                <a:srgbClr val="7030A0"/>
              </a:solidFill>
              <a:latin typeface="Arial" panose="020B0604020202020204" pitchFamily="34" charset="0"/>
              <a:cs typeface="Arial" panose="020B0604020202020204" pitchFamily="34" charset="0"/>
            </a:rPr>
            <a:t> Capacity by</a:t>
          </a:r>
        </a:p>
        <a:p>
          <a:pPr algn="ctr"/>
          <a:r>
            <a:rPr lang="en-GB" sz="1200" baseline="0">
              <a:solidFill>
                <a:srgbClr val="7030A0"/>
              </a:solidFill>
              <a:latin typeface="Arial" panose="020B0604020202020204" pitchFamily="34" charset="0"/>
              <a:cs typeface="Arial" panose="020B0604020202020204" pitchFamily="34" charset="0"/>
            </a:rPr>
            <a:t>Division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drawings/drawing26.xml><?xml version="1.0" encoding="utf-8"?>
<xdr:wsDr xmlns:xdr="http://schemas.openxmlformats.org/drawingml/2006/spreadsheetDrawing" xmlns:a="http://schemas.openxmlformats.org/drawingml/2006/main">
  <xdr:twoCellAnchor>
    <xdr:from>
      <xdr:col>0</xdr:col>
      <xdr:colOff>526677</xdr:colOff>
      <xdr:row>0</xdr:row>
      <xdr:rowOff>210671</xdr:rowOff>
    </xdr:from>
    <xdr:to>
      <xdr:col>1</xdr:col>
      <xdr:colOff>373156</xdr:colOff>
      <xdr:row>0</xdr:row>
      <xdr:rowOff>590988</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1A00-000002000000}"/>
            </a:ext>
          </a:extLst>
        </xdr:cNvPr>
        <xdr:cNvSpPr/>
      </xdr:nvSpPr>
      <xdr:spPr>
        <a:xfrm>
          <a:off x="526677" y="210671"/>
          <a:ext cx="877420" cy="380317"/>
        </a:xfrm>
        <a:prstGeom prst="roundRect">
          <a:avLst/>
        </a:prstGeom>
        <a:solidFill>
          <a:schemeClr val="accent1">
            <a:lumMod val="20000"/>
            <a:lumOff val="8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rgbClr val="7030A0"/>
              </a:solidFill>
              <a:latin typeface="Arial" panose="020B0604020202020204" pitchFamily="34" charset="0"/>
              <a:cs typeface="Arial" panose="020B0604020202020204" pitchFamily="34" charset="0"/>
            </a:rPr>
            <a:t>Home</a:t>
          </a:r>
        </a:p>
      </xdr:txBody>
    </xdr:sp>
    <xdr:clientData fLocksWithSheet="0"/>
  </xdr:twoCellAnchor>
  <xdr:twoCellAnchor>
    <xdr:from>
      <xdr:col>3</xdr:col>
      <xdr:colOff>149302</xdr:colOff>
      <xdr:row>2</xdr:row>
      <xdr:rowOff>1064553</xdr:rowOff>
    </xdr:from>
    <xdr:to>
      <xdr:col>3</xdr:col>
      <xdr:colOff>2221144</xdr:colOff>
      <xdr:row>2</xdr:row>
      <xdr:rowOff>1975632</xdr:rowOff>
    </xdr:to>
    <xdr:sp macro="" textlink="">
      <xdr:nvSpPr>
        <xdr:cNvPr id="6" name="Rounded Rectangle 1">
          <a:hlinkClick xmlns:r="http://schemas.openxmlformats.org/officeDocument/2006/relationships" r:id="rId2"/>
          <a:extLst>
            <a:ext uri="{FF2B5EF4-FFF2-40B4-BE49-F238E27FC236}">
              <a16:creationId xmlns:a16="http://schemas.microsoft.com/office/drawing/2014/main" id="{00000000-0008-0000-1A00-000006000000}"/>
            </a:ext>
          </a:extLst>
        </xdr:cNvPr>
        <xdr:cNvSpPr/>
      </xdr:nvSpPr>
      <xdr:spPr>
        <a:xfrm>
          <a:off x="4530802" y="2140318"/>
          <a:ext cx="2071842" cy="911079"/>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a:t>
          </a:r>
          <a:r>
            <a:rPr lang="en-GB" sz="1200">
              <a:solidFill>
                <a:srgbClr val="7030A0"/>
              </a:solidFill>
              <a:latin typeface="Arial" panose="020B0604020202020204" pitchFamily="34" charset="0"/>
              <a:cs typeface="Arial" panose="020B0604020202020204" pitchFamily="34" charset="0"/>
            </a:rPr>
            <a:t>PDU</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twoCellAnchor>
    <xdr:from>
      <xdr:col>4</xdr:col>
      <xdr:colOff>51323</xdr:colOff>
      <xdr:row>2</xdr:row>
      <xdr:rowOff>1066677</xdr:rowOff>
    </xdr:from>
    <xdr:to>
      <xdr:col>6</xdr:col>
      <xdr:colOff>419090</xdr:colOff>
      <xdr:row>2</xdr:row>
      <xdr:rowOff>1973425</xdr:rowOff>
    </xdr:to>
    <xdr:sp macro="" textlink="">
      <xdr:nvSpPr>
        <xdr:cNvPr id="7" name="Rounded Rectangle 1">
          <a:hlinkClick xmlns:r="http://schemas.openxmlformats.org/officeDocument/2006/relationships" r:id="rId3"/>
          <a:extLst>
            <a:ext uri="{FF2B5EF4-FFF2-40B4-BE49-F238E27FC236}">
              <a16:creationId xmlns:a16="http://schemas.microsoft.com/office/drawing/2014/main" id="{00000000-0008-0000-1A00-000007000000}"/>
            </a:ext>
          </a:extLst>
        </xdr:cNvPr>
        <xdr:cNvSpPr/>
      </xdr:nvSpPr>
      <xdr:spPr>
        <a:xfrm>
          <a:off x="7962676" y="2142442"/>
          <a:ext cx="2082267" cy="906748"/>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Regional Reductions as % of Contracted Hours</a:t>
          </a:r>
        </a:p>
      </xdr:txBody>
    </xdr:sp>
    <xdr:clientData fLocksWithSheet="0"/>
  </xdr:twoCellAnchor>
  <xdr:twoCellAnchor>
    <xdr:from>
      <xdr:col>1</xdr:col>
      <xdr:colOff>44823</xdr:colOff>
      <xdr:row>2</xdr:row>
      <xdr:rowOff>1064552</xdr:rowOff>
    </xdr:from>
    <xdr:to>
      <xdr:col>2</xdr:col>
      <xdr:colOff>358590</xdr:colOff>
      <xdr:row>2</xdr:row>
      <xdr:rowOff>1994647</xdr:rowOff>
    </xdr:to>
    <xdr:sp macro="" textlink="">
      <xdr:nvSpPr>
        <xdr:cNvPr id="8" name="Rounded Rectangle 1">
          <a:hlinkClick xmlns:r="http://schemas.openxmlformats.org/officeDocument/2006/relationships" r:id="rId4"/>
          <a:extLst>
            <a:ext uri="{FF2B5EF4-FFF2-40B4-BE49-F238E27FC236}">
              <a16:creationId xmlns:a16="http://schemas.microsoft.com/office/drawing/2014/main" id="{00000000-0008-0000-1A00-000008000000}"/>
            </a:ext>
          </a:extLst>
        </xdr:cNvPr>
        <xdr:cNvSpPr/>
      </xdr:nvSpPr>
      <xdr:spPr>
        <a:xfrm>
          <a:off x="1075764" y="2140317"/>
          <a:ext cx="2061885" cy="930095"/>
        </a:xfrm>
        <a:prstGeom prst="roundRect">
          <a:avLst/>
        </a:prstGeom>
        <a:solidFill>
          <a:schemeClr val="accent1">
            <a:lumMod val="40000"/>
            <a:lumOff val="60000"/>
          </a:schemeClr>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a:solidFill>
                <a:srgbClr val="7030A0"/>
              </a:solidFill>
              <a:latin typeface="Arial" panose="020B0604020202020204" pitchFamily="34" charset="0"/>
              <a:cs typeface="Arial" panose="020B0604020202020204" pitchFamily="34" charset="0"/>
            </a:rPr>
            <a:t>Reduction Reasons</a:t>
          </a:r>
        </a:p>
        <a:p>
          <a:pPr algn="ctr"/>
          <a:r>
            <a:rPr lang="en-GB" sz="1200">
              <a:solidFill>
                <a:srgbClr val="7030A0"/>
              </a:solidFill>
              <a:latin typeface="Arial" panose="020B0604020202020204" pitchFamily="34" charset="0"/>
              <a:cs typeface="Arial" panose="020B0604020202020204" pitchFamily="34" charset="0"/>
            </a:rPr>
            <a:t>by</a:t>
          </a:r>
          <a:r>
            <a:rPr lang="en-GB" sz="1200" baseline="0">
              <a:solidFill>
                <a:srgbClr val="7030A0"/>
              </a:solidFill>
              <a:latin typeface="Arial" panose="020B0604020202020204" pitchFamily="34" charset="0"/>
              <a:cs typeface="Arial" panose="020B0604020202020204" pitchFamily="34" charset="0"/>
            </a:rPr>
            <a:t> Region</a:t>
          </a:r>
          <a:endParaRPr lang="en-GB" sz="1600">
            <a:solidFill>
              <a:srgbClr val="7030A0"/>
            </a:solidFill>
            <a:latin typeface="Arial" panose="020B0604020202020204" pitchFamily="34" charset="0"/>
            <a:cs typeface="Arial" panose="020B0604020202020204" pitchFamily="34" charset="0"/>
          </a:endParaRPr>
        </a:p>
      </xdr:txBody>
    </xdr:sp>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justiceuk.sharepoint.com/nd1vcf0011/HBSSHAREDDATA01/NPS/NPS%20NE%20Division%20Hub/Performance%20&amp;%20Quality/Performance/2014-15%20Performance/PTRS%202013-14%20Q4%20Local.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https://justiceuk.sharepoint.com/UKBIA03KDFSJ001.a03.wp360g.svcs.hp.com/ORG/NPS%20Deputy%20Director%20Effective%20Probation%20Practice/NPS%202020%20Knowledge%20Management/1)%20Define/Risk%20Register/NPS202_KM_Risks%20Issues%20Register_v0.7.xlsm?02995023" TargetMode="External"/><Relationship Id="rId1" Type="http://schemas.openxmlformats.org/officeDocument/2006/relationships/externalLinkPath" Target="file:///02995023/NPS202_KM_Risks%20Issues%20Register_v0.7.xlsm" TargetMode="External"/></Relationships>
</file>

<file path=xl/externalLinks/_rels/externalLink3.xml.rels><?xml version="1.0" encoding="UTF-8" standalone="yes"?>
<Relationships xmlns="http://schemas.openxmlformats.org/package/2006/relationships"><Relationship Id="rId2" Type="http://schemas.microsoft.com/office/2019/04/relationships/externalLinkLongPath" Target="https://justiceuk.sharepoint.com/eucw4171nas002.dom1.infra.int/HMPPS_Finance$/NPS%20Deputy%20Director%20Effective%20Probation%20Practice/NPS%202020%20Knowledge%20Management/1)%20Define/Risk%20Register/NPS202_KM_Risks%20Issues%20Register_v0.7.xlsm?CE4A5563" TargetMode="External"/><Relationship Id="rId1" Type="http://schemas.openxmlformats.org/officeDocument/2006/relationships/externalLinkPath" Target="file:///CE4A5563/NPS202_KM_Risks%20Issues%20Register_v0.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Lookup"/>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Data"/>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orkload-measurement.hmpps.service.justice.gov.uk/probation/team/4199" TargetMode="External"/><Relationship Id="rId1" Type="http://schemas.openxmlformats.org/officeDocument/2006/relationships/hyperlink" Target="https://workload-measurement.hmpps.service.justice.gov.uk/probation/team/420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46"/>
  <sheetViews>
    <sheetView showGridLines="0" showRowColHeaders="0" tabSelected="1" zoomScale="82" zoomScaleNormal="82" zoomScaleSheetLayoutView="85" workbookViewId="0">
      <selection activeCell="B25" sqref="B25"/>
    </sheetView>
  </sheetViews>
  <sheetFormatPr baseColWidth="10" defaultColWidth="8.83203125" defaultRowHeight="14" x14ac:dyDescent="0.15"/>
  <cols>
    <col min="1" max="1" width="3.1640625" customWidth="1"/>
    <col min="2" max="2" width="77" customWidth="1"/>
    <col min="9" max="9" width="21.5" customWidth="1"/>
    <col min="10" max="10" width="9.5" bestFit="1" customWidth="1"/>
    <col min="15" max="15" width="66.33203125" customWidth="1"/>
    <col min="17" max="17" width="63.5" style="349" bestFit="1" customWidth="1"/>
    <col min="27" max="27" width="6.5" customWidth="1"/>
  </cols>
  <sheetData>
    <row r="1" spans="1:27" ht="45" customHeight="1" x14ac:dyDescent="0.15">
      <c r="B1" s="403" t="s">
        <v>0</v>
      </c>
      <c r="C1" s="403"/>
      <c r="D1" s="403"/>
      <c r="E1" s="403"/>
      <c r="F1" s="403"/>
      <c r="G1" s="403"/>
      <c r="H1" s="403"/>
      <c r="I1" s="403"/>
      <c r="J1" s="403"/>
      <c r="K1" s="403"/>
      <c r="L1" s="403"/>
      <c r="M1" s="403"/>
    </row>
    <row r="2" spans="1:27" x14ac:dyDescent="0.15">
      <c r="A2" s="9"/>
    </row>
    <row r="3" spans="1:27" ht="21.75" customHeight="1" x14ac:dyDescent="0.2">
      <c r="B3" s="357"/>
      <c r="C3" s="206"/>
      <c r="D3" s="206"/>
    </row>
    <row r="4" spans="1:27" ht="18" customHeight="1" x14ac:dyDescent="0.15">
      <c r="C4" s="205"/>
      <c r="D4" s="205"/>
      <c r="O4" s="347"/>
      <c r="P4" s="348"/>
      <c r="Q4" s="350"/>
      <c r="R4" s="348"/>
      <c r="S4" s="348"/>
      <c r="T4" s="348"/>
      <c r="U4" s="348"/>
      <c r="V4" s="348"/>
      <c r="W4" s="348"/>
      <c r="X4" s="348"/>
      <c r="Y4" s="348"/>
      <c r="Z4" s="348"/>
      <c r="AA4" s="348"/>
    </row>
    <row r="5" spans="1:27" ht="23.25" customHeight="1" x14ac:dyDescent="0.15">
      <c r="B5" s="358" t="s">
        <v>1320</v>
      </c>
      <c r="C5" s="205"/>
      <c r="D5" s="205"/>
      <c r="O5" s="359" t="s">
        <v>1319</v>
      </c>
      <c r="P5" s="348"/>
      <c r="Q5" s="350"/>
      <c r="R5" s="348"/>
      <c r="S5" s="348"/>
      <c r="T5" s="348"/>
      <c r="U5" s="348"/>
      <c r="V5" s="348"/>
      <c r="W5" s="348"/>
      <c r="X5" s="348"/>
      <c r="Y5" s="348"/>
      <c r="Z5" s="348"/>
      <c r="AA5" s="348"/>
    </row>
    <row r="6" spans="1:27" ht="18" customHeight="1" x14ac:dyDescent="0.2">
      <c r="B6" s="361" t="s">
        <v>3</v>
      </c>
      <c r="C6" s="205"/>
      <c r="D6" s="205"/>
      <c r="O6" s="362" t="s">
        <v>9</v>
      </c>
      <c r="P6" s="59"/>
      <c r="R6" s="59"/>
      <c r="S6" s="60"/>
    </row>
    <row r="7" spans="1:27" ht="18" customHeight="1" x14ac:dyDescent="0.15">
      <c r="B7" s="361" t="s">
        <v>1318</v>
      </c>
      <c r="C7" s="205"/>
      <c r="D7" s="205"/>
      <c r="O7" s="362" t="s">
        <v>10</v>
      </c>
      <c r="P7" s="348"/>
      <c r="R7" s="348"/>
      <c r="S7" s="348"/>
      <c r="T7" s="348"/>
      <c r="U7" s="348"/>
      <c r="V7" s="348"/>
      <c r="W7" s="348"/>
      <c r="X7" s="348"/>
      <c r="Y7" s="348"/>
      <c r="Z7" s="348"/>
      <c r="AA7" s="348"/>
    </row>
    <row r="8" spans="1:27" ht="18" customHeight="1" x14ac:dyDescent="0.2">
      <c r="B8" s="362" t="s">
        <v>1341</v>
      </c>
      <c r="C8" s="205"/>
      <c r="D8" s="205"/>
      <c r="O8" s="360"/>
      <c r="P8" s="59"/>
      <c r="R8" s="60"/>
    </row>
    <row r="9" spans="1:27" ht="18" customHeight="1" x14ac:dyDescent="0.15">
      <c r="B9" s="362" t="s">
        <v>5</v>
      </c>
      <c r="C9" s="205"/>
      <c r="D9" s="205"/>
      <c r="O9" s="359" t="s">
        <v>1321</v>
      </c>
      <c r="P9" s="348"/>
      <c r="R9" s="348"/>
      <c r="S9" s="348"/>
      <c r="T9" s="348"/>
      <c r="U9" s="348"/>
      <c r="V9" s="348"/>
      <c r="W9" s="348"/>
      <c r="X9" s="348"/>
      <c r="Y9" s="348"/>
      <c r="Z9" s="348"/>
      <c r="AA9" s="348"/>
    </row>
    <row r="10" spans="1:27" ht="17.25" customHeight="1" x14ac:dyDescent="0.2">
      <c r="B10" s="362" t="s">
        <v>6</v>
      </c>
      <c r="C10" s="205"/>
      <c r="D10" s="205"/>
      <c r="O10" s="362" t="s">
        <v>1324</v>
      </c>
      <c r="P10" s="59"/>
      <c r="Q10" s="351"/>
      <c r="R10" s="59"/>
      <c r="S10" s="60"/>
    </row>
    <row r="11" spans="1:27" ht="18" customHeight="1" x14ac:dyDescent="0.2">
      <c r="B11" s="362" t="s">
        <v>8</v>
      </c>
      <c r="O11" s="362" t="s">
        <v>4</v>
      </c>
      <c r="P11" s="210"/>
      <c r="Q11" s="352"/>
      <c r="R11" s="210"/>
      <c r="S11" s="210"/>
    </row>
    <row r="12" spans="1:27" ht="19.5" customHeight="1" x14ac:dyDescent="0.2">
      <c r="B12" s="362" t="s">
        <v>11</v>
      </c>
      <c r="O12" s="362" t="s">
        <v>7</v>
      </c>
      <c r="P12" s="209"/>
      <c r="Q12" s="353"/>
      <c r="R12" s="209"/>
      <c r="S12" s="209"/>
    </row>
    <row r="13" spans="1:27" ht="18" x14ac:dyDescent="0.2">
      <c r="B13" s="362" t="s">
        <v>12</v>
      </c>
      <c r="O13" s="362" t="s">
        <v>1323</v>
      </c>
      <c r="P13" s="210"/>
      <c r="Q13" s="352"/>
      <c r="R13" s="210"/>
      <c r="S13" s="210"/>
    </row>
    <row r="14" spans="1:27" ht="18" x14ac:dyDescent="0.2">
      <c r="B14" s="362" t="s">
        <v>13</v>
      </c>
      <c r="O14" s="360"/>
      <c r="P14" s="210"/>
      <c r="Q14" s="210"/>
      <c r="R14" s="210"/>
      <c r="S14" s="210"/>
      <c r="T14" s="210"/>
    </row>
    <row r="15" spans="1:27" ht="20" x14ac:dyDescent="0.2">
      <c r="B15" s="362" t="s">
        <v>14</v>
      </c>
      <c r="O15" s="359" t="s">
        <v>1322</v>
      </c>
      <c r="P15" s="210"/>
      <c r="Q15" s="210"/>
      <c r="R15" s="210"/>
      <c r="S15" s="210"/>
    </row>
    <row r="16" spans="1:27" ht="18" x14ac:dyDescent="0.2">
      <c r="B16" s="362" t="s">
        <v>15</v>
      </c>
      <c r="O16" s="362" t="s">
        <v>1</v>
      </c>
      <c r="P16" s="210"/>
      <c r="Q16" s="352"/>
      <c r="R16" s="210"/>
      <c r="S16" s="210"/>
    </row>
    <row r="17" spans="2:19" ht="18" x14ac:dyDescent="0.2">
      <c r="B17" s="362" t="s">
        <v>16</v>
      </c>
      <c r="O17" s="362" t="s">
        <v>2</v>
      </c>
      <c r="P17" s="210"/>
      <c r="Q17" s="352"/>
      <c r="R17" s="210"/>
      <c r="S17" s="210"/>
    </row>
    <row r="18" spans="2:19" ht="18" x14ac:dyDescent="0.2">
      <c r="B18" s="362" t="s">
        <v>1311</v>
      </c>
      <c r="P18" s="210"/>
      <c r="Q18" s="352"/>
      <c r="R18" s="210"/>
      <c r="S18" s="210"/>
    </row>
    <row r="19" spans="2:19" ht="18" x14ac:dyDescent="0.2">
      <c r="O19" s="346"/>
      <c r="P19" s="210"/>
      <c r="Q19" s="352"/>
      <c r="R19" s="210"/>
      <c r="S19" s="210"/>
    </row>
    <row r="20" spans="2:19" ht="18" x14ac:dyDescent="0.2">
      <c r="O20" s="60"/>
      <c r="P20" s="210"/>
      <c r="Q20" s="352"/>
      <c r="R20" s="210"/>
      <c r="S20" s="210"/>
    </row>
    <row r="21" spans="2:19" x14ac:dyDescent="0.15">
      <c r="O21" s="345"/>
    </row>
    <row r="22" spans="2:19" ht="18" x14ac:dyDescent="0.2">
      <c r="B22" s="393"/>
      <c r="O22" s="60"/>
      <c r="P22" s="346"/>
      <c r="Q22" s="354"/>
      <c r="R22" s="346"/>
      <c r="S22" s="346"/>
    </row>
    <row r="23" spans="2:19" ht="18" x14ac:dyDescent="0.2">
      <c r="O23" s="209"/>
      <c r="P23" s="60"/>
      <c r="Q23" s="355"/>
      <c r="R23" s="60"/>
      <c r="S23" s="60"/>
    </row>
    <row r="24" spans="2:19" ht="18" x14ac:dyDescent="0.2">
      <c r="O24" s="60"/>
      <c r="P24" s="345"/>
      <c r="Q24" s="356"/>
      <c r="R24" s="345"/>
      <c r="S24" s="345"/>
    </row>
    <row r="25" spans="2:19" ht="18" x14ac:dyDescent="0.2">
      <c r="P25" s="60"/>
      <c r="Q25" s="355"/>
      <c r="R25" s="60"/>
      <c r="S25" s="60"/>
    </row>
    <row r="26" spans="2:19" ht="18" x14ac:dyDescent="0.2">
      <c r="P26" s="209"/>
      <c r="Q26" s="353"/>
      <c r="R26" s="209"/>
      <c r="S26" s="209"/>
    </row>
    <row r="27" spans="2:19" ht="18" x14ac:dyDescent="0.2">
      <c r="P27" s="60"/>
      <c r="Q27" s="355"/>
      <c r="R27" s="60"/>
      <c r="S27" s="60"/>
    </row>
    <row r="33" spans="2:10" x14ac:dyDescent="0.15">
      <c r="J33" s="7"/>
    </row>
    <row r="41" spans="2:10" x14ac:dyDescent="0.15">
      <c r="C41" s="53"/>
    </row>
    <row r="46" spans="2:10" x14ac:dyDescent="0.15">
      <c r="B46" s="53"/>
    </row>
  </sheetData>
  <sheetProtection selectLockedCells="1"/>
  <mergeCells count="1">
    <mergeCell ref="B1:M1"/>
  </mergeCells>
  <hyperlinks>
    <hyperlink ref="O10" location="'cluster overview'!A1" display="'cluster overview'!A1" xr:uid="{00000000-0004-0000-0000-000000000000}"/>
    <hyperlink ref="O11" location="'cluster officer capacity ranks'!A1" display="PDU capacity top ten rankings" xr:uid="{00000000-0004-0000-0000-000003000000}"/>
    <hyperlink ref="O12" location="'cluster reductions'!A1" display="PDU reasons for reduction" xr:uid="{00000000-0004-0000-0000-000006000000}"/>
    <hyperlink ref="O6" location="'national caseload'!A1" display="National Caseload Allocations" xr:uid="{00000000-0004-0000-0000-000008000000}"/>
    <hyperlink ref="O7" location="'national tier ratios'!A1" display="National breakdown ratios of caseload allocation by tier" xr:uid="{00000000-0004-0000-0000-000011000000}"/>
    <hyperlink ref="O13" location="'team overview'!A1" display="team overview" xr:uid="{00000000-0004-0000-0000-000013000000}"/>
    <hyperlink ref="O16" location="'HMIP caseload divisional'!A1" display="Regional caseload per FTE " xr:uid="{D26B0511-B44F-4B16-91B1-849DE5931B85}"/>
    <hyperlink ref="O17" location="'HMIP caseload cluster'!A1" display="PDU caseload per FTE" xr:uid="{F658710E-8DD2-4370-B8B2-62ED082E66AF}"/>
    <hyperlink ref="B6" location="'divisional &amp; regional overview'!A1" display="Regional overview" xr:uid="{3499C986-87A0-442C-B2C9-BEE201B2BD4F}"/>
    <hyperlink ref="B9" location="'div &amp; regional over-capacities'!A1" display="Regional over-capacity ratios" xr:uid="{3DCE1F40-5608-40FD-80EF-1CA32EE95D89}"/>
    <hyperlink ref="B10" location="'reasons for reduction division'!A1" display="'reasons for reduction division'!A1" xr:uid="{5325B26B-0AD1-4B3F-B9DB-D5BE04CCCC0D}"/>
    <hyperlink ref="B11" location="'div &amp; regional reduction hours'!A1" display="Regional reduction in hours" xr:uid="{D627FC47-EA7D-4DBA-94EF-CF9404917255}"/>
    <hyperlink ref="B12" location="'divisional &amp; regional caseload'!A1" display="Regional overall allocation of cases" xr:uid="{0D261C20-2F4C-4CC6-80B7-08AA00B2B194}"/>
    <hyperlink ref="B13" location="'divisional &amp; regional caseload%'!A1" display="intra-divisional / regional overall allocation of cases as percentage" xr:uid="{BE5B2220-E072-476C-A794-FDC1AA7A319B}"/>
    <hyperlink ref="B15" location="'custody %'!A1" display="Regional allocation of custody cases as percentage" xr:uid="{9DC798DC-346E-4240-9B19-E5CD1EA57698}"/>
    <hyperlink ref="B17" location="'community %'!A1" display="intra-divisional allocation of cases in the community as percentage" xr:uid="{835EEEE3-7EAD-44B1-B813-E969EB17BE59}"/>
    <hyperlink ref="B18" location="'unallocated cases'!A1" display="Regional Unallocated Cases" xr:uid="{FB52A3A8-4A73-404D-A3BF-7F3C978D4640}"/>
    <hyperlink ref="B16" location="'community caseload'!A1" display="Regional allocation of cases in the community" xr:uid="{5289E5FB-62B2-4100-82D1-0238749C8066}"/>
    <hyperlink ref="B14" location="'custody caseload'!A1" display="Regional allocation of custody cases" xr:uid="{284DCD69-9B82-42C9-B3CE-AD5258AB02FF}"/>
    <hyperlink ref="B8" location="'cluster capacity, unallocateds'!A1" display="'cluster capacity, unallocateds'!A1" xr:uid="{5718375A-824B-4E12-B3F3-5E073267FBDC}"/>
    <hyperlink ref="B7" location="'divisional &amp; regional capacity'!A1" display="Regional Probation Practitioners capacity in use" xr:uid="{BDC499FE-0A55-4F1A-A63B-81A2046DF18C}"/>
  </hyperlinks>
  <pageMargins left="0.7" right="0.7" top="0.75" bottom="0.75" header="0.3" footer="0.3"/>
  <pageSetup paperSize="9" scale="57" orientation="landscape"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PDUs!$A$30:$A$42</xm:f>
          </x14:formula1>
          <xm:sqref>I33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tabColor rgb="FFE27070"/>
  </sheetPr>
  <dimension ref="A1:Y489"/>
  <sheetViews>
    <sheetView topLeftCell="U4" zoomScaleNormal="100" workbookViewId="0">
      <selection activeCell="Z17" sqref="Z17"/>
    </sheetView>
  </sheetViews>
  <sheetFormatPr baseColWidth="10" defaultColWidth="8.83203125" defaultRowHeight="15" x14ac:dyDescent="0.2"/>
  <cols>
    <col min="1" max="1" width="31.5" style="245" bestFit="1" customWidth="1"/>
    <col min="2" max="2" width="29.5" style="245" bestFit="1" customWidth="1"/>
    <col min="3" max="3" width="26.5" style="245" bestFit="1" customWidth="1"/>
    <col min="4" max="4" width="31.83203125" style="245" customWidth="1"/>
    <col min="5" max="5" width="51.1640625" style="245" bestFit="1" customWidth="1"/>
    <col min="6" max="6" width="45.5" style="245" bestFit="1" customWidth="1"/>
    <col min="7" max="7" width="26.5" style="245" bestFit="1" customWidth="1"/>
    <col min="8" max="8" width="34.5" style="245" bestFit="1" customWidth="1"/>
    <col min="9" max="9" width="50.83203125" style="245" bestFit="1" customWidth="1"/>
    <col min="10" max="10" width="23.1640625" style="245" bestFit="1" customWidth="1"/>
    <col min="11" max="11" width="31.5" style="245" bestFit="1" customWidth="1"/>
    <col min="12" max="12" width="53.5" style="245" customWidth="1"/>
    <col min="13" max="13" width="26.5" style="245" bestFit="1" customWidth="1"/>
    <col min="14" max="14" width="44.5" style="245" bestFit="1" customWidth="1"/>
    <col min="15" max="15" width="31.83203125" style="245" bestFit="1" customWidth="1"/>
    <col min="16" max="16" width="39.5" style="245" customWidth="1"/>
    <col min="17" max="17" width="33.5" style="245" bestFit="1" customWidth="1"/>
    <col min="18" max="18" width="55.1640625" style="245" bestFit="1" customWidth="1"/>
    <col min="19" max="19" width="30.5" style="247" bestFit="1" customWidth="1"/>
    <col min="20" max="20" width="41.5" style="245" bestFit="1" customWidth="1"/>
    <col min="21" max="22" width="45.1640625" style="245" customWidth="1"/>
    <col min="23" max="23" width="46.83203125" style="245" bestFit="1" customWidth="1"/>
    <col min="24" max="24" width="35.5" style="245" bestFit="1" customWidth="1"/>
    <col min="25" max="25" width="45.1640625" style="245" bestFit="1" customWidth="1"/>
    <col min="26" max="16384" width="8.83203125" style="245"/>
  </cols>
  <sheetData>
    <row r="1" spans="1:25" s="251" customFormat="1" x14ac:dyDescent="0.2">
      <c r="A1" s="248" t="s">
        <v>17</v>
      </c>
      <c r="B1" s="248" t="s">
        <v>18</v>
      </c>
      <c r="C1" s="248" t="s">
        <v>19</v>
      </c>
      <c r="D1" s="248" t="s">
        <v>20</v>
      </c>
      <c r="E1" s="248" t="s">
        <v>21</v>
      </c>
      <c r="F1" s="248" t="s">
        <v>22</v>
      </c>
      <c r="G1" s="248" t="s">
        <v>23</v>
      </c>
      <c r="H1" s="248" t="s">
        <v>24</v>
      </c>
      <c r="I1" s="248" t="s">
        <v>25</v>
      </c>
      <c r="J1" s="248" t="s">
        <v>26</v>
      </c>
      <c r="K1" s="248" t="s">
        <v>27</v>
      </c>
      <c r="L1" s="248" t="s">
        <v>28</v>
      </c>
      <c r="M1" s="249"/>
      <c r="N1" s="250" t="s">
        <v>17</v>
      </c>
      <c r="O1" s="331" t="s">
        <v>18</v>
      </c>
      <c r="P1" s="332" t="s">
        <v>19</v>
      </c>
      <c r="Q1" s="319" t="s">
        <v>20</v>
      </c>
      <c r="R1" s="332" t="s">
        <v>21</v>
      </c>
      <c r="S1" s="333" t="s">
        <v>22</v>
      </c>
      <c r="T1" s="332" t="s">
        <v>23</v>
      </c>
      <c r="U1" s="319" t="s">
        <v>24</v>
      </c>
      <c r="V1" s="319" t="s">
        <v>25</v>
      </c>
      <c r="W1" s="305" t="s">
        <v>26</v>
      </c>
      <c r="X1" s="249" t="s">
        <v>27</v>
      </c>
      <c r="Y1" s="331" t="s">
        <v>28</v>
      </c>
    </row>
    <row r="2" spans="1:25" x14ac:dyDescent="0.2">
      <c r="A2" s="245" t="s">
        <v>29</v>
      </c>
      <c r="B2" s="245" t="s">
        <v>30</v>
      </c>
      <c r="C2" s="245" t="s">
        <v>31</v>
      </c>
      <c r="D2" s="245" t="s">
        <v>32</v>
      </c>
      <c r="E2" s="254" t="s">
        <v>1347</v>
      </c>
      <c r="F2" s="245" t="s">
        <v>34</v>
      </c>
      <c r="G2" s="245" t="s">
        <v>35</v>
      </c>
      <c r="H2" s="245" t="s">
        <v>36</v>
      </c>
      <c r="I2" s="245" t="s">
        <v>37</v>
      </c>
      <c r="J2" s="245" t="s">
        <v>38</v>
      </c>
      <c r="K2" s="245" t="s">
        <v>39</v>
      </c>
      <c r="L2" s="245" t="s">
        <v>62</v>
      </c>
      <c r="N2" s="338" t="s">
        <v>41</v>
      </c>
      <c r="O2" s="339" t="s">
        <v>42</v>
      </c>
      <c r="P2" s="338" t="s">
        <v>43</v>
      </c>
      <c r="Q2" s="339" t="s">
        <v>66</v>
      </c>
      <c r="R2" s="338" t="s">
        <v>45</v>
      </c>
      <c r="S2" s="341" t="s">
        <v>46</v>
      </c>
      <c r="T2" s="338" t="s">
        <v>47</v>
      </c>
      <c r="U2" s="344" t="s">
        <v>1201</v>
      </c>
      <c r="V2" s="342" t="s">
        <v>1283</v>
      </c>
      <c r="W2" s="338" t="s">
        <v>48</v>
      </c>
      <c r="X2" s="338" t="s">
        <v>49</v>
      </c>
      <c r="Y2" s="339" t="s">
        <v>50</v>
      </c>
    </row>
    <row r="3" spans="1:25" x14ac:dyDescent="0.2">
      <c r="A3" s="245" t="s">
        <v>51</v>
      </c>
      <c r="B3" s="245" t="s">
        <v>52</v>
      </c>
      <c r="C3" s="245" t="s">
        <v>53</v>
      </c>
      <c r="D3" s="245" t="s">
        <v>54</v>
      </c>
      <c r="E3" s="245" t="s">
        <v>33</v>
      </c>
      <c r="F3" s="245" t="s">
        <v>56</v>
      </c>
      <c r="G3" s="245" t="s">
        <v>57</v>
      </c>
      <c r="H3" s="245" t="s">
        <v>58</v>
      </c>
      <c r="I3" s="245" t="s">
        <v>59</v>
      </c>
      <c r="J3" s="245" t="s">
        <v>60</v>
      </c>
      <c r="K3" s="245" t="s">
        <v>61</v>
      </c>
      <c r="L3" s="245" t="s">
        <v>83</v>
      </c>
      <c r="N3" s="338" t="s">
        <v>63</v>
      </c>
      <c r="O3" s="339" t="s">
        <v>64</v>
      </c>
      <c r="P3" s="338" t="s">
        <v>65</v>
      </c>
      <c r="Q3" s="339" t="s">
        <v>87</v>
      </c>
      <c r="R3" s="338" t="s">
        <v>67</v>
      </c>
      <c r="S3" s="341" t="s">
        <v>68</v>
      </c>
      <c r="T3" s="338" t="s">
        <v>69</v>
      </c>
      <c r="U3" s="344" t="s">
        <v>1202</v>
      </c>
      <c r="V3" s="342" t="s">
        <v>1284</v>
      </c>
      <c r="W3" s="338" t="s">
        <v>91</v>
      </c>
      <c r="X3" s="338" t="s">
        <v>271</v>
      </c>
      <c r="Y3" s="339" t="s">
        <v>71</v>
      </c>
    </row>
    <row r="4" spans="1:25" x14ac:dyDescent="0.2">
      <c r="A4" s="245" t="s">
        <v>72</v>
      </c>
      <c r="B4" s="245" t="s">
        <v>73</v>
      </c>
      <c r="C4" s="245" t="s">
        <v>74</v>
      </c>
      <c r="D4" s="245" t="s">
        <v>75</v>
      </c>
      <c r="E4" s="245" t="s">
        <v>55</v>
      </c>
      <c r="F4" s="245" t="s">
        <v>77</v>
      </c>
      <c r="G4" s="245" t="s">
        <v>78</v>
      </c>
      <c r="H4" s="245" t="s">
        <v>79</v>
      </c>
      <c r="I4" s="245" t="s">
        <v>80</v>
      </c>
      <c r="J4" s="245" t="s">
        <v>81</v>
      </c>
      <c r="K4" s="245" t="s">
        <v>82</v>
      </c>
      <c r="L4" s="245" t="s">
        <v>105</v>
      </c>
      <c r="N4" s="338" t="s">
        <v>84</v>
      </c>
      <c r="O4" s="339" t="s">
        <v>85</v>
      </c>
      <c r="P4" s="338" t="s">
        <v>86</v>
      </c>
      <c r="Q4" s="339" t="s">
        <v>109</v>
      </c>
      <c r="R4" s="338" t="s">
        <v>88</v>
      </c>
      <c r="S4" s="338" t="s">
        <v>89</v>
      </c>
      <c r="T4" s="338" t="s">
        <v>90</v>
      </c>
      <c r="U4" s="344" t="s">
        <v>1203</v>
      </c>
      <c r="V4" s="342" t="s">
        <v>1285</v>
      </c>
      <c r="W4" s="338" t="s">
        <v>113</v>
      </c>
      <c r="X4" s="338" t="s">
        <v>286</v>
      </c>
      <c r="Y4" s="339" t="s">
        <v>93</v>
      </c>
    </row>
    <row r="5" spans="1:25" x14ac:dyDescent="0.2">
      <c r="A5" s="245" t="s">
        <v>94</v>
      </c>
      <c r="B5" s="245" t="s">
        <v>95</v>
      </c>
      <c r="C5" s="245" t="s">
        <v>96</v>
      </c>
      <c r="D5" s="245" t="s">
        <v>97</v>
      </c>
      <c r="E5" s="245" t="s">
        <v>76</v>
      </c>
      <c r="F5" s="245" t="s">
        <v>99</v>
      </c>
      <c r="G5" s="245" t="s">
        <v>100</v>
      </c>
      <c r="H5" s="245" t="s">
        <v>101</v>
      </c>
      <c r="I5" s="245" t="s">
        <v>102</v>
      </c>
      <c r="J5" s="245" t="s">
        <v>103</v>
      </c>
      <c r="K5" s="245" t="s">
        <v>104</v>
      </c>
      <c r="L5" s="245" t="s">
        <v>127</v>
      </c>
      <c r="N5" s="338" t="s">
        <v>106</v>
      </c>
      <c r="O5" s="339" t="s">
        <v>107</v>
      </c>
      <c r="P5" s="338" t="s">
        <v>108</v>
      </c>
      <c r="Q5" s="339" t="s">
        <v>131</v>
      </c>
      <c r="R5" s="338" t="s">
        <v>110</v>
      </c>
      <c r="S5" s="338" t="s">
        <v>111</v>
      </c>
      <c r="T5" s="338" t="s">
        <v>112</v>
      </c>
      <c r="U5" s="344" t="s">
        <v>1204</v>
      </c>
      <c r="V5" s="342" t="s">
        <v>1286</v>
      </c>
      <c r="W5" s="338" t="s">
        <v>134</v>
      </c>
      <c r="X5" s="338" t="s">
        <v>70</v>
      </c>
      <c r="Y5" s="339" t="s">
        <v>1344</v>
      </c>
    </row>
    <row r="6" spans="1:25" x14ac:dyDescent="0.2">
      <c r="A6" s="245" t="s">
        <v>116</v>
      </c>
      <c r="B6" s="245" t="s">
        <v>117</v>
      </c>
      <c r="C6" s="245" t="s">
        <v>118</v>
      </c>
      <c r="D6" s="245" t="s">
        <v>119</v>
      </c>
      <c r="E6" s="245" t="s">
        <v>98</v>
      </c>
      <c r="F6" s="245" t="s">
        <v>121</v>
      </c>
      <c r="G6" s="245" t="s">
        <v>122</v>
      </c>
      <c r="H6" s="245" t="s">
        <v>123</v>
      </c>
      <c r="I6" s="245" t="s">
        <v>124</v>
      </c>
      <c r="J6" s="245" t="s">
        <v>125</v>
      </c>
      <c r="K6" s="245" t="s">
        <v>126</v>
      </c>
      <c r="L6" s="245" t="s">
        <v>148</v>
      </c>
      <c r="N6" s="338" t="s">
        <v>128</v>
      </c>
      <c r="O6" s="339" t="s">
        <v>129</v>
      </c>
      <c r="P6" s="338" t="s">
        <v>130</v>
      </c>
      <c r="Q6" s="339" t="s">
        <v>152</v>
      </c>
      <c r="R6" s="338" t="s">
        <v>132</v>
      </c>
      <c r="S6" s="338" t="s">
        <v>1271</v>
      </c>
      <c r="T6" s="338" t="s">
        <v>133</v>
      </c>
      <c r="U6" s="344" t="s">
        <v>1205</v>
      </c>
      <c r="V6" s="342" t="s">
        <v>1287</v>
      </c>
      <c r="W6" s="338" t="s">
        <v>155</v>
      </c>
      <c r="X6" s="338" t="s">
        <v>92</v>
      </c>
      <c r="Y6" s="339" t="s">
        <v>115</v>
      </c>
    </row>
    <row r="7" spans="1:25" x14ac:dyDescent="0.2">
      <c r="A7" s="245" t="s">
        <v>137</v>
      </c>
      <c r="B7" s="245" t="s">
        <v>138</v>
      </c>
      <c r="C7" s="245" t="s">
        <v>139</v>
      </c>
      <c r="D7" s="245" t="s">
        <v>140</v>
      </c>
      <c r="E7" s="245" t="s">
        <v>120</v>
      </c>
      <c r="F7" s="245" t="s">
        <v>142</v>
      </c>
      <c r="G7" s="245" t="s">
        <v>143</v>
      </c>
      <c r="H7" s="245" t="s">
        <v>144</v>
      </c>
      <c r="I7" s="245" t="s">
        <v>145</v>
      </c>
      <c r="J7" s="245" t="s">
        <v>146</v>
      </c>
      <c r="K7" s="245" t="s">
        <v>147</v>
      </c>
      <c r="L7" s="245" t="s">
        <v>169</v>
      </c>
      <c r="N7" s="338" t="s">
        <v>149</v>
      </c>
      <c r="O7" s="339" t="s">
        <v>150</v>
      </c>
      <c r="P7" s="338" t="s">
        <v>151</v>
      </c>
      <c r="Q7" s="339" t="s">
        <v>173</v>
      </c>
      <c r="R7" s="338" t="s">
        <v>153</v>
      </c>
      <c r="S7" s="338" t="s">
        <v>1272</v>
      </c>
      <c r="T7" s="338" t="s">
        <v>154</v>
      </c>
      <c r="U7" s="344" t="s">
        <v>1206</v>
      </c>
      <c r="V7" s="342" t="s">
        <v>1288</v>
      </c>
      <c r="W7" s="338" t="s">
        <v>176</v>
      </c>
      <c r="X7" s="338" t="s">
        <v>114</v>
      </c>
      <c r="Y7" s="339" t="s">
        <v>136</v>
      </c>
    </row>
    <row r="8" spans="1:25" x14ac:dyDescent="0.2">
      <c r="A8" s="245" t="s">
        <v>158</v>
      </c>
      <c r="B8" s="245" t="s">
        <v>159</v>
      </c>
      <c r="C8" s="245" t="s">
        <v>160</v>
      </c>
      <c r="D8" s="245" t="s">
        <v>161</v>
      </c>
      <c r="E8" s="245" t="s">
        <v>141</v>
      </c>
      <c r="F8" s="245" t="s">
        <v>163</v>
      </c>
      <c r="G8" s="245" t="s">
        <v>164</v>
      </c>
      <c r="H8" s="245" t="s">
        <v>165</v>
      </c>
      <c r="I8" s="245" t="s">
        <v>166</v>
      </c>
      <c r="J8" s="245" t="s">
        <v>167</v>
      </c>
      <c r="K8" s="245" t="s">
        <v>168</v>
      </c>
      <c r="L8" s="245" t="s">
        <v>189</v>
      </c>
      <c r="N8" s="338" t="s">
        <v>170</v>
      </c>
      <c r="O8" s="339" t="s">
        <v>171</v>
      </c>
      <c r="P8" s="338" t="s">
        <v>172</v>
      </c>
      <c r="Q8" s="339" t="s">
        <v>193</v>
      </c>
      <c r="R8" s="338" t="s">
        <v>174</v>
      </c>
      <c r="S8" s="338" t="s">
        <v>1273</v>
      </c>
      <c r="T8" s="338" t="s">
        <v>175</v>
      </c>
      <c r="U8" s="344" t="s">
        <v>1207</v>
      </c>
      <c r="V8" s="339" t="s">
        <v>1281</v>
      </c>
      <c r="W8" s="338" t="s">
        <v>197</v>
      </c>
      <c r="X8" s="338" t="s">
        <v>135</v>
      </c>
      <c r="Y8" s="339" t="s">
        <v>157</v>
      </c>
    </row>
    <row r="9" spans="1:25" x14ac:dyDescent="0.2">
      <c r="A9" s="245" t="s">
        <v>179</v>
      </c>
      <c r="B9" s="245" t="s">
        <v>180</v>
      </c>
      <c r="C9" s="245" t="s">
        <v>181</v>
      </c>
      <c r="E9" s="245" t="s">
        <v>162</v>
      </c>
      <c r="F9" s="245" t="s">
        <v>183</v>
      </c>
      <c r="G9" s="245" t="s">
        <v>184</v>
      </c>
      <c r="H9" s="245" t="s">
        <v>185</v>
      </c>
      <c r="I9" s="245" t="s">
        <v>186</v>
      </c>
      <c r="J9" s="245" t="s">
        <v>187</v>
      </c>
      <c r="K9" s="245" t="s">
        <v>188</v>
      </c>
      <c r="L9" s="245" t="s">
        <v>208</v>
      </c>
      <c r="N9" s="338" t="s">
        <v>190</v>
      </c>
      <c r="O9" s="339" t="s">
        <v>191</v>
      </c>
      <c r="P9" s="338" t="s">
        <v>192</v>
      </c>
      <c r="Q9" s="339" t="s">
        <v>211</v>
      </c>
      <c r="R9" s="338" t="s">
        <v>194</v>
      </c>
      <c r="S9" s="338" t="s">
        <v>1274</v>
      </c>
      <c r="T9" s="338" t="s">
        <v>195</v>
      </c>
      <c r="U9" s="344" t="s">
        <v>1267</v>
      </c>
      <c r="V9" s="339" t="s">
        <v>1282</v>
      </c>
      <c r="W9" s="338" t="s">
        <v>215</v>
      </c>
      <c r="X9" s="338" t="s">
        <v>156</v>
      </c>
      <c r="Y9" s="339" t="s">
        <v>178</v>
      </c>
    </row>
    <row r="10" spans="1:25" x14ac:dyDescent="0.2">
      <c r="B10" s="245" t="s">
        <v>200</v>
      </c>
      <c r="C10" s="245" t="s">
        <v>201</v>
      </c>
      <c r="E10" s="245" t="s">
        <v>182</v>
      </c>
      <c r="F10" s="245" t="s">
        <v>203</v>
      </c>
      <c r="G10" s="245" t="s">
        <v>204</v>
      </c>
      <c r="H10" s="245" t="s">
        <v>205</v>
      </c>
      <c r="I10" s="245" t="s">
        <v>206</v>
      </c>
      <c r="K10" s="245" t="s">
        <v>224</v>
      </c>
      <c r="L10" s="245" t="s">
        <v>225</v>
      </c>
      <c r="N10" s="338" t="s">
        <v>226</v>
      </c>
      <c r="O10" s="339" t="s">
        <v>209</v>
      </c>
      <c r="P10" s="338" t="s">
        <v>210</v>
      </c>
      <c r="Q10" s="339" t="s">
        <v>229</v>
      </c>
      <c r="R10" s="338" t="s">
        <v>212</v>
      </c>
      <c r="S10" s="338" t="s">
        <v>1275</v>
      </c>
      <c r="T10" s="338" t="s">
        <v>213</v>
      </c>
      <c r="U10" s="344" t="s">
        <v>1268</v>
      </c>
      <c r="V10" s="339" t="s">
        <v>1289</v>
      </c>
      <c r="W10" s="338" t="s">
        <v>234</v>
      </c>
      <c r="X10" s="338" t="s">
        <v>177</v>
      </c>
      <c r="Y10" s="339" t="s">
        <v>1345</v>
      </c>
    </row>
    <row r="11" spans="1:25" x14ac:dyDescent="0.2">
      <c r="B11" s="245" t="s">
        <v>218</v>
      </c>
      <c r="C11" s="245" t="s">
        <v>219</v>
      </c>
      <c r="E11" s="245" t="s">
        <v>202</v>
      </c>
      <c r="F11" s="245" t="s">
        <v>221</v>
      </c>
      <c r="G11" s="245" t="s">
        <v>222</v>
      </c>
      <c r="I11" s="245" t="s">
        <v>223</v>
      </c>
      <c r="K11" s="245" t="s">
        <v>242</v>
      </c>
      <c r="L11" s="245" t="s">
        <v>243</v>
      </c>
      <c r="N11" s="338" t="s">
        <v>244</v>
      </c>
      <c r="O11" s="339" t="s">
        <v>227</v>
      </c>
      <c r="P11" s="338" t="s">
        <v>228</v>
      </c>
      <c r="Q11" s="339" t="s">
        <v>246</v>
      </c>
      <c r="R11" s="338" t="s">
        <v>230</v>
      </c>
      <c r="S11" s="338" t="s">
        <v>1276</v>
      </c>
      <c r="T11" s="338" t="s">
        <v>232</v>
      </c>
      <c r="U11" s="339" t="s">
        <v>196</v>
      </c>
      <c r="V11" s="339" t="s">
        <v>1290</v>
      </c>
      <c r="W11" s="338" t="s">
        <v>250</v>
      </c>
      <c r="X11" s="338" t="s">
        <v>198</v>
      </c>
      <c r="Y11" s="339" t="s">
        <v>199</v>
      </c>
    </row>
    <row r="12" spans="1:25" x14ac:dyDescent="0.2">
      <c r="B12" s="245" t="s">
        <v>236</v>
      </c>
      <c r="C12" s="245" t="s">
        <v>237</v>
      </c>
      <c r="E12" s="245" t="s">
        <v>220</v>
      </c>
      <c r="F12" s="245" t="s">
        <v>239</v>
      </c>
      <c r="G12" s="245" t="s">
        <v>240</v>
      </c>
      <c r="I12" s="245" t="s">
        <v>241</v>
      </c>
      <c r="K12" s="245" t="s">
        <v>258</v>
      </c>
      <c r="L12" s="245" t="s">
        <v>259</v>
      </c>
      <c r="N12" s="338" t="s">
        <v>260</v>
      </c>
      <c r="O12" s="339" t="s">
        <v>261</v>
      </c>
      <c r="P12" s="338" t="s">
        <v>245</v>
      </c>
      <c r="Q12" s="339" t="s">
        <v>263</v>
      </c>
      <c r="R12" s="338" t="s">
        <v>247</v>
      </c>
      <c r="S12" s="338" t="s">
        <v>1277</v>
      </c>
      <c r="T12" s="338" t="s">
        <v>248</v>
      </c>
      <c r="U12" s="339" t="s">
        <v>214</v>
      </c>
      <c r="V12" s="339" t="s">
        <v>1291</v>
      </c>
      <c r="W12" s="338" t="s">
        <v>267</v>
      </c>
      <c r="X12" s="338" t="s">
        <v>216</v>
      </c>
      <c r="Y12" s="339" t="s">
        <v>217</v>
      </c>
    </row>
    <row r="13" spans="1:25" x14ac:dyDescent="0.2">
      <c r="B13" s="245" t="s">
        <v>253</v>
      </c>
      <c r="C13" s="245" t="s">
        <v>254</v>
      </c>
      <c r="E13" s="245" t="s">
        <v>238</v>
      </c>
      <c r="G13" s="245" t="s">
        <v>256</v>
      </c>
      <c r="I13" s="245" t="s">
        <v>257</v>
      </c>
      <c r="K13" s="245" t="s">
        <v>271</v>
      </c>
      <c r="L13" s="245" t="s">
        <v>272</v>
      </c>
      <c r="N13" s="338" t="s">
        <v>273</v>
      </c>
      <c r="O13" s="339" t="s">
        <v>274</v>
      </c>
      <c r="P13" s="338" t="s">
        <v>262</v>
      </c>
      <c r="Q13" s="339" t="s">
        <v>276</v>
      </c>
      <c r="R13" s="338" t="s">
        <v>264</v>
      </c>
      <c r="S13" s="338" t="s">
        <v>1278</v>
      </c>
      <c r="T13" s="338" t="s">
        <v>265</v>
      </c>
      <c r="U13" s="339" t="s">
        <v>233</v>
      </c>
      <c r="V13" s="339" t="s">
        <v>1292</v>
      </c>
      <c r="W13" s="338" t="s">
        <v>281</v>
      </c>
      <c r="X13" s="338" t="s">
        <v>251</v>
      </c>
      <c r="Y13" s="339" t="s">
        <v>235</v>
      </c>
    </row>
    <row r="14" spans="1:25" x14ac:dyDescent="0.2">
      <c r="E14" s="245" t="s">
        <v>255</v>
      </c>
      <c r="G14" s="245" t="s">
        <v>270</v>
      </c>
      <c r="K14" s="245" t="s">
        <v>286</v>
      </c>
      <c r="L14" s="245" t="s">
        <v>287</v>
      </c>
      <c r="N14" s="338" t="s">
        <v>288</v>
      </c>
      <c r="O14" s="339" t="s">
        <v>289</v>
      </c>
      <c r="P14" s="338" t="s">
        <v>275</v>
      </c>
      <c r="Q14" s="339" t="s">
        <v>291</v>
      </c>
      <c r="R14" s="338" t="s">
        <v>277</v>
      </c>
      <c r="S14" s="338" t="s">
        <v>1279</v>
      </c>
      <c r="T14" s="338" t="s">
        <v>279</v>
      </c>
      <c r="U14" s="339" t="s">
        <v>249</v>
      </c>
      <c r="V14" s="339" t="s">
        <v>1293</v>
      </c>
      <c r="W14" s="338" t="s">
        <v>297</v>
      </c>
      <c r="X14" s="338" t="s">
        <v>104</v>
      </c>
      <c r="Y14" s="397" t="s">
        <v>1358</v>
      </c>
    </row>
    <row r="15" spans="1:25" x14ac:dyDescent="0.2">
      <c r="E15" s="245" t="s">
        <v>269</v>
      </c>
      <c r="G15" s="245" t="s">
        <v>285</v>
      </c>
      <c r="K15" s="254" t="s">
        <v>1315</v>
      </c>
      <c r="L15" s="245" t="s">
        <v>302</v>
      </c>
      <c r="N15" s="338" t="s">
        <v>303</v>
      </c>
      <c r="O15" s="339" t="s">
        <v>317</v>
      </c>
      <c r="P15" s="338" t="s">
        <v>290</v>
      </c>
      <c r="Q15" s="339" t="s">
        <v>305</v>
      </c>
      <c r="R15" s="338" t="s">
        <v>292</v>
      </c>
      <c r="S15" s="338" t="s">
        <v>231</v>
      </c>
      <c r="T15" s="338" t="s">
        <v>294</v>
      </c>
      <c r="U15" s="339" t="s">
        <v>266</v>
      </c>
      <c r="V15" s="339" t="s">
        <v>1294</v>
      </c>
      <c r="W15" s="338" t="s">
        <v>310</v>
      </c>
      <c r="X15" s="338" t="s">
        <v>282</v>
      </c>
      <c r="Y15" s="339" t="s">
        <v>252</v>
      </c>
    </row>
    <row r="16" spans="1:25" x14ac:dyDescent="0.2">
      <c r="E16" s="245" t="s">
        <v>284</v>
      </c>
      <c r="G16" s="245" t="s">
        <v>301</v>
      </c>
      <c r="L16" s="245" t="s">
        <v>315</v>
      </c>
      <c r="N16" s="338" t="s">
        <v>316</v>
      </c>
      <c r="O16" s="339" t="s">
        <v>331</v>
      </c>
      <c r="P16" s="338" t="s">
        <v>304</v>
      </c>
      <c r="Q16" s="339" t="s">
        <v>319</v>
      </c>
      <c r="R16" s="338" t="s">
        <v>306</v>
      </c>
      <c r="S16" s="338" t="s">
        <v>278</v>
      </c>
      <c r="T16" s="338" t="s">
        <v>308</v>
      </c>
      <c r="U16" s="339" t="s">
        <v>280</v>
      </c>
      <c r="V16" s="339" t="s">
        <v>1295</v>
      </c>
      <c r="W16" s="338" t="s">
        <v>324</v>
      </c>
      <c r="X16" s="338" t="s">
        <v>298</v>
      </c>
      <c r="Y16" s="339" t="s">
        <v>268</v>
      </c>
    </row>
    <row r="17" spans="5:25" x14ac:dyDescent="0.2">
      <c r="E17" s="245" t="s">
        <v>300</v>
      </c>
      <c r="G17" s="245" t="s">
        <v>314</v>
      </c>
      <c r="L17" s="245" t="s">
        <v>329</v>
      </c>
      <c r="N17" s="338" t="s">
        <v>330</v>
      </c>
      <c r="O17" s="339" t="s">
        <v>344</v>
      </c>
      <c r="P17" s="338" t="s">
        <v>318</v>
      </c>
      <c r="Q17" s="339" t="s">
        <v>333</v>
      </c>
      <c r="R17" s="338" t="s">
        <v>320</v>
      </c>
      <c r="S17" s="254" t="s">
        <v>1366</v>
      </c>
      <c r="T17" s="338" t="s">
        <v>322</v>
      </c>
      <c r="U17" s="339" t="s">
        <v>295</v>
      </c>
      <c r="V17" s="339" t="s">
        <v>1296</v>
      </c>
      <c r="W17" s="338" t="s">
        <v>338</v>
      </c>
      <c r="X17" s="338" t="s">
        <v>311</v>
      </c>
      <c r="Y17" s="339" t="s">
        <v>283</v>
      </c>
    </row>
    <row r="18" spans="5:25" x14ac:dyDescent="0.2">
      <c r="E18" s="245" t="s">
        <v>313</v>
      </c>
      <c r="G18" s="245" t="s">
        <v>328</v>
      </c>
      <c r="N18" s="338" t="s">
        <v>343</v>
      </c>
      <c r="O18" s="339" t="s">
        <v>356</v>
      </c>
      <c r="P18" s="338" t="s">
        <v>332</v>
      </c>
      <c r="Q18" s="339" t="s">
        <v>346</v>
      </c>
      <c r="R18" s="338" t="s">
        <v>334</v>
      </c>
      <c r="S18" s="338" t="s">
        <v>293</v>
      </c>
      <c r="T18" s="338" t="s">
        <v>336</v>
      </c>
      <c r="U18" s="339" t="s">
        <v>309</v>
      </c>
      <c r="V18" s="339" t="s">
        <v>1297</v>
      </c>
      <c r="W18" s="338" t="s">
        <v>351</v>
      </c>
      <c r="X18" s="338" t="s">
        <v>325</v>
      </c>
      <c r="Y18" s="339" t="s">
        <v>299</v>
      </c>
    </row>
    <row r="19" spans="5:25" x14ac:dyDescent="0.2">
      <c r="E19" s="245" t="s">
        <v>327</v>
      </c>
      <c r="G19" s="245" t="s">
        <v>342</v>
      </c>
      <c r="N19" s="338" t="s">
        <v>355</v>
      </c>
      <c r="O19" s="339" t="s">
        <v>366</v>
      </c>
      <c r="P19" s="338" t="s">
        <v>345</v>
      </c>
      <c r="Q19" s="339" t="s">
        <v>358</v>
      </c>
      <c r="R19" s="338" t="s">
        <v>347</v>
      </c>
      <c r="S19" s="254" t="s">
        <v>1367</v>
      </c>
      <c r="T19" s="338" t="s">
        <v>349</v>
      </c>
      <c r="U19" s="339" t="s">
        <v>323</v>
      </c>
      <c r="V19" s="339" t="s">
        <v>1298</v>
      </c>
      <c r="W19" s="338" t="s">
        <v>362</v>
      </c>
      <c r="X19" s="338" t="s">
        <v>1265</v>
      </c>
      <c r="Y19" s="339" t="s">
        <v>312</v>
      </c>
    </row>
    <row r="20" spans="5:25" x14ac:dyDescent="0.2">
      <c r="E20" s="254" t="s">
        <v>1348</v>
      </c>
      <c r="G20" s="245" t="s">
        <v>354</v>
      </c>
      <c r="N20" s="338" t="s">
        <v>365</v>
      </c>
      <c r="O20" s="339" t="s">
        <v>394</v>
      </c>
      <c r="P20" s="338" t="s">
        <v>357</v>
      </c>
      <c r="Q20" s="339" t="s">
        <v>368</v>
      </c>
      <c r="R20" s="338" t="s">
        <v>359</v>
      </c>
      <c r="S20" s="338" t="s">
        <v>307</v>
      </c>
      <c r="T20" s="338" t="s">
        <v>361</v>
      </c>
      <c r="U20" s="339" t="s">
        <v>337</v>
      </c>
      <c r="V20" s="339" t="s">
        <v>1299</v>
      </c>
      <c r="W20" s="338" t="s">
        <v>372</v>
      </c>
      <c r="X20" s="338" t="s">
        <v>339</v>
      </c>
      <c r="Y20" s="397" t="s">
        <v>1359</v>
      </c>
    </row>
    <row r="21" spans="5:25" x14ac:dyDescent="0.2">
      <c r="E21" s="245" t="s">
        <v>341</v>
      </c>
      <c r="N21" s="338" t="s">
        <v>375</v>
      </c>
      <c r="O21" s="339" t="s">
        <v>405</v>
      </c>
      <c r="P21" s="338" t="s">
        <v>367</v>
      </c>
      <c r="Q21" s="339" t="s">
        <v>44</v>
      </c>
      <c r="R21" s="338" t="s">
        <v>369</v>
      </c>
      <c r="S21" s="338" t="s">
        <v>321</v>
      </c>
      <c r="T21" s="338" t="s">
        <v>371</v>
      </c>
      <c r="U21" s="339" t="s">
        <v>350</v>
      </c>
      <c r="V21" s="339" t="s">
        <v>1300</v>
      </c>
      <c r="W21" s="338" t="s">
        <v>380</v>
      </c>
      <c r="X21" s="338" t="s">
        <v>352</v>
      </c>
      <c r="Y21" s="339" t="s">
        <v>326</v>
      </c>
    </row>
    <row r="22" spans="5:25" x14ac:dyDescent="0.2">
      <c r="E22" s="245" t="s">
        <v>353</v>
      </c>
      <c r="N22" s="338" t="s">
        <v>384</v>
      </c>
      <c r="O22" s="339" t="s">
        <v>415</v>
      </c>
      <c r="P22" s="338" t="s">
        <v>376</v>
      </c>
      <c r="Q22" s="339" t="s">
        <v>396</v>
      </c>
      <c r="R22" s="338" t="s">
        <v>377</v>
      </c>
      <c r="S22" s="338" t="s">
        <v>335</v>
      </c>
      <c r="T22" s="338" t="s">
        <v>379</v>
      </c>
      <c r="U22" s="344" t="s">
        <v>1208</v>
      </c>
      <c r="V22" s="339" t="s">
        <v>1301</v>
      </c>
      <c r="W22" s="338" t="s">
        <v>389</v>
      </c>
      <c r="X22" s="338" t="s">
        <v>363</v>
      </c>
      <c r="Y22" s="339" t="s">
        <v>340</v>
      </c>
    </row>
    <row r="23" spans="5:25" x14ac:dyDescent="0.2">
      <c r="E23" s="245" t="s">
        <v>364</v>
      </c>
      <c r="N23" s="338" t="s">
        <v>393</v>
      </c>
      <c r="O23" s="339" t="s">
        <v>425</v>
      </c>
      <c r="P23" s="338" t="s">
        <v>385</v>
      </c>
      <c r="Q23" s="339" t="s">
        <v>407</v>
      </c>
      <c r="R23" s="338" t="s">
        <v>386</v>
      </c>
      <c r="S23" s="338" t="s">
        <v>348</v>
      </c>
      <c r="T23" s="338" t="s">
        <v>388</v>
      </c>
      <c r="U23" s="344" t="s">
        <v>1209</v>
      </c>
      <c r="V23" s="339" t="s">
        <v>1302</v>
      </c>
      <c r="W23" s="338" t="s">
        <v>400</v>
      </c>
      <c r="X23" s="338" t="s">
        <v>373</v>
      </c>
      <c r="Y23" s="402" t="s">
        <v>1375</v>
      </c>
    </row>
    <row r="24" spans="5:25" x14ac:dyDescent="0.2">
      <c r="E24" s="245" t="s">
        <v>374</v>
      </c>
      <c r="N24" s="338" t="s">
        <v>404</v>
      </c>
      <c r="O24" s="339" t="s">
        <v>434</v>
      </c>
      <c r="P24" s="254" t="s">
        <v>1316</v>
      </c>
      <c r="Q24" s="339" t="s">
        <v>417</v>
      </c>
      <c r="R24" s="338" t="s">
        <v>397</v>
      </c>
      <c r="S24" s="338" t="s">
        <v>360</v>
      </c>
      <c r="T24" s="338" t="s">
        <v>399</v>
      </c>
      <c r="U24" s="344" t="s">
        <v>1210</v>
      </c>
      <c r="V24" s="339" t="s">
        <v>1303</v>
      </c>
      <c r="W24" s="338" t="s">
        <v>411</v>
      </c>
      <c r="X24" s="338" t="s">
        <v>381</v>
      </c>
      <c r="Y24" s="401" t="s">
        <v>1370</v>
      </c>
    </row>
    <row r="25" spans="5:25" x14ac:dyDescent="0.2">
      <c r="E25" s="245" t="s">
        <v>383</v>
      </c>
      <c r="N25" s="338" t="s">
        <v>414</v>
      </c>
      <c r="O25" s="339" t="s">
        <v>443</v>
      </c>
      <c r="P25" s="338" t="s">
        <v>395</v>
      </c>
      <c r="Q25" s="339" t="s">
        <v>427</v>
      </c>
      <c r="R25" s="338" t="s">
        <v>408</v>
      </c>
      <c r="S25" s="338" t="s">
        <v>370</v>
      </c>
      <c r="T25" s="338" t="s">
        <v>410</v>
      </c>
      <c r="U25" s="344" t="s">
        <v>1211</v>
      </c>
      <c r="V25" s="339" t="s">
        <v>1304</v>
      </c>
      <c r="W25" s="338" t="s">
        <v>422</v>
      </c>
      <c r="X25" s="338" t="s">
        <v>390</v>
      </c>
      <c r="Y25" s="402" t="s">
        <v>1371</v>
      </c>
    </row>
    <row r="26" spans="5:25" x14ac:dyDescent="0.2">
      <c r="E26" s="245" t="s">
        <v>392</v>
      </c>
      <c r="N26" s="338" t="s">
        <v>424</v>
      </c>
      <c r="O26" s="339" t="s">
        <v>452</v>
      </c>
      <c r="P26" s="338" t="s">
        <v>406</v>
      </c>
      <c r="Q26" s="339" t="s">
        <v>436</v>
      </c>
      <c r="R26" s="338" t="s">
        <v>418</v>
      </c>
      <c r="S26" s="338" t="s">
        <v>378</v>
      </c>
      <c r="T26" s="338" t="s">
        <v>420</v>
      </c>
      <c r="U26" s="344" t="s">
        <v>1212</v>
      </c>
      <c r="V26" s="339" t="s">
        <v>1305</v>
      </c>
      <c r="W26" s="338" t="s">
        <v>431</v>
      </c>
      <c r="X26" s="338" t="s">
        <v>401</v>
      </c>
      <c r="Y26" s="402" t="s">
        <v>1372</v>
      </c>
    </row>
    <row r="27" spans="5:25" x14ac:dyDescent="0.2">
      <c r="E27" s="245" t="s">
        <v>403</v>
      </c>
      <c r="N27" s="338" t="s">
        <v>433</v>
      </c>
      <c r="O27" s="339" t="s">
        <v>470</v>
      </c>
      <c r="P27" s="338" t="s">
        <v>416</v>
      </c>
      <c r="Q27" s="339" t="s">
        <v>445</v>
      </c>
      <c r="R27" s="338" t="s">
        <v>428</v>
      </c>
      <c r="S27" s="338" t="s">
        <v>387</v>
      </c>
      <c r="T27" s="338" t="s">
        <v>430</v>
      </c>
      <c r="U27" s="344" t="s">
        <v>1213</v>
      </c>
      <c r="V27" s="339" t="s">
        <v>1306</v>
      </c>
      <c r="W27" s="338" t="s">
        <v>440</v>
      </c>
      <c r="X27" s="338" t="s">
        <v>412</v>
      </c>
      <c r="Y27" s="402" t="s">
        <v>1373</v>
      </c>
    </row>
    <row r="28" spans="5:25" x14ac:dyDescent="0.2">
      <c r="N28" s="338" t="s">
        <v>442</v>
      </c>
      <c r="O28" s="339" t="s">
        <v>487</v>
      </c>
      <c r="P28" s="338" t="s">
        <v>426</v>
      </c>
      <c r="Q28" s="339" t="s">
        <v>454</v>
      </c>
      <c r="R28" s="338" t="s">
        <v>437</v>
      </c>
      <c r="S28" s="338" t="s">
        <v>398</v>
      </c>
      <c r="T28" s="338" t="s">
        <v>439</v>
      </c>
      <c r="U28" s="344" t="s">
        <v>1214</v>
      </c>
      <c r="V28" s="339" t="s">
        <v>1307</v>
      </c>
      <c r="W28" s="338" t="s">
        <v>449</v>
      </c>
      <c r="X28" s="338" t="s">
        <v>423</v>
      </c>
      <c r="Y28" s="402" t="s">
        <v>1374</v>
      </c>
    </row>
    <row r="29" spans="5:25" x14ac:dyDescent="0.2">
      <c r="N29" s="338" t="s">
        <v>451</v>
      </c>
      <c r="O29" s="339" t="s">
        <v>496</v>
      </c>
      <c r="P29" s="338" t="s">
        <v>435</v>
      </c>
      <c r="Q29" s="339" t="s">
        <v>462</v>
      </c>
      <c r="R29" s="338" t="s">
        <v>446</v>
      </c>
      <c r="S29" s="338" t="s">
        <v>409</v>
      </c>
      <c r="T29" s="338" t="s">
        <v>448</v>
      </c>
      <c r="U29" s="344" t="s">
        <v>1215</v>
      </c>
      <c r="V29" s="339" t="s">
        <v>1308</v>
      </c>
      <c r="W29" s="338" t="s">
        <v>458</v>
      </c>
      <c r="X29" s="338" t="s">
        <v>432</v>
      </c>
      <c r="Y29" s="397" t="s">
        <v>1361</v>
      </c>
    </row>
    <row r="30" spans="5:25" x14ac:dyDescent="0.2">
      <c r="N30" s="338" t="s">
        <v>460</v>
      </c>
      <c r="O30" s="339" t="s">
        <v>506</v>
      </c>
      <c r="P30" s="338" t="s">
        <v>444</v>
      </c>
      <c r="Q30" s="339" t="s">
        <v>472</v>
      </c>
      <c r="R30" s="338" t="s">
        <v>455</v>
      </c>
      <c r="S30" s="338" t="s">
        <v>419</v>
      </c>
      <c r="T30" s="338" t="s">
        <v>457</v>
      </c>
      <c r="U30" s="339" t="s">
        <v>421</v>
      </c>
      <c r="V30" s="339" t="s">
        <v>1309</v>
      </c>
      <c r="W30" s="338" t="s">
        <v>467</v>
      </c>
      <c r="X30" s="338" t="s">
        <v>441</v>
      </c>
      <c r="Y30" s="397" t="s">
        <v>1360</v>
      </c>
    </row>
    <row r="31" spans="5:25" x14ac:dyDescent="0.2">
      <c r="N31" s="338" t="s">
        <v>469</v>
      </c>
      <c r="O31" s="339" t="s">
        <v>513</v>
      </c>
      <c r="P31" s="338" t="s">
        <v>453</v>
      </c>
      <c r="Q31" s="339" t="s">
        <v>480</v>
      </c>
      <c r="R31" s="338" t="s">
        <v>463</v>
      </c>
      <c r="S31" s="338" t="s">
        <v>429</v>
      </c>
      <c r="T31" s="338" t="s">
        <v>465</v>
      </c>
      <c r="U31" s="339" t="s">
        <v>502</v>
      </c>
      <c r="V31" s="339" t="s">
        <v>296</v>
      </c>
      <c r="W31" s="338" t="s">
        <v>476</v>
      </c>
      <c r="X31" s="338" t="s">
        <v>450</v>
      </c>
      <c r="Y31" s="339" t="s">
        <v>382</v>
      </c>
    </row>
    <row r="32" spans="5:25" x14ac:dyDescent="0.2">
      <c r="N32" s="338" t="s">
        <v>478</v>
      </c>
      <c r="O32" s="339" t="s">
        <v>523</v>
      </c>
      <c r="P32" s="338" t="s">
        <v>461</v>
      </c>
      <c r="Q32" s="339" t="s">
        <v>489</v>
      </c>
      <c r="R32" s="338" t="s">
        <v>473</v>
      </c>
      <c r="S32" s="338" t="s">
        <v>438</v>
      </c>
      <c r="T32" s="338" t="s">
        <v>475</v>
      </c>
      <c r="U32" s="344" t="s">
        <v>1216</v>
      </c>
      <c r="V32" s="339" t="s">
        <v>466</v>
      </c>
      <c r="W32" s="338" t="s">
        <v>483</v>
      </c>
      <c r="X32" s="338" t="s">
        <v>459</v>
      </c>
      <c r="Y32" s="339" t="s">
        <v>391</v>
      </c>
    </row>
    <row r="33" spans="14:25" x14ac:dyDescent="0.2">
      <c r="N33" s="338" t="s">
        <v>486</v>
      </c>
      <c r="O33" s="339" t="s">
        <v>531</v>
      </c>
      <c r="P33" s="338" t="s">
        <v>471</v>
      </c>
      <c r="Q33" s="339" t="s">
        <v>498</v>
      </c>
      <c r="R33" s="338" t="s">
        <v>481</v>
      </c>
      <c r="S33" s="338" t="s">
        <v>447</v>
      </c>
      <c r="T33" s="338" t="s">
        <v>482</v>
      </c>
      <c r="U33" s="344" t="s">
        <v>1217</v>
      </c>
      <c r="V33" s="339" t="s">
        <v>1280</v>
      </c>
      <c r="W33" s="338" t="s">
        <v>493</v>
      </c>
      <c r="X33" s="338" t="s">
        <v>468</v>
      </c>
      <c r="Y33" s="339" t="s">
        <v>402</v>
      </c>
    </row>
    <row r="34" spans="14:25" x14ac:dyDescent="0.2">
      <c r="N34" s="338" t="s">
        <v>495</v>
      </c>
      <c r="O34" s="339" t="s">
        <v>539</v>
      </c>
      <c r="P34" s="338" t="s">
        <v>479</v>
      </c>
      <c r="Q34" s="339" t="s">
        <v>1247</v>
      </c>
      <c r="R34" s="338" t="s">
        <v>490</v>
      </c>
      <c r="S34" s="338" t="s">
        <v>456</v>
      </c>
      <c r="T34" s="338" t="s">
        <v>492</v>
      </c>
      <c r="U34" s="344" t="s">
        <v>1218</v>
      </c>
      <c r="W34" s="338" t="s">
        <v>503</v>
      </c>
      <c r="X34" s="338" t="s">
        <v>477</v>
      </c>
      <c r="Y34" s="339" t="s">
        <v>413</v>
      </c>
    </row>
    <row r="35" spans="14:25" x14ac:dyDescent="0.2">
      <c r="N35" s="338" t="s">
        <v>505</v>
      </c>
      <c r="O35" s="339" t="s">
        <v>547</v>
      </c>
      <c r="P35" s="338" t="s">
        <v>488</v>
      </c>
      <c r="R35" s="338" t="s">
        <v>499</v>
      </c>
      <c r="S35" s="338" t="s">
        <v>464</v>
      </c>
      <c r="T35" s="338" t="s">
        <v>501</v>
      </c>
      <c r="U35" s="344" t="s">
        <v>1219</v>
      </c>
      <c r="W35" s="338" t="s">
        <v>510</v>
      </c>
      <c r="X35" s="338" t="s">
        <v>484</v>
      </c>
      <c r="Y35" s="397" t="s">
        <v>1355</v>
      </c>
    </row>
    <row r="36" spans="14:25" x14ac:dyDescent="0.2">
      <c r="N36" s="338" t="s">
        <v>512</v>
      </c>
      <c r="O36" s="339" t="s">
        <v>556</v>
      </c>
      <c r="P36" s="338" t="s">
        <v>497</v>
      </c>
      <c r="R36" s="340" t="s">
        <v>1269</v>
      </c>
      <c r="S36" s="338" t="s">
        <v>474</v>
      </c>
      <c r="T36" s="338" t="s">
        <v>509</v>
      </c>
      <c r="U36" s="344" t="s">
        <v>1220</v>
      </c>
      <c r="W36" s="338" t="s">
        <v>519</v>
      </c>
      <c r="X36" s="338" t="s">
        <v>494</v>
      </c>
      <c r="Y36" s="397" t="s">
        <v>1356</v>
      </c>
    </row>
    <row r="37" spans="14:25" x14ac:dyDescent="0.2">
      <c r="N37" s="338" t="s">
        <v>522</v>
      </c>
      <c r="P37" s="338" t="s">
        <v>507</v>
      </c>
      <c r="R37" s="338" t="s">
        <v>508</v>
      </c>
      <c r="S37" s="338" t="s">
        <v>491</v>
      </c>
      <c r="T37" s="338" t="s">
        <v>517</v>
      </c>
      <c r="U37" s="344" t="s">
        <v>1221</v>
      </c>
      <c r="W37" s="338" t="s">
        <v>536</v>
      </c>
      <c r="X37" s="338" t="s">
        <v>504</v>
      </c>
      <c r="Y37" s="397" t="s">
        <v>1357</v>
      </c>
    </row>
    <row r="38" spans="14:25" x14ac:dyDescent="0.2">
      <c r="N38" s="338" t="s">
        <v>530</v>
      </c>
      <c r="P38" s="338" t="s">
        <v>514</v>
      </c>
      <c r="R38" s="338" t="s">
        <v>515</v>
      </c>
      <c r="S38" s="338" t="s">
        <v>500</v>
      </c>
      <c r="T38" s="338" t="s">
        <v>527</v>
      </c>
      <c r="U38" s="344" t="s">
        <v>1222</v>
      </c>
      <c r="W38" s="338" t="s">
        <v>544</v>
      </c>
      <c r="X38" s="338" t="s">
        <v>511</v>
      </c>
      <c r="Y38" s="397" t="s">
        <v>1349</v>
      </c>
    </row>
    <row r="39" spans="14:25" x14ac:dyDescent="0.2">
      <c r="N39" s="338" t="s">
        <v>538</v>
      </c>
      <c r="P39" s="338" t="s">
        <v>524</v>
      </c>
      <c r="R39" s="338" t="s">
        <v>525</v>
      </c>
      <c r="S39" s="338" t="s">
        <v>516</v>
      </c>
      <c r="T39" s="338" t="s">
        <v>535</v>
      </c>
      <c r="U39" s="339" t="s">
        <v>518</v>
      </c>
      <c r="W39" s="338" t="s">
        <v>552</v>
      </c>
      <c r="X39" s="338" t="s">
        <v>520</v>
      </c>
      <c r="Y39" s="397" t="s">
        <v>1350</v>
      </c>
    </row>
    <row r="40" spans="14:25" x14ac:dyDescent="0.2">
      <c r="N40" s="338" t="s">
        <v>546</v>
      </c>
      <c r="P40" s="338" t="s">
        <v>532</v>
      </c>
      <c r="R40" s="338" t="s">
        <v>533</v>
      </c>
      <c r="S40" s="338" t="s">
        <v>526</v>
      </c>
      <c r="T40" s="338" t="s">
        <v>543</v>
      </c>
      <c r="U40" s="344" t="s">
        <v>1223</v>
      </c>
      <c r="W40" s="338" t="s">
        <v>561</v>
      </c>
      <c r="X40" s="338" t="s">
        <v>528</v>
      </c>
      <c r="Y40" s="397" t="s">
        <v>1351</v>
      </c>
    </row>
    <row r="41" spans="14:25" x14ac:dyDescent="0.2">
      <c r="N41" s="338" t="s">
        <v>555</v>
      </c>
      <c r="P41" s="338" t="s">
        <v>540</v>
      </c>
      <c r="R41" s="338" t="s">
        <v>541</v>
      </c>
      <c r="S41" s="338" t="s">
        <v>534</v>
      </c>
      <c r="T41" s="338" t="s">
        <v>551</v>
      </c>
      <c r="U41" s="344" t="s">
        <v>1224</v>
      </c>
      <c r="W41" s="338" t="s">
        <v>569</v>
      </c>
      <c r="X41" s="338" t="s">
        <v>545</v>
      </c>
      <c r="Y41" s="397" t="s">
        <v>1352</v>
      </c>
    </row>
    <row r="42" spans="14:25" x14ac:dyDescent="0.2">
      <c r="N42" s="338" t="s">
        <v>564</v>
      </c>
      <c r="P42" s="338" t="s">
        <v>548</v>
      </c>
      <c r="R42" s="338" t="s">
        <v>549</v>
      </c>
      <c r="S42" s="338" t="s">
        <v>542</v>
      </c>
      <c r="T42" s="338" t="s">
        <v>560</v>
      </c>
      <c r="U42" s="344" t="s">
        <v>1225</v>
      </c>
      <c r="W42" s="338" t="s">
        <v>576</v>
      </c>
      <c r="X42" s="338" t="s">
        <v>553</v>
      </c>
      <c r="Y42" s="397" t="s">
        <v>1353</v>
      </c>
    </row>
    <row r="43" spans="14:25" x14ac:dyDescent="0.2">
      <c r="N43" s="338" t="s">
        <v>572</v>
      </c>
      <c r="P43" s="338" t="s">
        <v>557</v>
      </c>
      <c r="R43" s="338" t="s">
        <v>558</v>
      </c>
      <c r="S43" s="254" t="s">
        <v>1368</v>
      </c>
      <c r="T43" s="338" t="s">
        <v>568</v>
      </c>
      <c r="U43" s="344" t="s">
        <v>1226</v>
      </c>
      <c r="W43" s="338" t="s">
        <v>584</v>
      </c>
      <c r="X43" s="338" t="s">
        <v>562</v>
      </c>
      <c r="Y43" s="397" t="s">
        <v>1354</v>
      </c>
    </row>
    <row r="44" spans="14:25" x14ac:dyDescent="0.2">
      <c r="N44" s="338" t="s">
        <v>579</v>
      </c>
      <c r="P44" s="338" t="s">
        <v>565</v>
      </c>
      <c r="R44" s="338" t="s">
        <v>566</v>
      </c>
      <c r="S44" s="254" t="s">
        <v>1369</v>
      </c>
      <c r="T44" s="338" t="s">
        <v>575</v>
      </c>
      <c r="U44" s="344" t="s">
        <v>1227</v>
      </c>
      <c r="W44" s="338" t="s">
        <v>591</v>
      </c>
      <c r="X44" s="338" t="s">
        <v>570</v>
      </c>
      <c r="Y44" s="339" t="s">
        <v>485</v>
      </c>
    </row>
    <row r="45" spans="14:25" x14ac:dyDescent="0.2">
      <c r="N45" s="338" t="s">
        <v>587</v>
      </c>
      <c r="P45" s="338" t="s">
        <v>580</v>
      </c>
      <c r="R45" s="338" t="s">
        <v>573</v>
      </c>
      <c r="S45" s="338" t="s">
        <v>550</v>
      </c>
      <c r="T45" s="338" t="s">
        <v>583</v>
      </c>
      <c r="U45" s="344" t="s">
        <v>1228</v>
      </c>
      <c r="W45" s="338" t="s">
        <v>597</v>
      </c>
      <c r="X45" s="338" t="s">
        <v>577</v>
      </c>
      <c r="Y45" s="398" t="s">
        <v>1338</v>
      </c>
    </row>
    <row r="46" spans="14:25" x14ac:dyDescent="0.2">
      <c r="N46" s="338" t="s">
        <v>594</v>
      </c>
      <c r="P46" s="338" t="s">
        <v>588</v>
      </c>
      <c r="R46" s="338" t="s">
        <v>581</v>
      </c>
      <c r="S46" s="338" t="s">
        <v>559</v>
      </c>
      <c r="T46" s="338" t="s">
        <v>590</v>
      </c>
      <c r="U46" s="343" t="s">
        <v>1266</v>
      </c>
      <c r="W46" s="338" t="s">
        <v>603</v>
      </c>
      <c r="X46" s="338" t="s">
        <v>585</v>
      </c>
      <c r="Y46" s="398" t="s">
        <v>1334</v>
      </c>
    </row>
    <row r="47" spans="14:25" x14ac:dyDescent="0.2">
      <c r="N47" s="338" t="s">
        <v>600</v>
      </c>
      <c r="R47" s="338" t="s">
        <v>589</v>
      </c>
      <c r="S47" s="341" t="s">
        <v>567</v>
      </c>
      <c r="T47" s="338" t="s">
        <v>596</v>
      </c>
      <c r="U47" s="344" t="s">
        <v>1229</v>
      </c>
      <c r="W47" s="338" t="s">
        <v>609</v>
      </c>
      <c r="X47" s="338" t="s">
        <v>592</v>
      </c>
      <c r="Y47" s="398" t="s">
        <v>1335</v>
      </c>
    </row>
    <row r="48" spans="14:25" x14ac:dyDescent="0.2">
      <c r="N48" s="338" t="s">
        <v>606</v>
      </c>
      <c r="R48" s="338" t="s">
        <v>595</v>
      </c>
      <c r="S48" s="341" t="s">
        <v>574</v>
      </c>
      <c r="T48" s="338" t="s">
        <v>602</v>
      </c>
      <c r="U48" s="344" t="s">
        <v>1230</v>
      </c>
      <c r="W48" s="338" t="s">
        <v>614</v>
      </c>
      <c r="X48" s="338" t="s">
        <v>598</v>
      </c>
      <c r="Y48" s="398" t="s">
        <v>1336</v>
      </c>
    </row>
    <row r="49" spans="14:25" x14ac:dyDescent="0.2">
      <c r="N49" s="338" t="s">
        <v>611</v>
      </c>
      <c r="R49" s="338" t="s">
        <v>601</v>
      </c>
      <c r="S49" s="341" t="s">
        <v>582</v>
      </c>
      <c r="T49" s="338" t="s">
        <v>608</v>
      </c>
      <c r="U49" s="344" t="s">
        <v>1231</v>
      </c>
      <c r="W49" s="338" t="s">
        <v>619</v>
      </c>
      <c r="X49" s="338" t="s">
        <v>604</v>
      </c>
      <c r="Y49" s="398" t="s">
        <v>1337</v>
      </c>
    </row>
    <row r="50" spans="14:25" x14ac:dyDescent="0.2">
      <c r="N50" s="338" t="s">
        <v>617</v>
      </c>
      <c r="R50" s="338" t="s">
        <v>607</v>
      </c>
      <c r="S50" s="245"/>
      <c r="T50" s="338" t="s">
        <v>613</v>
      </c>
      <c r="U50" s="344" t="s">
        <v>1232</v>
      </c>
      <c r="W50" s="338" t="s">
        <v>625</v>
      </c>
      <c r="X50" s="338" t="s">
        <v>610</v>
      </c>
      <c r="Y50" s="339" t="s">
        <v>1332</v>
      </c>
    </row>
    <row r="51" spans="14:25" x14ac:dyDescent="0.2">
      <c r="N51" s="338" t="s">
        <v>622</v>
      </c>
      <c r="R51" s="338" t="s">
        <v>612</v>
      </c>
      <c r="S51" s="245"/>
      <c r="T51" s="338" t="s">
        <v>624</v>
      </c>
      <c r="U51" s="344" t="s">
        <v>1233</v>
      </c>
      <c r="W51" s="338" t="s">
        <v>630</v>
      </c>
      <c r="X51" s="338" t="s">
        <v>615</v>
      </c>
      <c r="Y51" s="339" t="s">
        <v>1333</v>
      </c>
    </row>
    <row r="52" spans="14:25" x14ac:dyDescent="0.2">
      <c r="N52" s="338" t="s">
        <v>628</v>
      </c>
      <c r="R52" s="338" t="s">
        <v>618</v>
      </c>
      <c r="S52" s="245"/>
      <c r="T52" s="338" t="s">
        <v>634</v>
      </c>
      <c r="U52" s="344" t="s">
        <v>1234</v>
      </c>
      <c r="W52" s="338" t="s">
        <v>635</v>
      </c>
      <c r="X52" s="338" t="s">
        <v>620</v>
      </c>
      <c r="Y52" s="339" t="s">
        <v>521</v>
      </c>
    </row>
    <row r="53" spans="14:25" x14ac:dyDescent="0.2">
      <c r="N53" s="338" t="s">
        <v>632</v>
      </c>
      <c r="R53" s="338" t="s">
        <v>623</v>
      </c>
      <c r="S53" s="245"/>
      <c r="T53" s="338" t="s">
        <v>639</v>
      </c>
      <c r="U53" s="339" t="s">
        <v>644</v>
      </c>
      <c r="W53" s="338" t="s">
        <v>640</v>
      </c>
      <c r="X53" s="338" t="s">
        <v>626</v>
      </c>
      <c r="Y53" s="339" t="s">
        <v>751</v>
      </c>
    </row>
    <row r="54" spans="14:25" x14ac:dyDescent="0.2">
      <c r="N54" s="338" t="s">
        <v>637</v>
      </c>
      <c r="R54" s="338" t="s">
        <v>629</v>
      </c>
      <c r="S54" s="245"/>
      <c r="T54" s="338" t="s">
        <v>643</v>
      </c>
      <c r="U54" s="339" t="s">
        <v>650</v>
      </c>
      <c r="W54" s="338" t="s">
        <v>645</v>
      </c>
      <c r="X54" s="338" t="s">
        <v>631</v>
      </c>
      <c r="Y54" s="339" t="s">
        <v>755</v>
      </c>
    </row>
    <row r="55" spans="14:25" x14ac:dyDescent="0.2">
      <c r="R55" s="338" t="s">
        <v>633</v>
      </c>
      <c r="S55" s="245"/>
      <c r="T55" s="338" t="s">
        <v>649</v>
      </c>
      <c r="U55" s="339" t="s">
        <v>656</v>
      </c>
      <c r="W55" s="338" t="s">
        <v>651</v>
      </c>
      <c r="X55" s="338" t="s">
        <v>636</v>
      </c>
      <c r="Y55" s="339" t="s">
        <v>758</v>
      </c>
    </row>
    <row r="56" spans="14:25" x14ac:dyDescent="0.2">
      <c r="R56" s="338" t="s">
        <v>638</v>
      </c>
      <c r="S56" s="245"/>
      <c r="T56" s="338" t="s">
        <v>655</v>
      </c>
      <c r="U56" s="339" t="s">
        <v>660</v>
      </c>
      <c r="X56" s="338" t="s">
        <v>641</v>
      </c>
      <c r="Y56" s="339" t="s">
        <v>761</v>
      </c>
    </row>
    <row r="57" spans="14:25" x14ac:dyDescent="0.2">
      <c r="R57" s="338" t="s">
        <v>648</v>
      </c>
      <c r="S57" s="245"/>
      <c r="T57" s="338" t="s">
        <v>659</v>
      </c>
      <c r="U57" s="344" t="s">
        <v>1235</v>
      </c>
      <c r="X57" s="338" t="s">
        <v>646</v>
      </c>
      <c r="Y57" s="339" t="s">
        <v>764</v>
      </c>
    </row>
    <row r="58" spans="14:25" x14ac:dyDescent="0.2">
      <c r="R58" s="338" t="s">
        <v>654</v>
      </c>
      <c r="S58" s="245"/>
      <c r="T58" s="338" t="s">
        <v>663</v>
      </c>
      <c r="U58" s="344" t="s">
        <v>1236</v>
      </c>
      <c r="X58" s="338" t="s">
        <v>652</v>
      </c>
      <c r="Y58" s="339" t="s">
        <v>767</v>
      </c>
    </row>
    <row r="59" spans="14:25" x14ac:dyDescent="0.2">
      <c r="R59" s="338" t="s">
        <v>662</v>
      </c>
      <c r="S59" s="245"/>
      <c r="T59" s="338" t="s">
        <v>666</v>
      </c>
      <c r="U59" s="344" t="s">
        <v>1237</v>
      </c>
      <c r="X59" s="338" t="s">
        <v>657</v>
      </c>
      <c r="Y59" s="339" t="s">
        <v>727</v>
      </c>
    </row>
    <row r="60" spans="14:25" x14ac:dyDescent="0.2">
      <c r="R60" s="338" t="s">
        <v>665</v>
      </c>
      <c r="S60" s="245"/>
      <c r="T60" s="338" t="s">
        <v>669</v>
      </c>
      <c r="U60" s="344" t="s">
        <v>1238</v>
      </c>
      <c r="X60" s="338" t="s">
        <v>661</v>
      </c>
      <c r="Y60" s="339" t="s">
        <v>731</v>
      </c>
    </row>
    <row r="61" spans="14:25" x14ac:dyDescent="0.2">
      <c r="R61" s="338" t="s">
        <v>668</v>
      </c>
      <c r="S61" s="245"/>
      <c r="T61" s="338" t="s">
        <v>673</v>
      </c>
      <c r="U61" s="344" t="s">
        <v>1239</v>
      </c>
      <c r="X61" s="338" t="s">
        <v>664</v>
      </c>
      <c r="Y61" s="339" t="s">
        <v>735</v>
      </c>
    </row>
    <row r="62" spans="14:25" x14ac:dyDescent="0.2">
      <c r="R62" s="338" t="s">
        <v>672</v>
      </c>
      <c r="S62" s="245"/>
      <c r="T62" s="338" t="s">
        <v>676</v>
      </c>
      <c r="U62" s="344" t="s">
        <v>1240</v>
      </c>
      <c r="X62" s="338" t="s">
        <v>667</v>
      </c>
      <c r="Y62" s="339" t="s">
        <v>739</v>
      </c>
    </row>
    <row r="63" spans="14:25" x14ac:dyDescent="0.2">
      <c r="R63" s="338" t="s">
        <v>675</v>
      </c>
      <c r="S63" s="245"/>
      <c r="T63" s="338" t="s">
        <v>680</v>
      </c>
      <c r="U63" s="344" t="s">
        <v>670</v>
      </c>
      <c r="X63" s="338" t="s">
        <v>671</v>
      </c>
      <c r="Y63" s="339" t="s">
        <v>743</v>
      </c>
    </row>
    <row r="64" spans="14:25" x14ac:dyDescent="0.2">
      <c r="R64" s="338" t="s">
        <v>679</v>
      </c>
      <c r="S64" s="245"/>
      <c r="T64" s="338" t="s">
        <v>683</v>
      </c>
      <c r="U64" s="339" t="s">
        <v>699</v>
      </c>
      <c r="X64" s="338" t="s">
        <v>674</v>
      </c>
      <c r="Y64" s="339" t="s">
        <v>747</v>
      </c>
    </row>
    <row r="65" spans="18:25" x14ac:dyDescent="0.2">
      <c r="R65" s="338" t="s">
        <v>682</v>
      </c>
      <c r="S65" s="245"/>
      <c r="T65" s="338" t="s">
        <v>686</v>
      </c>
      <c r="X65" s="338" t="s">
        <v>677</v>
      </c>
      <c r="Y65" s="339" t="s">
        <v>529</v>
      </c>
    </row>
    <row r="66" spans="18:25" x14ac:dyDescent="0.2">
      <c r="R66" s="338" t="s">
        <v>685</v>
      </c>
      <c r="S66" s="245"/>
      <c r="T66" s="338" t="s">
        <v>689</v>
      </c>
      <c r="X66" s="254" t="s">
        <v>1313</v>
      </c>
      <c r="Y66" s="339" t="s">
        <v>537</v>
      </c>
    </row>
    <row r="67" spans="18:25" x14ac:dyDescent="0.2">
      <c r="R67" s="338" t="s">
        <v>688</v>
      </c>
      <c r="S67" s="245"/>
      <c r="T67" s="338" t="s">
        <v>692</v>
      </c>
      <c r="X67" s="254" t="s">
        <v>1314</v>
      </c>
      <c r="Y67" s="399" t="s">
        <v>1325</v>
      </c>
    </row>
    <row r="68" spans="18:25" x14ac:dyDescent="0.2">
      <c r="R68" s="338" t="s">
        <v>1270</v>
      </c>
      <c r="S68" s="245"/>
      <c r="T68" s="338" t="s">
        <v>694</v>
      </c>
      <c r="X68" s="338" t="s">
        <v>702</v>
      </c>
      <c r="Y68" s="399" t="s">
        <v>1326</v>
      </c>
    </row>
    <row r="69" spans="18:25" x14ac:dyDescent="0.2">
      <c r="R69" s="338" t="s">
        <v>690</v>
      </c>
      <c r="S69" s="245"/>
      <c r="T69" s="338" t="s">
        <v>696</v>
      </c>
      <c r="X69" s="338" t="s">
        <v>706</v>
      </c>
      <c r="Y69" s="399" t="s">
        <v>1327</v>
      </c>
    </row>
    <row r="70" spans="18:25" x14ac:dyDescent="0.2">
      <c r="R70" s="338" t="s">
        <v>691</v>
      </c>
      <c r="S70" s="245"/>
      <c r="T70" s="338" t="s">
        <v>698</v>
      </c>
      <c r="X70" s="338" t="s">
        <v>710</v>
      </c>
      <c r="Y70" s="399" t="s">
        <v>1328</v>
      </c>
    </row>
    <row r="71" spans="18:25" x14ac:dyDescent="0.2">
      <c r="R71" s="338" t="s">
        <v>693</v>
      </c>
      <c r="S71" s="245"/>
      <c r="T71" s="338" t="s">
        <v>701</v>
      </c>
      <c r="X71" s="338" t="s">
        <v>713</v>
      </c>
      <c r="Y71" s="399" t="s">
        <v>1329</v>
      </c>
    </row>
    <row r="72" spans="18:25" x14ac:dyDescent="0.2">
      <c r="R72" s="338" t="s">
        <v>695</v>
      </c>
      <c r="S72" s="245"/>
      <c r="T72" s="338" t="s">
        <v>705</v>
      </c>
      <c r="X72" s="338" t="s">
        <v>717</v>
      </c>
      <c r="Y72" s="399" t="s">
        <v>1330</v>
      </c>
    </row>
    <row r="73" spans="18:25" x14ac:dyDescent="0.2">
      <c r="R73" s="338" t="s">
        <v>697</v>
      </c>
      <c r="S73" s="245"/>
      <c r="T73" s="338" t="s">
        <v>709</v>
      </c>
      <c r="X73" s="338" t="s">
        <v>720</v>
      </c>
      <c r="Y73" s="399" t="s">
        <v>1331</v>
      </c>
    </row>
    <row r="74" spans="18:25" x14ac:dyDescent="0.2">
      <c r="R74" s="338" t="s">
        <v>700</v>
      </c>
      <c r="S74" s="245"/>
      <c r="T74" s="338" t="s">
        <v>712</v>
      </c>
      <c r="X74" s="254" t="s">
        <v>1312</v>
      </c>
      <c r="Y74" s="399" t="s">
        <v>1346</v>
      </c>
    </row>
    <row r="75" spans="18:25" x14ac:dyDescent="0.2">
      <c r="R75" s="338" t="s">
        <v>704</v>
      </c>
      <c r="S75" s="245"/>
      <c r="T75" s="338" t="s">
        <v>716</v>
      </c>
      <c r="X75" s="338" t="s">
        <v>723</v>
      </c>
      <c r="Y75" s="339" t="s">
        <v>554</v>
      </c>
    </row>
    <row r="76" spans="18:25" x14ac:dyDescent="0.2">
      <c r="R76" s="338" t="s">
        <v>708</v>
      </c>
      <c r="S76" s="245"/>
      <c r="T76" s="338" t="s">
        <v>719</v>
      </c>
      <c r="X76" s="338" t="s">
        <v>726</v>
      </c>
      <c r="Y76" s="339" t="s">
        <v>563</v>
      </c>
    </row>
    <row r="77" spans="18:25" x14ac:dyDescent="0.2">
      <c r="R77" s="338" t="s">
        <v>715</v>
      </c>
      <c r="S77" s="245"/>
      <c r="T77" s="338" t="s">
        <v>722</v>
      </c>
      <c r="X77" s="338" t="s">
        <v>730</v>
      </c>
      <c r="Y77" s="339" t="s">
        <v>571</v>
      </c>
    </row>
    <row r="78" spans="18:25" x14ac:dyDescent="0.2">
      <c r="R78" s="338" t="s">
        <v>718</v>
      </c>
      <c r="S78" s="245"/>
      <c r="T78" s="338" t="s">
        <v>725</v>
      </c>
      <c r="X78" s="338" t="s">
        <v>734</v>
      </c>
      <c r="Y78" s="339" t="s">
        <v>578</v>
      </c>
    </row>
    <row r="79" spans="18:25" x14ac:dyDescent="0.2">
      <c r="R79" s="338" t="s">
        <v>721</v>
      </c>
      <c r="S79" s="245"/>
      <c r="T79" s="338" t="s">
        <v>729</v>
      </c>
      <c r="V79" s="308"/>
      <c r="X79" s="338" t="s">
        <v>738</v>
      </c>
      <c r="Y79" s="339" t="s">
        <v>586</v>
      </c>
    </row>
    <row r="80" spans="18:25" x14ac:dyDescent="0.2">
      <c r="R80" s="338" t="s">
        <v>724</v>
      </c>
      <c r="S80" s="245"/>
      <c r="T80" s="338" t="s">
        <v>733</v>
      </c>
      <c r="V80" s="308"/>
      <c r="X80" s="338" t="s">
        <v>742</v>
      </c>
      <c r="Y80" s="339" t="s">
        <v>593</v>
      </c>
    </row>
    <row r="81" spans="18:25" x14ac:dyDescent="0.2">
      <c r="R81" s="338" t="s">
        <v>728</v>
      </c>
      <c r="S81" s="245"/>
      <c r="T81" s="338" t="s">
        <v>737</v>
      </c>
      <c r="V81" s="308"/>
      <c r="X81" s="338" t="s">
        <v>746</v>
      </c>
      <c r="Y81" s="398" t="s">
        <v>1264</v>
      </c>
    </row>
    <row r="82" spans="18:25" x14ac:dyDescent="0.2">
      <c r="R82" s="338" t="s">
        <v>732</v>
      </c>
      <c r="S82" s="245"/>
      <c r="T82" s="338" t="s">
        <v>741</v>
      </c>
      <c r="V82" s="308"/>
      <c r="X82" s="338" t="s">
        <v>750</v>
      </c>
      <c r="Y82" s="398" t="s">
        <v>1260</v>
      </c>
    </row>
    <row r="83" spans="18:25" x14ac:dyDescent="0.2">
      <c r="R83" s="338" t="s">
        <v>736</v>
      </c>
      <c r="S83" s="245"/>
      <c r="T83" s="338" t="s">
        <v>745</v>
      </c>
      <c r="V83" s="308"/>
      <c r="X83" s="338" t="s">
        <v>754</v>
      </c>
      <c r="Y83" s="398" t="s">
        <v>1261</v>
      </c>
    </row>
    <row r="84" spans="18:25" x14ac:dyDescent="0.2">
      <c r="R84" s="338" t="s">
        <v>740</v>
      </c>
      <c r="S84" s="245"/>
      <c r="T84" s="338" t="s">
        <v>749</v>
      </c>
      <c r="V84" s="308"/>
      <c r="X84" s="394" t="s">
        <v>1342</v>
      </c>
      <c r="Y84" s="398" t="s">
        <v>1262</v>
      </c>
    </row>
    <row r="85" spans="18:25" x14ac:dyDescent="0.2">
      <c r="R85" s="338" t="s">
        <v>744</v>
      </c>
      <c r="S85" s="245"/>
      <c r="T85" s="338" t="s">
        <v>753</v>
      </c>
      <c r="V85" s="308"/>
      <c r="X85" s="394" t="s">
        <v>1343</v>
      </c>
      <c r="Y85" s="398" t="s">
        <v>1263</v>
      </c>
    </row>
    <row r="86" spans="18:25" x14ac:dyDescent="0.2">
      <c r="R86" s="338" t="s">
        <v>748</v>
      </c>
      <c r="S86" s="245"/>
      <c r="T86" s="338" t="s">
        <v>757</v>
      </c>
      <c r="V86" s="308"/>
      <c r="Y86" s="339" t="s">
        <v>599</v>
      </c>
    </row>
    <row r="87" spans="18:25" x14ac:dyDescent="0.2">
      <c r="R87" s="338" t="s">
        <v>752</v>
      </c>
      <c r="S87" s="245"/>
      <c r="T87" s="338" t="s">
        <v>760</v>
      </c>
      <c r="V87" s="308"/>
      <c r="Y87" s="339" t="s">
        <v>605</v>
      </c>
    </row>
    <row r="88" spans="18:25" x14ac:dyDescent="0.2">
      <c r="R88" s="338" t="s">
        <v>756</v>
      </c>
      <c r="S88" s="245"/>
      <c r="T88" s="338" t="s">
        <v>763</v>
      </c>
      <c r="V88" s="308"/>
      <c r="Y88" s="339" t="s">
        <v>616</v>
      </c>
    </row>
    <row r="89" spans="18:25" x14ac:dyDescent="0.2">
      <c r="R89" s="338" t="s">
        <v>759</v>
      </c>
      <c r="S89" s="245"/>
      <c r="T89" s="338" t="s">
        <v>766</v>
      </c>
      <c r="V89" s="308"/>
      <c r="Y89" s="339" t="s">
        <v>621</v>
      </c>
    </row>
    <row r="90" spans="18:25" x14ac:dyDescent="0.2">
      <c r="R90" s="338" t="s">
        <v>762</v>
      </c>
      <c r="S90" s="245"/>
      <c r="T90" s="338" t="s">
        <v>769</v>
      </c>
      <c r="V90" s="308"/>
      <c r="Y90" s="339" t="s">
        <v>627</v>
      </c>
    </row>
    <row r="91" spans="18:25" x14ac:dyDescent="0.2">
      <c r="R91" s="338" t="s">
        <v>765</v>
      </c>
      <c r="S91" s="245"/>
      <c r="T91" s="338" t="s">
        <v>771</v>
      </c>
      <c r="V91" s="308"/>
      <c r="Y91" s="339" t="s">
        <v>642</v>
      </c>
    </row>
    <row r="92" spans="18:25" x14ac:dyDescent="0.2">
      <c r="R92" s="338" t="s">
        <v>768</v>
      </c>
      <c r="S92" s="245"/>
      <c r="T92" s="338" t="s">
        <v>773</v>
      </c>
      <c r="V92" s="308"/>
      <c r="Y92" s="339" t="s">
        <v>647</v>
      </c>
    </row>
    <row r="93" spans="18:25" x14ac:dyDescent="0.2">
      <c r="R93" s="338" t="s">
        <v>770</v>
      </c>
      <c r="S93" s="245"/>
      <c r="T93" s="338" t="s">
        <v>774</v>
      </c>
      <c r="V93" s="308"/>
      <c r="Y93" s="339" t="s">
        <v>653</v>
      </c>
    </row>
    <row r="94" spans="18:25" x14ac:dyDescent="0.2">
      <c r="R94" s="338" t="s">
        <v>772</v>
      </c>
      <c r="S94" s="245"/>
      <c r="T94" s="338" t="s">
        <v>776</v>
      </c>
      <c r="V94" s="308"/>
      <c r="Y94" s="339" t="s">
        <v>658</v>
      </c>
    </row>
    <row r="95" spans="18:25" x14ac:dyDescent="0.2">
      <c r="R95" s="338" t="s">
        <v>775</v>
      </c>
      <c r="S95" s="245"/>
      <c r="T95" s="338" t="s">
        <v>778</v>
      </c>
      <c r="V95" s="308"/>
      <c r="Y95" s="339" t="s">
        <v>678</v>
      </c>
    </row>
    <row r="96" spans="18:25" x14ac:dyDescent="0.2">
      <c r="R96" s="338" t="s">
        <v>777</v>
      </c>
      <c r="S96" s="245"/>
      <c r="T96" s="338" t="s">
        <v>780</v>
      </c>
      <c r="V96" s="308"/>
      <c r="Y96" s="339" t="s">
        <v>681</v>
      </c>
    </row>
    <row r="97" spans="15:25" x14ac:dyDescent="0.2">
      <c r="O97" s="246"/>
      <c r="R97" s="338" t="s">
        <v>779</v>
      </c>
      <c r="S97" s="245"/>
      <c r="T97" s="338" t="s">
        <v>782</v>
      </c>
      <c r="V97" s="308"/>
      <c r="Y97" s="339" t="s">
        <v>684</v>
      </c>
    </row>
    <row r="98" spans="15:25" x14ac:dyDescent="0.2">
      <c r="O98" s="246"/>
      <c r="R98" s="338" t="s">
        <v>781</v>
      </c>
      <c r="S98" s="245"/>
      <c r="T98" s="338" t="s">
        <v>784</v>
      </c>
      <c r="V98" s="308"/>
      <c r="Y98" s="339" t="s">
        <v>687</v>
      </c>
    </row>
    <row r="99" spans="15:25" x14ac:dyDescent="0.2">
      <c r="O99" s="246"/>
      <c r="R99" s="338" t="s">
        <v>783</v>
      </c>
      <c r="S99" s="245"/>
      <c r="T99" s="338" t="s">
        <v>786</v>
      </c>
      <c r="V99" s="308"/>
      <c r="Y99" s="339" t="s">
        <v>703</v>
      </c>
    </row>
    <row r="100" spans="15:25" x14ac:dyDescent="0.2">
      <c r="O100" s="246"/>
      <c r="R100" s="338" t="s">
        <v>785</v>
      </c>
      <c r="S100" s="245"/>
      <c r="T100" s="338" t="s">
        <v>788</v>
      </c>
      <c r="V100" s="308"/>
      <c r="Y100" s="339" t="s">
        <v>707</v>
      </c>
    </row>
    <row r="101" spans="15:25" x14ac:dyDescent="0.2">
      <c r="O101" s="246"/>
      <c r="R101" s="338" t="s">
        <v>787</v>
      </c>
      <c r="S101" s="245"/>
      <c r="T101" s="338" t="s">
        <v>790</v>
      </c>
      <c r="V101" s="308"/>
      <c r="Y101" s="339" t="s">
        <v>711</v>
      </c>
    </row>
    <row r="102" spans="15:25" x14ac:dyDescent="0.2">
      <c r="O102" s="246"/>
      <c r="R102" s="338" t="s">
        <v>789</v>
      </c>
      <c r="S102" s="245"/>
      <c r="V102" s="308"/>
      <c r="Y102" s="339" t="s">
        <v>714</v>
      </c>
    </row>
    <row r="103" spans="15:25" x14ac:dyDescent="0.2">
      <c r="O103" s="246"/>
      <c r="R103" s="338" t="s">
        <v>791</v>
      </c>
      <c r="S103" s="245"/>
      <c r="V103" s="308"/>
    </row>
    <row r="104" spans="15:25" x14ac:dyDescent="0.2">
      <c r="O104" s="246"/>
      <c r="R104" s="338" t="s">
        <v>792</v>
      </c>
      <c r="S104" s="245"/>
      <c r="V104" s="308"/>
    </row>
    <row r="105" spans="15:25" x14ac:dyDescent="0.2">
      <c r="O105" s="246"/>
      <c r="R105" s="338" t="s">
        <v>793</v>
      </c>
      <c r="S105" s="245"/>
      <c r="V105" s="308"/>
    </row>
    <row r="106" spans="15:25" x14ac:dyDescent="0.2">
      <c r="O106" s="246"/>
      <c r="R106" s="338" t="s">
        <v>794</v>
      </c>
      <c r="S106" s="245"/>
      <c r="V106" s="308"/>
    </row>
    <row r="107" spans="15:25" x14ac:dyDescent="0.2">
      <c r="O107" s="246"/>
      <c r="R107" s="338" t="s">
        <v>795</v>
      </c>
      <c r="S107" s="245"/>
      <c r="V107" s="308"/>
    </row>
    <row r="108" spans="15:25" x14ac:dyDescent="0.2">
      <c r="O108" s="246"/>
      <c r="R108" s="338" t="s">
        <v>796</v>
      </c>
      <c r="S108" s="245"/>
      <c r="V108" s="308"/>
    </row>
    <row r="109" spans="15:25" x14ac:dyDescent="0.2">
      <c r="O109" s="246"/>
      <c r="R109" s="338" t="s">
        <v>797</v>
      </c>
      <c r="S109" s="245"/>
      <c r="V109" s="308"/>
    </row>
    <row r="110" spans="15:25" x14ac:dyDescent="0.2">
      <c r="O110" s="246"/>
      <c r="R110" s="338" t="s">
        <v>798</v>
      </c>
      <c r="S110" s="245"/>
      <c r="V110" s="308"/>
    </row>
    <row r="111" spans="15:25" x14ac:dyDescent="0.2">
      <c r="O111" s="246"/>
      <c r="R111" s="338" t="s">
        <v>799</v>
      </c>
      <c r="S111" s="245"/>
      <c r="V111" s="308"/>
    </row>
    <row r="112" spans="15:25" x14ac:dyDescent="0.2">
      <c r="O112" s="246"/>
      <c r="R112" s="338" t="s">
        <v>800</v>
      </c>
      <c r="S112" s="245"/>
      <c r="V112" s="308"/>
    </row>
    <row r="113" spans="15:22" x14ac:dyDescent="0.2">
      <c r="O113" s="246"/>
      <c r="R113" s="338" t="s">
        <v>801</v>
      </c>
      <c r="S113" s="245"/>
      <c r="V113" s="308"/>
    </row>
    <row r="114" spans="15:22" x14ac:dyDescent="0.2">
      <c r="O114" s="246"/>
      <c r="R114" s="338" t="s">
        <v>802</v>
      </c>
      <c r="S114" s="245"/>
      <c r="V114" s="308"/>
    </row>
    <row r="115" spans="15:22" x14ac:dyDescent="0.2">
      <c r="O115" s="246"/>
      <c r="R115" s="338" t="s">
        <v>803</v>
      </c>
      <c r="S115" s="245"/>
      <c r="V115" s="308"/>
    </row>
    <row r="116" spans="15:22" x14ac:dyDescent="0.2">
      <c r="O116" s="246"/>
      <c r="R116" s="338" t="s">
        <v>804</v>
      </c>
      <c r="S116" s="245"/>
      <c r="V116" s="308"/>
    </row>
    <row r="117" spans="15:22" x14ac:dyDescent="0.2">
      <c r="O117" s="246"/>
      <c r="R117" s="338" t="s">
        <v>805</v>
      </c>
      <c r="S117" s="245"/>
      <c r="V117" s="308"/>
    </row>
    <row r="118" spans="15:22" x14ac:dyDescent="0.2">
      <c r="O118" s="246"/>
      <c r="R118" s="338" t="s">
        <v>806</v>
      </c>
      <c r="S118" s="245"/>
    </row>
    <row r="119" spans="15:22" x14ac:dyDescent="0.2">
      <c r="O119" s="246"/>
      <c r="R119" s="338" t="s">
        <v>807</v>
      </c>
      <c r="S119" s="245"/>
    </row>
    <row r="120" spans="15:22" x14ac:dyDescent="0.2">
      <c r="O120" s="246"/>
      <c r="R120" s="338" t="s">
        <v>808</v>
      </c>
      <c r="S120" s="245"/>
    </row>
    <row r="121" spans="15:22" x14ac:dyDescent="0.2">
      <c r="O121" s="246"/>
      <c r="R121" s="338" t="s">
        <v>809</v>
      </c>
      <c r="S121" s="245"/>
    </row>
    <row r="122" spans="15:22" x14ac:dyDescent="0.2">
      <c r="O122" s="246"/>
      <c r="R122" s="338" t="s">
        <v>810</v>
      </c>
      <c r="S122" s="245"/>
    </row>
    <row r="123" spans="15:22" x14ac:dyDescent="0.2">
      <c r="O123" s="246"/>
      <c r="R123" s="338" t="s">
        <v>811</v>
      </c>
      <c r="S123" s="245"/>
    </row>
    <row r="124" spans="15:22" x14ac:dyDescent="0.2">
      <c r="O124" s="246"/>
      <c r="R124" s="338" t="s">
        <v>812</v>
      </c>
      <c r="S124" s="245"/>
    </row>
    <row r="125" spans="15:22" x14ac:dyDescent="0.2">
      <c r="O125" s="246"/>
      <c r="R125" s="338" t="s">
        <v>813</v>
      </c>
      <c r="S125" s="245"/>
    </row>
    <row r="126" spans="15:22" x14ac:dyDescent="0.2">
      <c r="O126" s="246"/>
      <c r="R126" s="338" t="s">
        <v>814</v>
      </c>
      <c r="S126" s="245"/>
    </row>
    <row r="127" spans="15:22" x14ac:dyDescent="0.2">
      <c r="O127" s="246"/>
      <c r="R127" s="338" t="s">
        <v>815</v>
      </c>
      <c r="S127" s="245"/>
    </row>
    <row r="128" spans="15:22" x14ac:dyDescent="0.2">
      <c r="O128" s="246"/>
      <c r="R128" s="338" t="s">
        <v>816</v>
      </c>
      <c r="S128" s="245"/>
    </row>
    <row r="129" spans="15:19" x14ac:dyDescent="0.2">
      <c r="O129" s="246"/>
      <c r="R129" s="338" t="s">
        <v>817</v>
      </c>
      <c r="S129" s="245"/>
    </row>
    <row r="130" spans="15:19" x14ac:dyDescent="0.2">
      <c r="O130" s="246"/>
      <c r="R130" s="338" t="s">
        <v>818</v>
      </c>
      <c r="S130" s="245"/>
    </row>
    <row r="131" spans="15:19" x14ac:dyDescent="0.2">
      <c r="O131" s="246"/>
      <c r="R131" s="338" t="s">
        <v>819</v>
      </c>
      <c r="S131" s="245"/>
    </row>
    <row r="132" spans="15:19" x14ac:dyDescent="0.2">
      <c r="O132" s="246"/>
      <c r="R132" s="338" t="s">
        <v>820</v>
      </c>
      <c r="S132" s="245"/>
    </row>
    <row r="133" spans="15:19" x14ac:dyDescent="0.2">
      <c r="O133" s="246"/>
      <c r="R133" s="338" t="s">
        <v>821</v>
      </c>
      <c r="S133" s="245"/>
    </row>
    <row r="134" spans="15:19" x14ac:dyDescent="0.2">
      <c r="O134" s="246"/>
      <c r="R134" s="338" t="s">
        <v>822</v>
      </c>
      <c r="S134" s="245"/>
    </row>
    <row r="135" spans="15:19" x14ac:dyDescent="0.2">
      <c r="O135" s="246"/>
      <c r="R135" s="338" t="s">
        <v>823</v>
      </c>
      <c r="S135" s="245"/>
    </row>
    <row r="136" spans="15:19" x14ac:dyDescent="0.2">
      <c r="O136" s="246"/>
      <c r="R136" s="338" t="s">
        <v>824</v>
      </c>
      <c r="S136" s="245"/>
    </row>
    <row r="137" spans="15:19" x14ac:dyDescent="0.2">
      <c r="O137" s="246"/>
      <c r="R137" s="338" t="s">
        <v>825</v>
      </c>
      <c r="S137" s="245"/>
    </row>
    <row r="138" spans="15:19" x14ac:dyDescent="0.2">
      <c r="O138" s="246"/>
      <c r="R138" s="338" t="s">
        <v>826</v>
      </c>
      <c r="S138" s="245"/>
    </row>
    <row r="139" spans="15:19" x14ac:dyDescent="0.2">
      <c r="O139" s="246"/>
      <c r="R139" s="338" t="s">
        <v>827</v>
      </c>
      <c r="S139" s="245"/>
    </row>
    <row r="140" spans="15:19" x14ac:dyDescent="0.2">
      <c r="O140" s="246"/>
      <c r="R140" s="338" t="s">
        <v>828</v>
      </c>
      <c r="S140" s="245"/>
    </row>
    <row r="141" spans="15:19" x14ac:dyDescent="0.2">
      <c r="O141" s="246"/>
      <c r="R141" s="338" t="s">
        <v>829</v>
      </c>
      <c r="S141" s="245"/>
    </row>
    <row r="142" spans="15:19" x14ac:dyDescent="0.2">
      <c r="O142" s="246"/>
      <c r="R142" s="338" t="s">
        <v>830</v>
      </c>
      <c r="S142" s="245"/>
    </row>
    <row r="143" spans="15:19" x14ac:dyDescent="0.2">
      <c r="R143" s="338" t="s">
        <v>831</v>
      </c>
      <c r="S143" s="245"/>
    </row>
    <row r="144" spans="15:19" x14ac:dyDescent="0.2">
      <c r="R144" s="338" t="s">
        <v>832</v>
      </c>
      <c r="S144" s="245"/>
    </row>
    <row r="145" spans="18:19" x14ac:dyDescent="0.2">
      <c r="R145" s="338" t="s">
        <v>833</v>
      </c>
      <c r="S145" s="245"/>
    </row>
    <row r="146" spans="18:19" x14ac:dyDescent="0.2">
      <c r="R146" s="338" t="s">
        <v>834</v>
      </c>
      <c r="S146" s="245"/>
    </row>
    <row r="147" spans="18:19" x14ac:dyDescent="0.2">
      <c r="R147" s="338" t="s">
        <v>835</v>
      </c>
      <c r="S147" s="245"/>
    </row>
    <row r="148" spans="18:19" x14ac:dyDescent="0.2">
      <c r="R148" s="338" t="s">
        <v>836</v>
      </c>
      <c r="S148" s="245"/>
    </row>
    <row r="149" spans="18:19" x14ac:dyDescent="0.2">
      <c r="R149" s="338" t="s">
        <v>837</v>
      </c>
      <c r="S149" s="245"/>
    </row>
    <row r="150" spans="18:19" x14ac:dyDescent="0.2">
      <c r="S150" s="245"/>
    </row>
    <row r="151" spans="18:19" x14ac:dyDescent="0.2">
      <c r="S151" s="245"/>
    </row>
    <row r="152" spans="18:19" x14ac:dyDescent="0.2">
      <c r="S152" s="245"/>
    </row>
    <row r="153" spans="18:19" x14ac:dyDescent="0.2">
      <c r="S153" s="245"/>
    </row>
    <row r="154" spans="18:19" x14ac:dyDescent="0.2">
      <c r="S154" s="245"/>
    </row>
    <row r="155" spans="18:19" x14ac:dyDescent="0.2">
      <c r="S155" s="245"/>
    </row>
    <row r="156" spans="18:19" x14ac:dyDescent="0.2">
      <c r="S156" s="245"/>
    </row>
    <row r="157" spans="18:19" x14ac:dyDescent="0.2">
      <c r="S157" s="245"/>
    </row>
    <row r="158" spans="18:19" x14ac:dyDescent="0.2">
      <c r="S158" s="245"/>
    </row>
    <row r="159" spans="18:19" x14ac:dyDescent="0.2">
      <c r="S159" s="245"/>
    </row>
    <row r="160" spans="18:19" x14ac:dyDescent="0.2">
      <c r="S160" s="245"/>
    </row>
    <row r="161" spans="19:19" x14ac:dyDescent="0.2">
      <c r="S161" s="245"/>
    </row>
    <row r="162" spans="19:19" x14ac:dyDescent="0.2">
      <c r="S162" s="245"/>
    </row>
    <row r="163" spans="19:19" x14ac:dyDescent="0.2">
      <c r="S163" s="245"/>
    </row>
    <row r="164" spans="19:19" x14ac:dyDescent="0.2">
      <c r="S164" s="245"/>
    </row>
    <row r="165" spans="19:19" x14ac:dyDescent="0.2">
      <c r="S165" s="245"/>
    </row>
    <row r="166" spans="19:19" x14ac:dyDescent="0.2">
      <c r="S166" s="245"/>
    </row>
    <row r="167" spans="19:19" x14ac:dyDescent="0.2">
      <c r="S167" s="245"/>
    </row>
    <row r="168" spans="19:19" x14ac:dyDescent="0.2">
      <c r="S168" s="245"/>
    </row>
    <row r="169" spans="19:19" x14ac:dyDescent="0.2">
      <c r="S169" s="245"/>
    </row>
    <row r="170" spans="19:19" x14ac:dyDescent="0.2">
      <c r="S170" s="245"/>
    </row>
    <row r="171" spans="19:19" x14ac:dyDescent="0.2">
      <c r="S171" s="245"/>
    </row>
    <row r="172" spans="19:19" x14ac:dyDescent="0.2">
      <c r="S172" s="245"/>
    </row>
    <row r="173" spans="19:19" x14ac:dyDescent="0.2">
      <c r="S173" s="245"/>
    </row>
    <row r="174" spans="19:19" x14ac:dyDescent="0.2">
      <c r="S174" s="245"/>
    </row>
    <row r="175" spans="19:19" x14ac:dyDescent="0.2">
      <c r="S175" s="245"/>
    </row>
    <row r="176" spans="19:19" x14ac:dyDescent="0.2">
      <c r="S176" s="245"/>
    </row>
    <row r="177" spans="19:19" x14ac:dyDescent="0.2">
      <c r="S177" s="245"/>
    </row>
    <row r="178" spans="19:19" x14ac:dyDescent="0.2">
      <c r="S178" s="245"/>
    </row>
    <row r="179" spans="19:19" x14ac:dyDescent="0.2">
      <c r="S179" s="245"/>
    </row>
    <row r="180" spans="19:19" x14ac:dyDescent="0.2">
      <c r="S180" s="245"/>
    </row>
    <row r="181" spans="19:19" x14ac:dyDescent="0.2">
      <c r="S181" s="245"/>
    </row>
    <row r="182" spans="19:19" x14ac:dyDescent="0.2">
      <c r="S182" s="245"/>
    </row>
    <row r="183" spans="19:19" x14ac:dyDescent="0.2">
      <c r="S183" s="245"/>
    </row>
    <row r="184" spans="19:19" x14ac:dyDescent="0.2">
      <c r="S184" s="245"/>
    </row>
    <row r="185" spans="19:19" x14ac:dyDescent="0.2">
      <c r="S185" s="245"/>
    </row>
    <row r="186" spans="19:19" x14ac:dyDescent="0.2">
      <c r="S186" s="245"/>
    </row>
    <row r="187" spans="19:19" x14ac:dyDescent="0.2">
      <c r="S187" s="245"/>
    </row>
    <row r="188" spans="19:19" x14ac:dyDescent="0.2">
      <c r="S188" s="245"/>
    </row>
    <row r="189" spans="19:19" x14ac:dyDescent="0.2">
      <c r="S189" s="245"/>
    </row>
    <row r="190" spans="19:19" x14ac:dyDescent="0.2">
      <c r="S190" s="245"/>
    </row>
    <row r="191" spans="19:19" x14ac:dyDescent="0.2">
      <c r="S191" s="245"/>
    </row>
    <row r="192" spans="19:19" x14ac:dyDescent="0.2">
      <c r="S192" s="245"/>
    </row>
    <row r="193" spans="19:19" x14ac:dyDescent="0.2">
      <c r="S193" s="245"/>
    </row>
    <row r="194" spans="19:19" x14ac:dyDescent="0.2">
      <c r="S194" s="245"/>
    </row>
    <row r="195" spans="19:19" x14ac:dyDescent="0.2">
      <c r="S195" s="245"/>
    </row>
    <row r="196" spans="19:19" x14ac:dyDescent="0.2">
      <c r="S196" s="245"/>
    </row>
    <row r="197" spans="19:19" x14ac:dyDescent="0.2">
      <c r="S197" s="245"/>
    </row>
    <row r="198" spans="19:19" x14ac:dyDescent="0.2">
      <c r="S198" s="245"/>
    </row>
    <row r="199" spans="19:19" x14ac:dyDescent="0.2">
      <c r="S199" s="245"/>
    </row>
    <row r="200" spans="19:19" x14ac:dyDescent="0.2">
      <c r="S200" s="245"/>
    </row>
    <row r="201" spans="19:19" x14ac:dyDescent="0.2">
      <c r="S201" s="245"/>
    </row>
    <row r="202" spans="19:19" x14ac:dyDescent="0.2">
      <c r="S202" s="245"/>
    </row>
    <row r="203" spans="19:19" x14ac:dyDescent="0.2">
      <c r="S203" s="245"/>
    </row>
    <row r="204" spans="19:19" x14ac:dyDescent="0.2">
      <c r="S204" s="245"/>
    </row>
    <row r="205" spans="19:19" x14ac:dyDescent="0.2">
      <c r="S205" s="245"/>
    </row>
    <row r="206" spans="19:19" x14ac:dyDescent="0.2">
      <c r="S206" s="245"/>
    </row>
    <row r="207" spans="19:19" x14ac:dyDescent="0.2">
      <c r="S207" s="245"/>
    </row>
    <row r="208" spans="19:19" x14ac:dyDescent="0.2">
      <c r="S208" s="245"/>
    </row>
    <row r="209" spans="19:19" x14ac:dyDescent="0.2">
      <c r="S209" s="245"/>
    </row>
    <row r="210" spans="19:19" x14ac:dyDescent="0.2">
      <c r="S210" s="245"/>
    </row>
    <row r="211" spans="19:19" x14ac:dyDescent="0.2">
      <c r="S211" s="245"/>
    </row>
    <row r="212" spans="19:19" x14ac:dyDescent="0.2">
      <c r="S212" s="245"/>
    </row>
    <row r="213" spans="19:19" x14ac:dyDescent="0.2">
      <c r="S213" s="245"/>
    </row>
    <row r="214" spans="19:19" x14ac:dyDescent="0.2">
      <c r="S214" s="245"/>
    </row>
    <row r="215" spans="19:19" x14ac:dyDescent="0.2">
      <c r="S215" s="245"/>
    </row>
    <row r="216" spans="19:19" x14ac:dyDescent="0.2">
      <c r="S216" s="245"/>
    </row>
    <row r="217" spans="19:19" x14ac:dyDescent="0.2">
      <c r="S217" s="245"/>
    </row>
    <row r="218" spans="19:19" x14ac:dyDescent="0.2">
      <c r="S218" s="245"/>
    </row>
    <row r="219" spans="19:19" x14ac:dyDescent="0.2">
      <c r="S219" s="245"/>
    </row>
    <row r="220" spans="19:19" x14ac:dyDescent="0.2">
      <c r="S220" s="245"/>
    </row>
    <row r="221" spans="19:19" x14ac:dyDescent="0.2">
      <c r="S221" s="245"/>
    </row>
    <row r="222" spans="19:19" x14ac:dyDescent="0.2">
      <c r="S222" s="245"/>
    </row>
    <row r="223" spans="19:19" x14ac:dyDescent="0.2">
      <c r="S223" s="245"/>
    </row>
    <row r="224" spans="19:19" x14ac:dyDescent="0.2">
      <c r="S224" s="245"/>
    </row>
    <row r="225" spans="19:19" x14ac:dyDescent="0.2">
      <c r="S225" s="245"/>
    </row>
    <row r="226" spans="19:19" x14ac:dyDescent="0.2">
      <c r="S226" s="245"/>
    </row>
    <row r="227" spans="19:19" x14ac:dyDescent="0.2">
      <c r="S227" s="245"/>
    </row>
    <row r="228" spans="19:19" x14ac:dyDescent="0.2">
      <c r="S228" s="245"/>
    </row>
    <row r="229" spans="19:19" x14ac:dyDescent="0.2">
      <c r="S229" s="245"/>
    </row>
    <row r="230" spans="19:19" x14ac:dyDescent="0.2">
      <c r="S230" s="245"/>
    </row>
    <row r="231" spans="19:19" x14ac:dyDescent="0.2">
      <c r="S231" s="245"/>
    </row>
    <row r="232" spans="19:19" x14ac:dyDescent="0.2">
      <c r="S232" s="245"/>
    </row>
    <row r="233" spans="19:19" x14ac:dyDescent="0.2">
      <c r="S233" s="245"/>
    </row>
    <row r="234" spans="19:19" x14ac:dyDescent="0.2">
      <c r="S234" s="245"/>
    </row>
    <row r="235" spans="19:19" x14ac:dyDescent="0.2">
      <c r="S235" s="245"/>
    </row>
    <row r="236" spans="19:19" x14ac:dyDescent="0.2">
      <c r="S236" s="245"/>
    </row>
    <row r="237" spans="19:19" x14ac:dyDescent="0.2">
      <c r="S237" s="245"/>
    </row>
    <row r="238" spans="19:19" x14ac:dyDescent="0.2">
      <c r="S238" s="245"/>
    </row>
    <row r="239" spans="19:19" x14ac:dyDescent="0.2">
      <c r="S239" s="245"/>
    </row>
    <row r="240" spans="19:19" x14ac:dyDescent="0.2">
      <c r="S240" s="245"/>
    </row>
    <row r="241" spans="19:19" x14ac:dyDescent="0.2">
      <c r="S241" s="245"/>
    </row>
    <row r="242" spans="19:19" x14ac:dyDescent="0.2">
      <c r="S242" s="245"/>
    </row>
    <row r="243" spans="19:19" x14ac:dyDescent="0.2">
      <c r="S243" s="245"/>
    </row>
    <row r="244" spans="19:19" x14ac:dyDescent="0.2">
      <c r="S244" s="245"/>
    </row>
    <row r="245" spans="19:19" x14ac:dyDescent="0.2">
      <c r="S245" s="245"/>
    </row>
    <row r="246" spans="19:19" x14ac:dyDescent="0.2">
      <c r="S246" s="245"/>
    </row>
    <row r="247" spans="19:19" x14ac:dyDescent="0.2">
      <c r="S247" s="245"/>
    </row>
    <row r="248" spans="19:19" x14ac:dyDescent="0.2">
      <c r="S248" s="245"/>
    </row>
    <row r="249" spans="19:19" x14ac:dyDescent="0.2">
      <c r="S249" s="245"/>
    </row>
    <row r="250" spans="19:19" x14ac:dyDescent="0.2">
      <c r="S250" s="245"/>
    </row>
    <row r="251" spans="19:19" x14ac:dyDescent="0.2">
      <c r="S251" s="245"/>
    </row>
    <row r="252" spans="19:19" x14ac:dyDescent="0.2">
      <c r="S252" s="245"/>
    </row>
    <row r="253" spans="19:19" x14ac:dyDescent="0.2">
      <c r="S253" s="245"/>
    </row>
    <row r="254" spans="19:19" x14ac:dyDescent="0.2">
      <c r="S254" s="245"/>
    </row>
    <row r="255" spans="19:19" x14ac:dyDescent="0.2">
      <c r="S255" s="245"/>
    </row>
    <row r="256" spans="19:19" x14ac:dyDescent="0.2">
      <c r="S256" s="245"/>
    </row>
    <row r="257" spans="19:19" x14ac:dyDescent="0.2">
      <c r="S257" s="245"/>
    </row>
    <row r="258" spans="19:19" x14ac:dyDescent="0.2">
      <c r="S258" s="245"/>
    </row>
    <row r="259" spans="19:19" x14ac:dyDescent="0.2">
      <c r="S259" s="245"/>
    </row>
    <row r="260" spans="19:19" x14ac:dyDescent="0.2">
      <c r="S260" s="245"/>
    </row>
    <row r="261" spans="19:19" x14ac:dyDescent="0.2">
      <c r="S261" s="245"/>
    </row>
    <row r="262" spans="19:19" x14ac:dyDescent="0.2">
      <c r="S262" s="245"/>
    </row>
    <row r="263" spans="19:19" x14ac:dyDescent="0.2">
      <c r="S263" s="245"/>
    </row>
    <row r="264" spans="19:19" x14ac:dyDescent="0.2">
      <c r="S264" s="245"/>
    </row>
    <row r="265" spans="19:19" x14ac:dyDescent="0.2">
      <c r="S265" s="245"/>
    </row>
    <row r="266" spans="19:19" x14ac:dyDescent="0.2">
      <c r="S266" s="245"/>
    </row>
    <row r="267" spans="19:19" x14ac:dyDescent="0.2">
      <c r="S267" s="245"/>
    </row>
    <row r="268" spans="19:19" x14ac:dyDescent="0.2">
      <c r="S268" s="245"/>
    </row>
    <row r="269" spans="19:19" x14ac:dyDescent="0.2">
      <c r="S269" s="245"/>
    </row>
    <row r="270" spans="19:19" x14ac:dyDescent="0.2">
      <c r="S270" s="245"/>
    </row>
    <row r="271" spans="19:19" x14ac:dyDescent="0.2">
      <c r="S271" s="245"/>
    </row>
    <row r="272" spans="19:19" x14ac:dyDescent="0.2">
      <c r="S272" s="245"/>
    </row>
    <row r="273" spans="19:19" x14ac:dyDescent="0.2">
      <c r="S273" s="245"/>
    </row>
    <row r="274" spans="19:19" x14ac:dyDescent="0.2">
      <c r="S274" s="245"/>
    </row>
    <row r="275" spans="19:19" x14ac:dyDescent="0.2">
      <c r="S275" s="245"/>
    </row>
    <row r="276" spans="19:19" x14ac:dyDescent="0.2">
      <c r="S276" s="245"/>
    </row>
    <row r="277" spans="19:19" x14ac:dyDescent="0.2">
      <c r="S277" s="245"/>
    </row>
    <row r="278" spans="19:19" x14ac:dyDescent="0.2">
      <c r="S278" s="245"/>
    </row>
    <row r="279" spans="19:19" x14ac:dyDescent="0.2">
      <c r="S279" s="245"/>
    </row>
    <row r="280" spans="19:19" x14ac:dyDescent="0.2">
      <c r="S280" s="245"/>
    </row>
    <row r="281" spans="19:19" x14ac:dyDescent="0.2">
      <c r="S281" s="245"/>
    </row>
    <row r="282" spans="19:19" x14ac:dyDescent="0.2">
      <c r="S282" s="245"/>
    </row>
    <row r="283" spans="19:19" x14ac:dyDescent="0.2">
      <c r="S283" s="245"/>
    </row>
    <row r="284" spans="19:19" x14ac:dyDescent="0.2">
      <c r="S284" s="245"/>
    </row>
    <row r="285" spans="19:19" x14ac:dyDescent="0.2">
      <c r="S285" s="245"/>
    </row>
    <row r="286" spans="19:19" x14ac:dyDescent="0.2">
      <c r="S286" s="245"/>
    </row>
    <row r="287" spans="19:19" x14ac:dyDescent="0.2">
      <c r="S287" s="245"/>
    </row>
    <row r="288" spans="19:19" x14ac:dyDescent="0.2">
      <c r="S288" s="245"/>
    </row>
    <row r="289" spans="19:19" x14ac:dyDescent="0.2">
      <c r="S289" s="245"/>
    </row>
    <row r="290" spans="19:19" x14ac:dyDescent="0.2">
      <c r="S290" s="245"/>
    </row>
    <row r="291" spans="19:19" x14ac:dyDescent="0.2">
      <c r="S291" s="245"/>
    </row>
    <row r="292" spans="19:19" x14ac:dyDescent="0.2">
      <c r="S292" s="245"/>
    </row>
    <row r="293" spans="19:19" x14ac:dyDescent="0.2">
      <c r="S293" s="245"/>
    </row>
    <row r="294" spans="19:19" x14ac:dyDescent="0.2">
      <c r="S294" s="245"/>
    </row>
    <row r="295" spans="19:19" x14ac:dyDescent="0.2">
      <c r="S295" s="245"/>
    </row>
    <row r="296" spans="19:19" x14ac:dyDescent="0.2">
      <c r="S296" s="245"/>
    </row>
    <row r="297" spans="19:19" x14ac:dyDescent="0.2">
      <c r="S297" s="245"/>
    </row>
    <row r="298" spans="19:19" x14ac:dyDescent="0.2">
      <c r="S298" s="245"/>
    </row>
    <row r="299" spans="19:19" x14ac:dyDescent="0.2">
      <c r="S299" s="245"/>
    </row>
    <row r="300" spans="19:19" x14ac:dyDescent="0.2">
      <c r="S300" s="245"/>
    </row>
    <row r="301" spans="19:19" x14ac:dyDescent="0.2">
      <c r="S301" s="245"/>
    </row>
    <row r="302" spans="19:19" x14ac:dyDescent="0.2">
      <c r="S302" s="245"/>
    </row>
    <row r="303" spans="19:19" x14ac:dyDescent="0.2">
      <c r="S303" s="245"/>
    </row>
    <row r="304" spans="19:19" x14ac:dyDescent="0.2">
      <c r="S304" s="245"/>
    </row>
    <row r="305" spans="19:19" x14ac:dyDescent="0.2">
      <c r="S305" s="245"/>
    </row>
    <row r="306" spans="19:19" x14ac:dyDescent="0.2">
      <c r="S306" s="245"/>
    </row>
    <row r="307" spans="19:19" x14ac:dyDescent="0.2">
      <c r="S307" s="245"/>
    </row>
    <row r="308" spans="19:19" x14ac:dyDescent="0.2">
      <c r="S308" s="245"/>
    </row>
    <row r="309" spans="19:19" x14ac:dyDescent="0.2">
      <c r="S309" s="245"/>
    </row>
    <row r="310" spans="19:19" x14ac:dyDescent="0.2">
      <c r="S310" s="245"/>
    </row>
    <row r="311" spans="19:19" x14ac:dyDescent="0.2">
      <c r="S311" s="245"/>
    </row>
    <row r="312" spans="19:19" x14ac:dyDescent="0.2">
      <c r="S312" s="245"/>
    </row>
    <row r="313" spans="19:19" x14ac:dyDescent="0.2">
      <c r="S313" s="245"/>
    </row>
    <row r="314" spans="19:19" x14ac:dyDescent="0.2">
      <c r="S314" s="245"/>
    </row>
    <row r="315" spans="19:19" x14ac:dyDescent="0.2">
      <c r="S315" s="245"/>
    </row>
    <row r="316" spans="19:19" x14ac:dyDescent="0.2">
      <c r="S316" s="245"/>
    </row>
    <row r="317" spans="19:19" x14ac:dyDescent="0.2">
      <c r="S317" s="245"/>
    </row>
    <row r="318" spans="19:19" x14ac:dyDescent="0.2">
      <c r="S318" s="245"/>
    </row>
    <row r="319" spans="19:19" x14ac:dyDescent="0.2">
      <c r="S319" s="245"/>
    </row>
    <row r="320" spans="19:19" x14ac:dyDescent="0.2">
      <c r="S320" s="245"/>
    </row>
    <row r="321" spans="19:19" x14ac:dyDescent="0.2">
      <c r="S321" s="245"/>
    </row>
    <row r="322" spans="19:19" x14ac:dyDescent="0.2">
      <c r="S322" s="245"/>
    </row>
    <row r="323" spans="19:19" x14ac:dyDescent="0.2">
      <c r="S323" s="245"/>
    </row>
    <row r="324" spans="19:19" x14ac:dyDescent="0.2">
      <c r="S324" s="245"/>
    </row>
    <row r="325" spans="19:19" x14ac:dyDescent="0.2">
      <c r="S325" s="245"/>
    </row>
    <row r="326" spans="19:19" x14ac:dyDescent="0.2">
      <c r="S326" s="245"/>
    </row>
    <row r="327" spans="19:19" x14ac:dyDescent="0.2">
      <c r="S327" s="245"/>
    </row>
    <row r="328" spans="19:19" x14ac:dyDescent="0.2">
      <c r="S328" s="245"/>
    </row>
    <row r="329" spans="19:19" x14ac:dyDescent="0.2">
      <c r="S329" s="245"/>
    </row>
    <row r="330" spans="19:19" x14ac:dyDescent="0.2">
      <c r="S330" s="245"/>
    </row>
    <row r="331" spans="19:19" x14ac:dyDescent="0.2">
      <c r="S331" s="245"/>
    </row>
    <row r="332" spans="19:19" x14ac:dyDescent="0.2">
      <c r="S332" s="245"/>
    </row>
    <row r="333" spans="19:19" x14ac:dyDescent="0.2">
      <c r="S333" s="245"/>
    </row>
    <row r="334" spans="19:19" x14ac:dyDescent="0.2">
      <c r="S334" s="245"/>
    </row>
    <row r="335" spans="19:19" x14ac:dyDescent="0.2">
      <c r="S335" s="245"/>
    </row>
    <row r="336" spans="19:19" x14ac:dyDescent="0.2">
      <c r="S336" s="245"/>
    </row>
    <row r="337" spans="19:19" x14ac:dyDescent="0.2">
      <c r="S337" s="245"/>
    </row>
    <row r="338" spans="19:19" x14ac:dyDescent="0.2">
      <c r="S338" s="245"/>
    </row>
    <row r="339" spans="19:19" x14ac:dyDescent="0.2">
      <c r="S339" s="245"/>
    </row>
    <row r="340" spans="19:19" x14ac:dyDescent="0.2">
      <c r="S340" s="245"/>
    </row>
    <row r="341" spans="19:19" x14ac:dyDescent="0.2">
      <c r="S341" s="245"/>
    </row>
    <row r="342" spans="19:19" x14ac:dyDescent="0.2">
      <c r="S342" s="245"/>
    </row>
    <row r="343" spans="19:19" x14ac:dyDescent="0.2">
      <c r="S343" s="245"/>
    </row>
    <row r="344" spans="19:19" x14ac:dyDescent="0.2">
      <c r="S344" s="245"/>
    </row>
    <row r="345" spans="19:19" x14ac:dyDescent="0.2">
      <c r="S345" s="245"/>
    </row>
    <row r="346" spans="19:19" x14ac:dyDescent="0.2">
      <c r="S346" s="245"/>
    </row>
    <row r="347" spans="19:19" x14ac:dyDescent="0.2">
      <c r="S347" s="245"/>
    </row>
    <row r="348" spans="19:19" x14ac:dyDescent="0.2">
      <c r="S348" s="245"/>
    </row>
    <row r="349" spans="19:19" x14ac:dyDescent="0.2">
      <c r="S349" s="245"/>
    </row>
    <row r="350" spans="19:19" x14ac:dyDescent="0.2">
      <c r="S350" s="245"/>
    </row>
    <row r="351" spans="19:19" x14ac:dyDescent="0.2">
      <c r="S351" s="245"/>
    </row>
    <row r="352" spans="19:19" x14ac:dyDescent="0.2">
      <c r="S352" s="245"/>
    </row>
    <row r="353" spans="19:19" x14ac:dyDescent="0.2">
      <c r="S353" s="245"/>
    </row>
    <row r="354" spans="19:19" x14ac:dyDescent="0.2">
      <c r="S354" s="245"/>
    </row>
    <row r="355" spans="19:19" x14ac:dyDescent="0.2">
      <c r="S355" s="245"/>
    </row>
    <row r="356" spans="19:19" x14ac:dyDescent="0.2">
      <c r="S356" s="245"/>
    </row>
    <row r="357" spans="19:19" x14ac:dyDescent="0.2">
      <c r="S357" s="245"/>
    </row>
    <row r="358" spans="19:19" x14ac:dyDescent="0.2">
      <c r="S358" s="245"/>
    </row>
    <row r="359" spans="19:19" x14ac:dyDescent="0.2">
      <c r="S359" s="245"/>
    </row>
    <row r="360" spans="19:19" x14ac:dyDescent="0.2">
      <c r="S360" s="245"/>
    </row>
    <row r="361" spans="19:19" x14ac:dyDescent="0.2">
      <c r="S361" s="245"/>
    </row>
    <row r="362" spans="19:19" x14ac:dyDescent="0.2">
      <c r="S362" s="245"/>
    </row>
    <row r="363" spans="19:19" x14ac:dyDescent="0.2">
      <c r="S363" s="245"/>
    </row>
    <row r="364" spans="19:19" x14ac:dyDescent="0.2">
      <c r="S364" s="245"/>
    </row>
    <row r="365" spans="19:19" x14ac:dyDescent="0.2">
      <c r="S365" s="245"/>
    </row>
    <row r="366" spans="19:19" x14ac:dyDescent="0.2">
      <c r="S366" s="245"/>
    </row>
    <row r="367" spans="19:19" x14ac:dyDescent="0.2">
      <c r="S367" s="245"/>
    </row>
    <row r="368" spans="19:19" x14ac:dyDescent="0.2">
      <c r="S368" s="245"/>
    </row>
    <row r="369" spans="19:19" x14ac:dyDescent="0.2">
      <c r="S369" s="245"/>
    </row>
    <row r="370" spans="19:19" x14ac:dyDescent="0.2">
      <c r="S370" s="245"/>
    </row>
    <row r="371" spans="19:19" x14ac:dyDescent="0.2">
      <c r="S371" s="245"/>
    </row>
    <row r="372" spans="19:19" x14ac:dyDescent="0.2">
      <c r="S372" s="245"/>
    </row>
    <row r="373" spans="19:19" x14ac:dyDescent="0.2">
      <c r="S373" s="245"/>
    </row>
    <row r="374" spans="19:19" x14ac:dyDescent="0.2">
      <c r="S374" s="245"/>
    </row>
    <row r="375" spans="19:19" x14ac:dyDescent="0.2">
      <c r="S375" s="245"/>
    </row>
    <row r="376" spans="19:19" x14ac:dyDescent="0.2">
      <c r="S376" s="245"/>
    </row>
    <row r="377" spans="19:19" x14ac:dyDescent="0.2">
      <c r="S377" s="245"/>
    </row>
    <row r="378" spans="19:19" x14ac:dyDescent="0.2">
      <c r="S378" s="245"/>
    </row>
    <row r="379" spans="19:19" x14ac:dyDescent="0.2">
      <c r="S379" s="245"/>
    </row>
    <row r="380" spans="19:19" x14ac:dyDescent="0.2">
      <c r="S380" s="245"/>
    </row>
    <row r="381" spans="19:19" x14ac:dyDescent="0.2">
      <c r="S381" s="245"/>
    </row>
    <row r="382" spans="19:19" x14ac:dyDescent="0.2">
      <c r="S382" s="245"/>
    </row>
    <row r="383" spans="19:19" x14ac:dyDescent="0.2">
      <c r="S383" s="245"/>
    </row>
    <row r="384" spans="19:19" x14ac:dyDescent="0.2">
      <c r="S384" s="245"/>
    </row>
    <row r="385" spans="19:19" x14ac:dyDescent="0.2">
      <c r="S385" s="245"/>
    </row>
    <row r="386" spans="19:19" x14ac:dyDescent="0.2">
      <c r="S386" s="245"/>
    </row>
    <row r="387" spans="19:19" x14ac:dyDescent="0.2">
      <c r="S387" s="245"/>
    </row>
    <row r="388" spans="19:19" x14ac:dyDescent="0.2">
      <c r="S388" s="245"/>
    </row>
    <row r="389" spans="19:19" x14ac:dyDescent="0.2">
      <c r="S389" s="245"/>
    </row>
    <row r="390" spans="19:19" x14ac:dyDescent="0.2">
      <c r="S390" s="245"/>
    </row>
    <row r="391" spans="19:19" x14ac:dyDescent="0.2">
      <c r="S391" s="245"/>
    </row>
    <row r="392" spans="19:19" x14ac:dyDescent="0.2">
      <c r="S392" s="245"/>
    </row>
    <row r="393" spans="19:19" x14ac:dyDescent="0.2">
      <c r="S393" s="245"/>
    </row>
    <row r="394" spans="19:19" x14ac:dyDescent="0.2">
      <c r="S394" s="245"/>
    </row>
    <row r="395" spans="19:19" x14ac:dyDescent="0.2">
      <c r="S395" s="245"/>
    </row>
    <row r="396" spans="19:19" x14ac:dyDescent="0.2">
      <c r="S396" s="245"/>
    </row>
    <row r="397" spans="19:19" x14ac:dyDescent="0.2">
      <c r="S397" s="245"/>
    </row>
    <row r="398" spans="19:19" x14ac:dyDescent="0.2">
      <c r="S398" s="245"/>
    </row>
    <row r="399" spans="19:19" x14ac:dyDescent="0.2">
      <c r="S399" s="245"/>
    </row>
    <row r="400" spans="19:19" x14ac:dyDescent="0.2">
      <c r="S400" s="245"/>
    </row>
    <row r="401" spans="19:19" x14ac:dyDescent="0.2">
      <c r="S401" s="245"/>
    </row>
    <row r="402" spans="19:19" x14ac:dyDescent="0.2">
      <c r="S402" s="245"/>
    </row>
    <row r="403" spans="19:19" x14ac:dyDescent="0.2">
      <c r="S403" s="245"/>
    </row>
    <row r="404" spans="19:19" x14ac:dyDescent="0.2">
      <c r="S404" s="245"/>
    </row>
    <row r="405" spans="19:19" x14ac:dyDescent="0.2">
      <c r="S405" s="245"/>
    </row>
    <row r="406" spans="19:19" x14ac:dyDescent="0.2">
      <c r="S406" s="245"/>
    </row>
    <row r="407" spans="19:19" x14ac:dyDescent="0.2">
      <c r="S407" s="245"/>
    </row>
    <row r="408" spans="19:19" x14ac:dyDescent="0.2">
      <c r="S408" s="245"/>
    </row>
    <row r="409" spans="19:19" x14ac:dyDescent="0.2">
      <c r="S409" s="245"/>
    </row>
    <row r="410" spans="19:19" x14ac:dyDescent="0.2">
      <c r="S410" s="245"/>
    </row>
    <row r="411" spans="19:19" x14ac:dyDescent="0.2">
      <c r="S411" s="245"/>
    </row>
    <row r="412" spans="19:19" x14ac:dyDescent="0.2">
      <c r="S412" s="245"/>
    </row>
    <row r="413" spans="19:19" x14ac:dyDescent="0.2">
      <c r="S413" s="245"/>
    </row>
    <row r="414" spans="19:19" x14ac:dyDescent="0.2">
      <c r="S414" s="245"/>
    </row>
    <row r="415" spans="19:19" x14ac:dyDescent="0.2">
      <c r="S415" s="245"/>
    </row>
    <row r="416" spans="19:19" x14ac:dyDescent="0.2">
      <c r="S416" s="245"/>
    </row>
    <row r="417" spans="19:19" x14ac:dyDescent="0.2">
      <c r="S417" s="245"/>
    </row>
    <row r="418" spans="19:19" x14ac:dyDescent="0.2">
      <c r="S418" s="245"/>
    </row>
    <row r="419" spans="19:19" x14ac:dyDescent="0.2">
      <c r="S419" s="245"/>
    </row>
    <row r="420" spans="19:19" x14ac:dyDescent="0.2">
      <c r="S420" s="245"/>
    </row>
    <row r="421" spans="19:19" x14ac:dyDescent="0.2">
      <c r="S421" s="245"/>
    </row>
    <row r="422" spans="19:19" x14ac:dyDescent="0.2">
      <c r="S422" s="245"/>
    </row>
    <row r="423" spans="19:19" x14ac:dyDescent="0.2">
      <c r="S423" s="245"/>
    </row>
    <row r="424" spans="19:19" x14ac:dyDescent="0.2">
      <c r="S424" s="245"/>
    </row>
    <row r="425" spans="19:19" x14ac:dyDescent="0.2">
      <c r="S425" s="245"/>
    </row>
    <row r="426" spans="19:19" x14ac:dyDescent="0.2">
      <c r="S426" s="245"/>
    </row>
    <row r="427" spans="19:19" x14ac:dyDescent="0.2">
      <c r="S427" s="245"/>
    </row>
    <row r="428" spans="19:19" x14ac:dyDescent="0.2">
      <c r="S428" s="245"/>
    </row>
    <row r="429" spans="19:19" x14ac:dyDescent="0.2">
      <c r="S429" s="245"/>
    </row>
    <row r="430" spans="19:19" x14ac:dyDescent="0.2">
      <c r="S430" s="245"/>
    </row>
    <row r="431" spans="19:19" x14ac:dyDescent="0.2">
      <c r="S431" s="245"/>
    </row>
    <row r="432" spans="19:19" x14ac:dyDescent="0.2">
      <c r="S432" s="245"/>
    </row>
    <row r="433" spans="19:19" x14ac:dyDescent="0.2">
      <c r="S433" s="245"/>
    </row>
    <row r="434" spans="19:19" x14ac:dyDescent="0.2">
      <c r="S434" s="245"/>
    </row>
    <row r="435" spans="19:19" x14ac:dyDescent="0.2">
      <c r="S435" s="245"/>
    </row>
    <row r="436" spans="19:19" x14ac:dyDescent="0.2">
      <c r="S436" s="245"/>
    </row>
    <row r="437" spans="19:19" x14ac:dyDescent="0.2">
      <c r="S437" s="245"/>
    </row>
    <row r="438" spans="19:19" x14ac:dyDescent="0.2">
      <c r="S438" s="245"/>
    </row>
    <row r="439" spans="19:19" x14ac:dyDescent="0.2">
      <c r="S439" s="245"/>
    </row>
    <row r="440" spans="19:19" x14ac:dyDescent="0.2">
      <c r="S440" s="245"/>
    </row>
    <row r="441" spans="19:19" x14ac:dyDescent="0.2">
      <c r="S441" s="245"/>
    </row>
    <row r="442" spans="19:19" x14ac:dyDescent="0.2">
      <c r="S442" s="245"/>
    </row>
    <row r="443" spans="19:19" x14ac:dyDescent="0.2">
      <c r="S443" s="245"/>
    </row>
    <row r="444" spans="19:19" x14ac:dyDescent="0.2">
      <c r="S444" s="245"/>
    </row>
    <row r="445" spans="19:19" x14ac:dyDescent="0.2">
      <c r="S445" s="245"/>
    </row>
    <row r="446" spans="19:19" x14ac:dyDescent="0.2">
      <c r="S446" s="245"/>
    </row>
    <row r="447" spans="19:19" x14ac:dyDescent="0.2">
      <c r="S447" s="245"/>
    </row>
    <row r="448" spans="19:19" x14ac:dyDescent="0.2">
      <c r="S448" s="245"/>
    </row>
    <row r="449" spans="19:19" x14ac:dyDescent="0.2">
      <c r="S449" s="245"/>
    </row>
    <row r="450" spans="19:19" x14ac:dyDescent="0.2">
      <c r="S450" s="245"/>
    </row>
    <row r="451" spans="19:19" x14ac:dyDescent="0.2">
      <c r="S451" s="245"/>
    </row>
    <row r="452" spans="19:19" x14ac:dyDescent="0.2">
      <c r="S452" s="245"/>
    </row>
    <row r="453" spans="19:19" x14ac:dyDescent="0.2">
      <c r="S453" s="245"/>
    </row>
    <row r="454" spans="19:19" x14ac:dyDescent="0.2">
      <c r="S454" s="245"/>
    </row>
    <row r="455" spans="19:19" x14ac:dyDescent="0.2">
      <c r="S455" s="245"/>
    </row>
    <row r="456" spans="19:19" x14ac:dyDescent="0.2">
      <c r="S456" s="245"/>
    </row>
    <row r="457" spans="19:19" x14ac:dyDescent="0.2">
      <c r="S457" s="245"/>
    </row>
    <row r="458" spans="19:19" x14ac:dyDescent="0.2">
      <c r="S458" s="245"/>
    </row>
    <row r="459" spans="19:19" x14ac:dyDescent="0.2">
      <c r="S459" s="245"/>
    </row>
    <row r="460" spans="19:19" x14ac:dyDescent="0.2">
      <c r="S460" s="245"/>
    </row>
    <row r="461" spans="19:19" x14ac:dyDescent="0.2">
      <c r="S461" s="245"/>
    </row>
    <row r="462" spans="19:19" x14ac:dyDescent="0.2">
      <c r="S462" s="245"/>
    </row>
    <row r="463" spans="19:19" x14ac:dyDescent="0.2">
      <c r="S463" s="245"/>
    </row>
    <row r="464" spans="19:19" x14ac:dyDescent="0.2">
      <c r="S464" s="245"/>
    </row>
    <row r="465" spans="19:19" x14ac:dyDescent="0.2">
      <c r="S465" s="245"/>
    </row>
    <row r="466" spans="19:19" x14ac:dyDescent="0.2">
      <c r="S466" s="245"/>
    </row>
    <row r="467" spans="19:19" x14ac:dyDescent="0.2">
      <c r="S467" s="245"/>
    </row>
    <row r="468" spans="19:19" x14ac:dyDescent="0.2">
      <c r="S468" s="245"/>
    </row>
    <row r="469" spans="19:19" x14ac:dyDescent="0.2">
      <c r="S469" s="245"/>
    </row>
    <row r="470" spans="19:19" x14ac:dyDescent="0.2">
      <c r="S470" s="245"/>
    </row>
    <row r="471" spans="19:19" x14ac:dyDescent="0.2">
      <c r="S471" s="245"/>
    </row>
    <row r="472" spans="19:19" x14ac:dyDescent="0.2">
      <c r="S472" s="245"/>
    </row>
    <row r="473" spans="19:19" x14ac:dyDescent="0.2">
      <c r="S473" s="245"/>
    </row>
    <row r="474" spans="19:19" x14ac:dyDescent="0.2">
      <c r="S474" s="245"/>
    </row>
    <row r="475" spans="19:19" x14ac:dyDescent="0.2">
      <c r="S475" s="245"/>
    </row>
    <row r="476" spans="19:19" x14ac:dyDescent="0.2">
      <c r="S476" s="245"/>
    </row>
    <row r="477" spans="19:19" x14ac:dyDescent="0.2">
      <c r="S477" s="245"/>
    </row>
    <row r="478" spans="19:19" x14ac:dyDescent="0.2">
      <c r="S478" s="245"/>
    </row>
    <row r="479" spans="19:19" x14ac:dyDescent="0.2">
      <c r="S479" s="245"/>
    </row>
    <row r="480" spans="19:19" x14ac:dyDescent="0.2">
      <c r="S480" s="245"/>
    </row>
    <row r="481" spans="19:19" x14ac:dyDescent="0.2">
      <c r="S481" s="245"/>
    </row>
    <row r="482" spans="19:19" x14ac:dyDescent="0.2">
      <c r="S482" s="245"/>
    </row>
    <row r="483" spans="19:19" x14ac:dyDescent="0.2">
      <c r="S483" s="245"/>
    </row>
    <row r="484" spans="19:19" x14ac:dyDescent="0.2">
      <c r="S484" s="245"/>
    </row>
    <row r="485" spans="19:19" x14ac:dyDescent="0.2">
      <c r="S485" s="245"/>
    </row>
    <row r="486" spans="19:19" x14ac:dyDescent="0.2">
      <c r="S486" s="245"/>
    </row>
    <row r="487" spans="19:19" x14ac:dyDescent="0.2">
      <c r="S487" s="245"/>
    </row>
    <row r="488" spans="19:19" x14ac:dyDescent="0.2">
      <c r="S488" s="245"/>
    </row>
    <row r="489" spans="19:19" x14ac:dyDescent="0.2">
      <c r="S489" s="245"/>
    </row>
  </sheetData>
  <sheetProtection selectLockedCells="1" selectUnlockedCells="1"/>
  <sortState xmlns:xlrd2="http://schemas.microsoft.com/office/spreadsheetml/2017/richdata2" ref="Y2:Y489">
    <sortCondition ref="Y1:Y489"/>
  </sortState>
  <phoneticPr fontId="76" type="noConversion"/>
  <conditionalFormatting sqref="F2:F12">
    <cfRule type="duplicateValues" dxfId="6399" priority="4371"/>
  </conditionalFormatting>
  <conditionalFormatting sqref="H3:H10">
    <cfRule type="duplicateValues" dxfId="6398" priority="4702"/>
  </conditionalFormatting>
  <conditionalFormatting sqref="O2">
    <cfRule type="duplicateValues" dxfId="6397" priority="78"/>
  </conditionalFormatting>
  <conditionalFormatting sqref="Q32">
    <cfRule type="duplicateValues" dxfId="6396" priority="76"/>
  </conditionalFormatting>
  <conditionalFormatting sqref="T38">
    <cfRule type="duplicateValues" dxfId="6395" priority="72"/>
  </conditionalFormatting>
  <conditionalFormatting sqref="O3">
    <cfRule type="duplicateValues" dxfId="6394" priority="70"/>
  </conditionalFormatting>
  <conditionalFormatting sqref="O4">
    <cfRule type="duplicateValues" dxfId="6393" priority="69"/>
  </conditionalFormatting>
  <conditionalFormatting sqref="O5">
    <cfRule type="duplicateValues" dxfId="6392" priority="68"/>
  </conditionalFormatting>
  <conditionalFormatting sqref="O6">
    <cfRule type="duplicateValues" dxfId="6391" priority="67"/>
  </conditionalFormatting>
  <conditionalFormatting sqref="O7">
    <cfRule type="duplicateValues" dxfId="6390" priority="66"/>
  </conditionalFormatting>
  <conditionalFormatting sqref="O8">
    <cfRule type="duplicateValues" dxfId="6389" priority="65"/>
  </conditionalFormatting>
  <conditionalFormatting sqref="O9">
    <cfRule type="duplicateValues" dxfId="6388" priority="64"/>
  </conditionalFormatting>
  <conditionalFormatting sqref="O10">
    <cfRule type="duplicateValues" dxfId="6387" priority="63"/>
  </conditionalFormatting>
  <conditionalFormatting sqref="O11">
    <cfRule type="duplicateValues" dxfId="6386" priority="62"/>
  </conditionalFormatting>
  <conditionalFormatting sqref="O12">
    <cfRule type="duplicateValues" dxfId="6385" priority="60"/>
  </conditionalFormatting>
  <conditionalFormatting sqref="O13">
    <cfRule type="duplicateValues" dxfId="6384" priority="59"/>
  </conditionalFormatting>
  <conditionalFormatting sqref="O14">
    <cfRule type="duplicateValues" dxfId="6383" priority="58"/>
  </conditionalFormatting>
  <conditionalFormatting sqref="O15">
    <cfRule type="duplicateValues" dxfId="6382" priority="56"/>
  </conditionalFormatting>
  <conditionalFormatting sqref="O16">
    <cfRule type="duplicateValues" dxfId="6381" priority="55"/>
  </conditionalFormatting>
  <conditionalFormatting sqref="O19">
    <cfRule type="duplicateValues" dxfId="6380" priority="52"/>
  </conditionalFormatting>
  <conditionalFormatting sqref="O22">
    <cfRule type="duplicateValues" dxfId="6379" priority="47"/>
  </conditionalFormatting>
  <conditionalFormatting sqref="O23">
    <cfRule type="duplicateValues" dxfId="6378" priority="46"/>
  </conditionalFormatting>
  <conditionalFormatting sqref="O24">
    <cfRule type="duplicateValues" dxfId="6377" priority="45"/>
  </conditionalFormatting>
  <conditionalFormatting sqref="O25">
    <cfRule type="duplicateValues" dxfId="6376" priority="44"/>
  </conditionalFormatting>
  <conditionalFormatting sqref="O26">
    <cfRule type="duplicateValues" dxfId="6375" priority="43"/>
  </conditionalFormatting>
  <conditionalFormatting sqref="O27">
    <cfRule type="duplicateValues" dxfId="6374" priority="41"/>
  </conditionalFormatting>
  <conditionalFormatting sqref="O28">
    <cfRule type="duplicateValues" dxfId="6373" priority="39"/>
  </conditionalFormatting>
  <conditionalFormatting sqref="O29">
    <cfRule type="duplicateValues" dxfId="6372" priority="38"/>
  </conditionalFormatting>
  <conditionalFormatting sqref="O30">
    <cfRule type="duplicateValues" dxfId="6371" priority="37"/>
  </conditionalFormatting>
  <conditionalFormatting sqref="O31">
    <cfRule type="duplicateValues" dxfId="6370" priority="36"/>
  </conditionalFormatting>
  <conditionalFormatting sqref="O32">
    <cfRule type="duplicateValues" dxfId="6369" priority="35"/>
  </conditionalFormatting>
  <conditionalFormatting sqref="O33">
    <cfRule type="duplicateValues" dxfId="6368" priority="34"/>
  </conditionalFormatting>
  <conditionalFormatting sqref="X2">
    <cfRule type="duplicateValues" dxfId="6367" priority="29"/>
  </conditionalFormatting>
  <conditionalFormatting sqref="W2">
    <cfRule type="duplicateValues" dxfId="6366" priority="25"/>
  </conditionalFormatting>
  <conditionalFormatting sqref="O34:O36">
    <cfRule type="duplicateValues" dxfId="6365" priority="21"/>
  </conditionalFormatting>
  <conditionalFormatting sqref="Q33">
    <cfRule type="duplicateValues" dxfId="6364" priority="19"/>
  </conditionalFormatting>
  <conditionalFormatting sqref="Y28:Y40">
    <cfRule type="duplicateValues" dxfId="6363" priority="4835"/>
  </conditionalFormatting>
  <conditionalFormatting sqref="U10">
    <cfRule type="duplicateValues" dxfId="6362" priority="13"/>
  </conditionalFormatting>
  <conditionalFormatting sqref="U35:U38 U27:U30">
    <cfRule type="duplicateValues" dxfId="6361" priority="4856"/>
  </conditionalFormatting>
  <conditionalFormatting sqref="U39:U40">
    <cfRule type="duplicateValues" dxfId="6360" priority="4857"/>
  </conditionalFormatting>
  <conditionalFormatting sqref="U39">
    <cfRule type="duplicateValues" dxfId="6359" priority="4859"/>
  </conditionalFormatting>
  <conditionalFormatting sqref="U30">
    <cfRule type="duplicateValues" dxfId="6358" priority="4924"/>
  </conditionalFormatting>
  <conditionalFormatting sqref="U31:U34">
    <cfRule type="duplicateValues" dxfId="6357" priority="4925"/>
  </conditionalFormatting>
  <conditionalFormatting sqref="O17">
    <cfRule type="duplicateValues" dxfId="6356" priority="4928"/>
  </conditionalFormatting>
  <conditionalFormatting sqref="O18">
    <cfRule type="duplicateValues" dxfId="6355" priority="4929"/>
  </conditionalFormatting>
  <conditionalFormatting sqref="P43:P46">
    <cfRule type="duplicateValues" dxfId="6354" priority="4930"/>
  </conditionalFormatting>
  <conditionalFormatting sqref="V33">
    <cfRule type="duplicateValues" dxfId="6353" priority="12"/>
  </conditionalFormatting>
  <conditionalFormatting sqref="X63:X65">
    <cfRule type="duplicateValues" dxfId="6352" priority="5026"/>
  </conditionalFormatting>
  <conditionalFormatting sqref="X36:X40 U27:U29 P2:P3 N2 X5 T2:T3 T34:T37 T39:T53 Z4:Z95 Y2:Z3">
    <cfRule type="duplicateValues" dxfId="6351" priority="5053"/>
  </conditionalFormatting>
  <conditionalFormatting sqref="Y5">
    <cfRule type="duplicateValues" dxfId="6350" priority="11"/>
  </conditionalFormatting>
  <conditionalFormatting sqref="Y10">
    <cfRule type="duplicateValues" dxfId="6349" priority="9"/>
  </conditionalFormatting>
  <conditionalFormatting sqref="Y25">
    <cfRule type="duplicateValues" dxfId="6348" priority="8"/>
  </conditionalFormatting>
  <conditionalFormatting sqref="F7:F12 B2 A2:A8 E3:E19 D2:D7 C2:C10 I2:J6 J7 J9 I7:I11 K2:L11 G2 F3:G6 G7:G16 E21:E25">
    <cfRule type="duplicateValues" dxfId="6347" priority="5066"/>
  </conditionalFormatting>
  <conditionalFormatting sqref="Y11:Y24 V31:V32 U2:U9 P4:P34 Q3:Q31 T4:T33 X6:X35 W3:W32 Y4 U11:U26 Y6:Y9">
    <cfRule type="duplicateValues" dxfId="6346" priority="5088"/>
  </conditionalFormatting>
  <conditionalFormatting sqref="S24:S34">
    <cfRule type="duplicateValues" dxfId="6345" priority="3"/>
  </conditionalFormatting>
  <conditionalFormatting sqref="S20:S23">
    <cfRule type="duplicateValues" dxfId="6344" priority="2"/>
  </conditionalFormatting>
  <conditionalFormatting sqref="S48:S49">
    <cfRule type="duplicateValues" dxfId="6343" priority="1"/>
  </conditionalFormatting>
  <conditionalFormatting sqref="S37:S40 S2:S3">
    <cfRule type="duplicateValues" dxfId="6342" priority="4"/>
  </conditionalFormatting>
  <conditionalFormatting sqref="S2:S3">
    <cfRule type="duplicateValues" dxfId="6341" priority="5"/>
  </conditionalFormatting>
  <conditionalFormatting sqref="S35:S36 S4:S7 S15:S19">
    <cfRule type="duplicateValues" dxfId="6340" priority="6"/>
  </conditionalFormatting>
  <conditionalFormatting sqref="S42:S47">
    <cfRule type="duplicateValues" dxfId="6339" priority="7"/>
  </conditionalFormatting>
  <hyperlinks>
    <hyperlink ref="Y44" r:id="rId1" display="https://workload-measurement.hmpps.service.justice.gov.uk/probation/team/4204" xr:uid="{FF3C7A8F-6407-45F8-83F2-36DE1CD65E10}"/>
    <hyperlink ref="Y74" r:id="rId2" display="https://workload-measurement.hmpps.service.justice.gov.uk/probation/team/4199" xr:uid="{E5D0E93A-CCF6-49E2-A376-C7F7C0D2A77A}"/>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3">
    <tabColor rgb="FFE27070"/>
  </sheetPr>
  <dimension ref="A1:U153"/>
  <sheetViews>
    <sheetView zoomScale="70" zoomScaleNormal="70" workbookViewId="0">
      <pane ySplit="1" topLeftCell="A2" activePane="bottomLeft" state="frozen"/>
      <selection activeCell="B20" sqref="B20"/>
      <selection pane="bottomLeft" activeCell="B38" sqref="B38"/>
    </sheetView>
  </sheetViews>
  <sheetFormatPr baseColWidth="10" defaultColWidth="8.83203125" defaultRowHeight="14" x14ac:dyDescent="0.15"/>
  <cols>
    <col min="1" max="1" width="31.83203125" bestFit="1" customWidth="1"/>
    <col min="2" max="2" width="53.5" customWidth="1"/>
    <col min="3" max="3" width="21" customWidth="1"/>
    <col min="4" max="4" width="20.5" customWidth="1"/>
    <col min="5" max="5" width="12.5" customWidth="1"/>
    <col min="6" max="6" width="17.5" style="226" bestFit="1" customWidth="1"/>
    <col min="7" max="7" width="13.5" bestFit="1" customWidth="1"/>
    <col min="8" max="8" width="18.5" bestFit="1" customWidth="1"/>
    <col min="9" max="9" width="15.5" bestFit="1" customWidth="1"/>
    <col min="10" max="10" width="18.5" bestFit="1" customWidth="1"/>
    <col min="11" max="12" width="11" customWidth="1"/>
    <col min="13" max="13" width="14.5" style="225" customWidth="1"/>
    <col min="14" max="14" width="11.83203125" bestFit="1" customWidth="1"/>
    <col min="15" max="15" width="31.5" bestFit="1" customWidth="1"/>
    <col min="16" max="16" width="26.83203125" customWidth="1"/>
    <col min="17" max="17" width="15.5" customWidth="1"/>
    <col min="18" max="18" width="19.5" customWidth="1"/>
    <col min="19" max="19" width="13.83203125" bestFit="1" customWidth="1"/>
    <col min="20" max="20" width="15.83203125" customWidth="1"/>
    <col min="21" max="21" width="12.5" customWidth="1"/>
  </cols>
  <sheetData>
    <row r="1" spans="1:21" ht="45" customHeight="1" x14ac:dyDescent="0.2">
      <c r="A1" s="216" t="s">
        <v>838</v>
      </c>
      <c r="B1" s="216" t="s">
        <v>839</v>
      </c>
      <c r="C1" s="216" t="s">
        <v>840</v>
      </c>
      <c r="D1" s="216" t="s">
        <v>841</v>
      </c>
      <c r="E1" s="216" t="s">
        <v>842</v>
      </c>
      <c r="F1" s="216" t="s">
        <v>843</v>
      </c>
      <c r="G1" s="216" t="s">
        <v>844</v>
      </c>
      <c r="H1" s="216" t="s">
        <v>845</v>
      </c>
      <c r="I1" s="216" t="s">
        <v>846</v>
      </c>
      <c r="J1" s="216" t="s">
        <v>847</v>
      </c>
      <c r="K1" s="216" t="s">
        <v>848</v>
      </c>
      <c r="L1" s="216" t="s">
        <v>849</v>
      </c>
      <c r="M1" s="216" t="s">
        <v>850</v>
      </c>
      <c r="O1" s="23" t="s">
        <v>851</v>
      </c>
      <c r="P1" s="43" t="s">
        <v>852</v>
      </c>
      <c r="Q1" s="44" t="s">
        <v>853</v>
      </c>
      <c r="R1" s="44" t="s">
        <v>854</v>
      </c>
      <c r="S1" s="45" t="s">
        <v>855</v>
      </c>
      <c r="T1" s="45" t="s">
        <v>856</v>
      </c>
      <c r="U1" s="190" t="s">
        <v>857</v>
      </c>
    </row>
    <row r="2" spans="1:21" ht="16" x14ac:dyDescent="0.2">
      <c r="O2" s="23" t="s">
        <v>17</v>
      </c>
      <c r="P2" s="23" t="s">
        <v>29</v>
      </c>
      <c r="Q2" s="222" t="str">
        <f>IFERROR(SUM((SUMIFS('capacity data'!$G:$G,'capacity data'!$E:$E,"PO",'capacity data'!$B:$B,P2))-SUMIFS('capacity data'!$H:$H,'capacity data'!$E:$E,"PO",'capacity data'!$B:$B,P2))/SUMIFS('capacity data'!$G:$G,'capacity data'!$E:$E,"PO",'capacity data'!$B:$B,P2),"")</f>
        <v/>
      </c>
      <c r="R2" s="222" t="str">
        <f>IFERROR(SUM((SUMIFS('capacity data'!$G:$G,'capacity data'!$E:$E,"PSO",'capacity data'!$B:$B,P2))-SUMIFS('capacity data'!$H:$H,'capacity data'!$E:$E,"PSO",'capacity data'!$B:$B,P2))/SUMIFS('capacity data'!$G:$G,'capacity data'!$E:$E,"PSO",'capacity data'!$B:$B,P2),"")</f>
        <v/>
      </c>
      <c r="S2" s="22" t="str">
        <f>IFERROR((Q2-R2),"")</f>
        <v/>
      </c>
      <c r="T2" s="223" t="str">
        <f>IFERROR(SUMIFS('capacity data'!$L:$L,'capacity data'!$B:$B,P2,'capacity data'!$E:$E,"PSO")/SUMIFS('capacity data'!$G:$G,'capacity data'!$E:$E,"PSO",'capacity data'!$B:$B,P2),"")</f>
        <v/>
      </c>
      <c r="U2" s="223" t="str">
        <f>IFERROR(SUMIFS('capacity data'!$L:$L,'capacity data'!$B:$B,P2,'capacity data'!$E:$E,"TPO")/SUMIFS('capacity data'!$G:$G,'capacity data'!$E:$E,"TPO",'capacity data'!$B:$B,P2),"")</f>
        <v/>
      </c>
    </row>
    <row r="3" spans="1:21" ht="16" x14ac:dyDescent="0.2">
      <c r="O3" s="23" t="s">
        <v>17</v>
      </c>
      <c r="P3" t="s">
        <v>51</v>
      </c>
      <c r="Q3" s="222" t="str">
        <f>IFERROR(SUM((SUMIFS('capacity data'!$G:$G,'capacity data'!$E:$E,"PO",'capacity data'!$B:$B,P3))-SUMIFS('capacity data'!$H:$H,'capacity data'!$E:$E,"PO",'capacity data'!$B:$B,P3))/SUMIFS('capacity data'!$G:$G,'capacity data'!$E:$E,"PO",'capacity data'!$B:$B,P3),"")</f>
        <v/>
      </c>
      <c r="R3" s="222" t="str">
        <f>IFERROR(SUM((SUMIFS('capacity data'!$G:$G,'capacity data'!$E:$E,"PSO",'capacity data'!$B:$B,P3))-SUMIFS('capacity data'!$H:$H,'capacity data'!$E:$E,"PSO",'capacity data'!$B:$B,P3))/SUMIFS('capacity data'!$G:$G,'capacity data'!$E:$E,"PSO",'capacity data'!$B:$B,P3),"")</f>
        <v/>
      </c>
      <c r="S3" s="22" t="str">
        <f t="shared" ref="S3:S66" si="0">IFERROR((Q3-R3),"")</f>
        <v/>
      </c>
      <c r="T3" s="223" t="str">
        <f>IFERROR(SUMIFS('capacity data'!$L:$L,'capacity data'!$B:$B,P3,'capacity data'!$E:$E,"PSO")/SUMIFS('capacity data'!$G:$G,'capacity data'!$E:$E,"PSO",'capacity data'!$B:$B,P3),"")</f>
        <v/>
      </c>
      <c r="U3" s="223" t="str">
        <f>IFERROR(SUMIFS('capacity data'!$L:$L,'capacity data'!$B:$B,P3,'capacity data'!$E:$E,"TPO")/SUMIFS('capacity data'!$G:$G,'capacity data'!$E:$E,"TPO",'capacity data'!$B:$B,P3),"")</f>
        <v/>
      </c>
    </row>
    <row r="4" spans="1:21" ht="16" x14ac:dyDescent="0.2">
      <c r="O4" s="23" t="s">
        <v>17</v>
      </c>
      <c r="P4" t="s">
        <v>72</v>
      </c>
      <c r="Q4" s="222" t="str">
        <f>IFERROR(SUM((SUMIFS('capacity data'!$G:$G,'capacity data'!$E:$E,"PO",'capacity data'!$B:$B,P4))-SUMIFS('capacity data'!$H:$H,'capacity data'!$E:$E,"PO",'capacity data'!$B:$B,P4))/SUMIFS('capacity data'!$G:$G,'capacity data'!$E:$E,"PO",'capacity data'!$B:$B,P4),"")</f>
        <v/>
      </c>
      <c r="R4" s="222" t="str">
        <f>IFERROR(SUM((SUMIFS('capacity data'!$G:$G,'capacity data'!$E:$E,"PSO",'capacity data'!$B:$B,P4))-SUMIFS('capacity data'!$H:$H,'capacity data'!$E:$E,"PSO",'capacity data'!$B:$B,P4))/SUMIFS('capacity data'!$G:$G,'capacity data'!$E:$E,"PSO",'capacity data'!$B:$B,P4),"")</f>
        <v/>
      </c>
      <c r="S4" s="22" t="str">
        <f t="shared" si="0"/>
        <v/>
      </c>
      <c r="T4" s="223" t="str">
        <f>IFERROR(SUMIFS('capacity data'!$L:$L,'capacity data'!$B:$B,P4,'capacity data'!$E:$E,"PSO")/SUMIFS('capacity data'!$G:$G,'capacity data'!$E:$E,"PSO",'capacity data'!$B:$B,P4),"")</f>
        <v/>
      </c>
      <c r="U4" s="223" t="str">
        <f>IFERROR(SUMIFS('capacity data'!$L:$L,'capacity data'!$B:$B,P4,'capacity data'!$E:$E,"TPO")/SUMIFS('capacity data'!$G:$G,'capacity data'!$E:$E,"TPO",'capacity data'!$B:$B,P4),"")</f>
        <v/>
      </c>
    </row>
    <row r="5" spans="1:21" ht="16" x14ac:dyDescent="0.2">
      <c r="O5" s="23" t="s">
        <v>17</v>
      </c>
      <c r="P5" t="s">
        <v>94</v>
      </c>
      <c r="Q5" s="222" t="str">
        <f>IFERROR(SUM((SUMIFS('capacity data'!$G:$G,'capacity data'!$E:$E,"PO",'capacity data'!$B:$B,P5))-SUMIFS('capacity data'!$H:$H,'capacity data'!$E:$E,"PO",'capacity data'!$B:$B,P5))/SUMIFS('capacity data'!$G:$G,'capacity data'!$E:$E,"PO",'capacity data'!$B:$B,P5),"")</f>
        <v/>
      </c>
      <c r="R5" s="222" t="str">
        <f>IFERROR(SUM((SUMIFS('capacity data'!$G:$G,'capacity data'!$E:$E,"PSO",'capacity data'!$B:$B,P5))-SUMIFS('capacity data'!$H:$H,'capacity data'!$E:$E,"PSO",'capacity data'!$B:$B,P5))/SUMIFS('capacity data'!$G:$G,'capacity data'!$E:$E,"PSO",'capacity data'!$B:$B,P5),"")</f>
        <v/>
      </c>
      <c r="S5" s="22" t="str">
        <f t="shared" si="0"/>
        <v/>
      </c>
      <c r="T5" s="223" t="str">
        <f>IFERROR(SUMIFS('capacity data'!$L:$L,'capacity data'!$B:$B,P5,'capacity data'!$E:$E,"PSO")/SUMIFS('capacity data'!$G:$G,'capacity data'!$E:$E,"PSO",'capacity data'!$B:$B,P5),"")</f>
        <v/>
      </c>
      <c r="U5" s="223" t="str">
        <f>IFERROR(SUMIFS('capacity data'!$L:$L,'capacity data'!$B:$B,P5,'capacity data'!$E:$E,"TPO")/SUMIFS('capacity data'!$G:$G,'capacity data'!$E:$E,"TPO",'capacity data'!$B:$B,P5),"")</f>
        <v/>
      </c>
    </row>
    <row r="6" spans="1:21" ht="16" x14ac:dyDescent="0.2">
      <c r="O6" s="23" t="s">
        <v>17</v>
      </c>
      <c r="P6" t="s">
        <v>116</v>
      </c>
      <c r="Q6" s="222" t="str">
        <f>IFERROR(SUM((SUMIFS('capacity data'!$G:$G,'capacity data'!$E:$E,"PO",'capacity data'!$B:$B,P6))-SUMIFS('capacity data'!$H:$H,'capacity data'!$E:$E,"PO",'capacity data'!$B:$B,P6))/SUMIFS('capacity data'!$G:$G,'capacity data'!$E:$E,"PO",'capacity data'!$B:$B,P6),"")</f>
        <v/>
      </c>
      <c r="R6" s="222" t="str">
        <f>IFERROR(SUM((SUMIFS('capacity data'!$G:$G,'capacity data'!$E:$E,"PSO",'capacity data'!$B:$B,P6))-SUMIFS('capacity data'!$H:$H,'capacity data'!$E:$E,"PSO",'capacity data'!$B:$B,P6))/SUMIFS('capacity data'!$G:$G,'capacity data'!$E:$E,"PSO",'capacity data'!$B:$B,P6),"")</f>
        <v/>
      </c>
      <c r="S6" s="22" t="str">
        <f t="shared" si="0"/>
        <v/>
      </c>
      <c r="T6" s="223" t="str">
        <f>IFERROR(SUMIFS('capacity data'!$L:$L,'capacity data'!$B:$B,P6,'capacity data'!$E:$E,"PSO")/SUMIFS('capacity data'!$G:$G,'capacity data'!$E:$E,"PSO",'capacity data'!$B:$B,P6),"")</f>
        <v/>
      </c>
      <c r="U6" s="223" t="str">
        <f>IFERROR(SUMIFS('capacity data'!$L:$L,'capacity data'!$B:$B,P6,'capacity data'!$E:$E,"TPO")/SUMIFS('capacity data'!$G:$G,'capacity data'!$E:$E,"TPO",'capacity data'!$B:$B,P6),"")</f>
        <v/>
      </c>
    </row>
    <row r="7" spans="1:21" ht="16" x14ac:dyDescent="0.2">
      <c r="O7" s="23" t="s">
        <v>17</v>
      </c>
      <c r="P7" t="s">
        <v>137</v>
      </c>
      <c r="Q7" s="222" t="str">
        <f>IFERROR(SUM((SUMIFS('capacity data'!$G:$G,'capacity data'!$E:$E,"PO",'capacity data'!$B:$B,P7))-SUMIFS('capacity data'!$H:$H,'capacity data'!$E:$E,"PO",'capacity data'!$B:$B,P7))/SUMIFS('capacity data'!$G:$G,'capacity data'!$E:$E,"PO",'capacity data'!$B:$B,P7),"")</f>
        <v/>
      </c>
      <c r="R7" s="222" t="str">
        <f>IFERROR(SUM((SUMIFS('capacity data'!$G:$G,'capacity data'!$E:$E,"PSO",'capacity data'!$B:$B,P7))-SUMIFS('capacity data'!$H:$H,'capacity data'!$E:$E,"PSO",'capacity data'!$B:$B,P7))/SUMIFS('capacity data'!$G:$G,'capacity data'!$E:$E,"PSO",'capacity data'!$B:$B,P7),"")</f>
        <v/>
      </c>
      <c r="S7" s="22" t="str">
        <f t="shared" si="0"/>
        <v/>
      </c>
      <c r="T7" s="223" t="str">
        <f>IFERROR(SUMIFS('capacity data'!$L:$L,'capacity data'!$B:$B,P7,'capacity data'!$E:$E,"PSO")/SUMIFS('capacity data'!$G:$G,'capacity data'!$E:$E,"PSO",'capacity data'!$B:$B,P7),"")</f>
        <v/>
      </c>
      <c r="U7" s="223" t="str">
        <f>IFERROR(SUMIFS('capacity data'!$L:$L,'capacity data'!$B:$B,P7,'capacity data'!$E:$E,"TPO")/SUMIFS('capacity data'!$G:$G,'capacity data'!$E:$E,"TPO",'capacity data'!$B:$B,P7),"")</f>
        <v/>
      </c>
    </row>
    <row r="8" spans="1:21" ht="16" x14ac:dyDescent="0.2">
      <c r="O8" s="23" t="s">
        <v>17</v>
      </c>
      <c r="P8" t="s">
        <v>158</v>
      </c>
      <c r="Q8" s="222" t="str">
        <f>IFERROR(SUM((SUMIFS('capacity data'!$G:$G,'capacity data'!$E:$E,"PO",'capacity data'!$B:$B,P8))-SUMIFS('capacity data'!$H:$H,'capacity data'!$E:$E,"PO",'capacity data'!$B:$B,P8))/SUMIFS('capacity data'!$G:$G,'capacity data'!$E:$E,"PO",'capacity data'!$B:$B,P8),"")</f>
        <v/>
      </c>
      <c r="R8" s="222" t="str">
        <f>IFERROR(SUM((SUMIFS('capacity data'!$G:$G,'capacity data'!$E:$E,"PSO",'capacity data'!$B:$B,P8))-SUMIFS('capacity data'!$H:$H,'capacity data'!$E:$E,"PSO",'capacity data'!$B:$B,P8))/SUMIFS('capacity data'!$G:$G,'capacity data'!$E:$E,"PSO",'capacity data'!$B:$B,P8),"")</f>
        <v/>
      </c>
      <c r="S8" s="22" t="str">
        <f t="shared" si="0"/>
        <v/>
      </c>
      <c r="T8" s="223" t="str">
        <f>IFERROR(SUMIFS('capacity data'!$L:$L,'capacity data'!$B:$B,P8,'capacity data'!$E:$E,"PSO")/SUMIFS('capacity data'!$G:$G,'capacity data'!$E:$E,"PSO",'capacity data'!$B:$B,P8),"")</f>
        <v/>
      </c>
      <c r="U8" s="223" t="str">
        <f>IFERROR(SUMIFS('capacity data'!$L:$L,'capacity data'!$B:$B,P8,'capacity data'!$E:$E,"TPO")/SUMIFS('capacity data'!$G:$G,'capacity data'!$E:$E,"TPO",'capacity data'!$B:$B,P8),"")</f>
        <v/>
      </c>
    </row>
    <row r="9" spans="1:21" ht="16" x14ac:dyDescent="0.2">
      <c r="O9" s="23" t="s">
        <v>18</v>
      </c>
      <c r="P9" t="s">
        <v>52</v>
      </c>
      <c r="Q9" s="222" t="str">
        <f>IFERROR(SUM((SUMIFS('capacity data'!$G:$G,'capacity data'!$E:$E,"PO",'capacity data'!$B:$B,P9))-SUMIFS('capacity data'!$H:$H,'capacity data'!$E:$E,"PO",'capacity data'!$B:$B,P9))/SUMIFS('capacity data'!$G:$G,'capacity data'!$E:$E,"PO",'capacity data'!$B:$B,P9),"")</f>
        <v/>
      </c>
      <c r="R9" s="222" t="str">
        <f>IFERROR(SUM((SUMIFS('capacity data'!$G:$G,'capacity data'!$E:$E,"PSO",'capacity data'!$B:$B,P9))-SUMIFS('capacity data'!$H:$H,'capacity data'!$E:$E,"PSO",'capacity data'!$B:$B,P9))/SUMIFS('capacity data'!$G:$G,'capacity data'!$E:$E,"PSO",'capacity data'!$B:$B,P9),"")</f>
        <v/>
      </c>
      <c r="S9" s="22" t="str">
        <f t="shared" si="0"/>
        <v/>
      </c>
      <c r="T9" s="223" t="str">
        <f>IFERROR(SUMIFS('capacity data'!$L:$L,'capacity data'!$B:$B,P9,'capacity data'!$E:$E,"PSO")/SUMIFS('capacity data'!$G:$G,'capacity data'!$E:$E,"PSO",'capacity data'!$B:$B,P9),"")</f>
        <v/>
      </c>
      <c r="U9" s="223" t="str">
        <f>IFERROR(SUMIFS('capacity data'!$L:$L,'capacity data'!$B:$B,P9,'capacity data'!$E:$E,"TPO")/SUMIFS('capacity data'!$G:$G,'capacity data'!$E:$E,"TPO",'capacity data'!$B:$B,P9),"")</f>
        <v/>
      </c>
    </row>
    <row r="10" spans="1:21" ht="16" x14ac:dyDescent="0.2">
      <c r="O10" s="23" t="s">
        <v>18</v>
      </c>
      <c r="P10" t="s">
        <v>73</v>
      </c>
      <c r="Q10" s="222" t="str">
        <f>IFERROR(SUM((SUMIFS('capacity data'!$G:$G,'capacity data'!$E:$E,"PO",'capacity data'!$B:$B,P10))-SUMIFS('capacity data'!$H:$H,'capacity data'!$E:$E,"PO",'capacity data'!$B:$B,P10))/SUMIFS('capacity data'!$G:$G,'capacity data'!$E:$E,"PO",'capacity data'!$B:$B,P10),"")</f>
        <v/>
      </c>
      <c r="R10" s="222" t="str">
        <f>IFERROR(SUM((SUMIFS('capacity data'!$G:$G,'capacity data'!$E:$E,"PSO",'capacity data'!$B:$B,P10))-SUMIFS('capacity data'!$H:$H,'capacity data'!$E:$E,"PSO",'capacity data'!$B:$B,P10))/SUMIFS('capacity data'!$G:$G,'capacity data'!$E:$E,"PSO",'capacity data'!$B:$B,P10),"")</f>
        <v/>
      </c>
      <c r="S10" s="22" t="str">
        <f t="shared" si="0"/>
        <v/>
      </c>
      <c r="T10" s="223" t="str">
        <f>IFERROR(SUMIFS('capacity data'!$L:$L,'capacity data'!$B:$B,P10,'capacity data'!$E:$E,"PSO")/SUMIFS('capacity data'!$G:$G,'capacity data'!$E:$E,"PSO",'capacity data'!$B:$B,P10),"")</f>
        <v/>
      </c>
      <c r="U10" s="223" t="str">
        <f>IFERROR(SUMIFS('capacity data'!$L:$L,'capacity data'!$B:$B,P10,'capacity data'!$E:$E,"TPO")/SUMIFS('capacity data'!$G:$G,'capacity data'!$E:$E,"TPO",'capacity data'!$B:$B,P10),"")</f>
        <v/>
      </c>
    </row>
    <row r="11" spans="1:21" ht="16" x14ac:dyDescent="0.2">
      <c r="O11" s="23" t="s">
        <v>18</v>
      </c>
      <c r="P11" t="s">
        <v>95</v>
      </c>
      <c r="Q11" s="222" t="str">
        <f>IFERROR(SUM((SUMIFS('capacity data'!$G:$G,'capacity data'!$E:$E,"PO",'capacity data'!$B:$B,P11))-SUMIFS('capacity data'!$H:$H,'capacity data'!$E:$E,"PO",'capacity data'!$B:$B,P11))/SUMIFS('capacity data'!$G:$G,'capacity data'!$E:$E,"PO",'capacity data'!$B:$B,P11),"")</f>
        <v/>
      </c>
      <c r="R11" s="222" t="str">
        <f>IFERROR(SUM((SUMIFS('capacity data'!$G:$G,'capacity data'!$E:$E,"PSO",'capacity data'!$B:$B,P11))-SUMIFS('capacity data'!$H:$H,'capacity data'!$E:$E,"PSO",'capacity data'!$B:$B,P11))/SUMIFS('capacity data'!$G:$G,'capacity data'!$E:$E,"PSO",'capacity data'!$B:$B,P11),"")</f>
        <v/>
      </c>
      <c r="S11" s="22" t="str">
        <f t="shared" si="0"/>
        <v/>
      </c>
      <c r="T11" s="223" t="str">
        <f>IFERROR(SUMIFS('capacity data'!$L:$L,'capacity data'!$B:$B,P11,'capacity data'!$E:$E,"PSO")/SUMIFS('capacity data'!$G:$G,'capacity data'!$E:$E,"PSO",'capacity data'!$B:$B,P11),"")</f>
        <v/>
      </c>
      <c r="U11" s="223" t="str">
        <f>IFERROR(SUMIFS('capacity data'!$L:$L,'capacity data'!$B:$B,P11,'capacity data'!$E:$E,"TPO")/SUMIFS('capacity data'!$G:$G,'capacity data'!$E:$E,"TPO",'capacity data'!$B:$B,P11),"")</f>
        <v/>
      </c>
    </row>
    <row r="12" spans="1:21" ht="16" x14ac:dyDescent="0.2">
      <c r="O12" s="23" t="s">
        <v>18</v>
      </c>
      <c r="P12" t="s">
        <v>117</v>
      </c>
      <c r="Q12" s="222" t="str">
        <f>IFERROR(SUM((SUMIFS('capacity data'!$G:$G,'capacity data'!$E:$E,"PO",'capacity data'!$B:$B,P12))-SUMIFS('capacity data'!$H:$H,'capacity data'!$E:$E,"PO",'capacity data'!$B:$B,P12))/SUMIFS('capacity data'!$G:$G,'capacity data'!$E:$E,"PO",'capacity data'!$B:$B,P12),"")</f>
        <v/>
      </c>
      <c r="R12" s="222" t="str">
        <f>IFERROR(SUM((SUMIFS('capacity data'!$G:$G,'capacity data'!$E:$E,"PSO",'capacity data'!$B:$B,P12))-SUMIFS('capacity data'!$H:$H,'capacity data'!$E:$E,"PSO",'capacity data'!$B:$B,P12))/SUMIFS('capacity data'!$G:$G,'capacity data'!$E:$E,"PSO",'capacity data'!$B:$B,P12),"")</f>
        <v/>
      </c>
      <c r="S12" s="22" t="str">
        <f t="shared" si="0"/>
        <v/>
      </c>
      <c r="T12" s="223" t="str">
        <f>IFERROR(SUMIFS('capacity data'!$L:$L,'capacity data'!$B:$B,P12,'capacity data'!$E:$E,"PSO")/SUMIFS('capacity data'!$G:$G,'capacity data'!$E:$E,"PSO",'capacity data'!$B:$B,P12),"")</f>
        <v/>
      </c>
      <c r="U12" s="223" t="str">
        <f>IFERROR(SUMIFS('capacity data'!$L:$L,'capacity data'!$B:$B,P12,'capacity data'!$E:$E,"TPO")/SUMIFS('capacity data'!$G:$G,'capacity data'!$E:$E,"TPO",'capacity data'!$B:$B,P12),"")</f>
        <v/>
      </c>
    </row>
    <row r="13" spans="1:21" ht="16" x14ac:dyDescent="0.2">
      <c r="O13" s="23" t="s">
        <v>18</v>
      </c>
      <c r="P13" t="s">
        <v>138</v>
      </c>
      <c r="Q13" s="222" t="str">
        <f>IFERROR(SUM((SUMIFS('capacity data'!$G:$G,'capacity data'!$E:$E,"PO",'capacity data'!$B:$B,P13))-SUMIFS('capacity data'!$H:$H,'capacity data'!$E:$E,"PO",'capacity data'!$B:$B,P13))/SUMIFS('capacity data'!$G:$G,'capacity data'!$E:$E,"PO",'capacity data'!$B:$B,P13),"")</f>
        <v/>
      </c>
      <c r="R13" s="222" t="str">
        <f>IFERROR(SUM((SUMIFS('capacity data'!$G:$G,'capacity data'!$E:$E,"PSO",'capacity data'!$B:$B,P13))-SUMIFS('capacity data'!$H:$H,'capacity data'!$E:$E,"PSO",'capacity data'!$B:$B,P13))/SUMIFS('capacity data'!$G:$G,'capacity data'!$E:$E,"PSO",'capacity data'!$B:$B,P13),"")</f>
        <v/>
      </c>
      <c r="S13" s="22" t="str">
        <f t="shared" si="0"/>
        <v/>
      </c>
      <c r="T13" s="223" t="str">
        <f>IFERROR(SUMIFS('capacity data'!$L:$L,'capacity data'!$B:$B,P13,'capacity data'!$E:$E,"PSO")/SUMIFS('capacity data'!$G:$G,'capacity data'!$E:$E,"PSO",'capacity data'!$B:$B,P13),"")</f>
        <v/>
      </c>
      <c r="U13" s="223" t="str">
        <f>IFERROR(SUMIFS('capacity data'!$L:$L,'capacity data'!$B:$B,P13,'capacity data'!$E:$E,"TPO")/SUMIFS('capacity data'!$G:$G,'capacity data'!$E:$E,"TPO",'capacity data'!$B:$B,P13),"")</f>
        <v/>
      </c>
    </row>
    <row r="14" spans="1:21" ht="16" x14ac:dyDescent="0.2">
      <c r="O14" s="23" t="s">
        <v>18</v>
      </c>
      <c r="P14" t="s">
        <v>159</v>
      </c>
      <c r="Q14" s="222" t="str">
        <f>IFERROR(SUM((SUMIFS('capacity data'!$G:$G,'capacity data'!$E:$E,"PO",'capacity data'!$B:$B,P14))-SUMIFS('capacity data'!$H:$H,'capacity data'!$E:$E,"PO",'capacity data'!$B:$B,P14))/SUMIFS('capacity data'!$G:$G,'capacity data'!$E:$E,"PO",'capacity data'!$B:$B,P14),"")</f>
        <v/>
      </c>
      <c r="R14" s="222" t="str">
        <f>IFERROR(SUM((SUMIFS('capacity data'!$G:$G,'capacity data'!$E:$E,"PSO",'capacity data'!$B:$B,P14))-SUMIFS('capacity data'!$H:$H,'capacity data'!$E:$E,"PSO",'capacity data'!$B:$B,P14))/SUMIFS('capacity data'!$G:$G,'capacity data'!$E:$E,"PSO",'capacity data'!$B:$B,P14),"")</f>
        <v/>
      </c>
      <c r="S14" s="22" t="str">
        <f t="shared" si="0"/>
        <v/>
      </c>
      <c r="T14" s="223" t="str">
        <f>IFERROR(SUMIFS('capacity data'!$L:$L,'capacity data'!$B:$B,P14,'capacity data'!$E:$E,"PSO")/SUMIFS('capacity data'!$G:$G,'capacity data'!$E:$E,"PSO",'capacity data'!$B:$B,P14),"")</f>
        <v/>
      </c>
      <c r="U14" s="223" t="str">
        <f>IFERROR(SUMIFS('capacity data'!$L:$L,'capacity data'!$B:$B,P14,'capacity data'!$E:$E,"TPO")/SUMIFS('capacity data'!$G:$G,'capacity data'!$E:$E,"TPO",'capacity data'!$B:$B,P14),"")</f>
        <v/>
      </c>
    </row>
    <row r="15" spans="1:21" ht="16" x14ac:dyDescent="0.2">
      <c r="O15" s="23" t="s">
        <v>18</v>
      </c>
      <c r="P15" t="s">
        <v>180</v>
      </c>
      <c r="Q15" s="222" t="str">
        <f>IFERROR(SUM((SUMIFS('capacity data'!$G:$G,'capacity data'!$E:$E,"PO",'capacity data'!$B:$B,P15))-SUMIFS('capacity data'!$H:$H,'capacity data'!$E:$E,"PO",'capacity data'!$B:$B,P15))/SUMIFS('capacity data'!$G:$G,'capacity data'!$E:$E,"PO",'capacity data'!$B:$B,P15),"")</f>
        <v/>
      </c>
      <c r="R15" s="222" t="str">
        <f>IFERROR(SUM((SUMIFS('capacity data'!$G:$G,'capacity data'!$E:$E,"PSO",'capacity data'!$B:$B,P15))-SUMIFS('capacity data'!$H:$H,'capacity data'!$E:$E,"PSO",'capacity data'!$B:$B,P15))/SUMIFS('capacity data'!$G:$G,'capacity data'!$E:$E,"PSO",'capacity data'!$B:$B,P15),"")</f>
        <v/>
      </c>
      <c r="S15" s="22" t="str">
        <f t="shared" si="0"/>
        <v/>
      </c>
      <c r="T15" s="223" t="str">
        <f>IFERROR(SUMIFS('capacity data'!$L:$L,'capacity data'!$B:$B,P15,'capacity data'!$E:$E,"PSO")/SUMIFS('capacity data'!$G:$G,'capacity data'!$E:$E,"PSO",'capacity data'!$B:$B,P15),"")</f>
        <v/>
      </c>
      <c r="U15" s="223" t="str">
        <f>IFERROR(SUMIFS('capacity data'!$L:$L,'capacity data'!$B:$B,P15,'capacity data'!$E:$E,"TPO")/SUMIFS('capacity data'!$G:$G,'capacity data'!$E:$E,"TPO",'capacity data'!$B:$B,P15),"")</f>
        <v/>
      </c>
    </row>
    <row r="16" spans="1:21" ht="16" x14ac:dyDescent="0.2">
      <c r="O16" s="23" t="s">
        <v>18</v>
      </c>
      <c r="P16" t="s">
        <v>200</v>
      </c>
      <c r="Q16" s="222" t="str">
        <f>IFERROR(SUM((SUMIFS('capacity data'!$G:$G,'capacity data'!$E:$E,"PO",'capacity data'!$B:$B,P16))-SUMIFS('capacity data'!$H:$H,'capacity data'!$E:$E,"PO",'capacity data'!$B:$B,P16))/SUMIFS('capacity data'!$G:$G,'capacity data'!$E:$E,"PO",'capacity data'!$B:$B,P16),"")</f>
        <v/>
      </c>
      <c r="R16" s="222" t="str">
        <f>IFERROR(SUM((SUMIFS('capacity data'!$G:$G,'capacity data'!$E:$E,"PSO",'capacity data'!$B:$B,P16))-SUMIFS('capacity data'!$H:$H,'capacity data'!$E:$E,"PSO",'capacity data'!$B:$B,P16))/SUMIFS('capacity data'!$G:$G,'capacity data'!$E:$E,"PSO",'capacity data'!$B:$B,P16),"")</f>
        <v/>
      </c>
      <c r="S16" s="22" t="str">
        <f t="shared" si="0"/>
        <v/>
      </c>
      <c r="T16" s="223" t="str">
        <f>IFERROR(SUMIFS('capacity data'!$L:$L,'capacity data'!$B:$B,P16,'capacity data'!$E:$E,"PSO")/SUMIFS('capacity data'!$G:$G,'capacity data'!$E:$E,"PSO",'capacity data'!$B:$B,P16),"")</f>
        <v/>
      </c>
      <c r="U16" s="223" t="str">
        <f>IFERROR(SUMIFS('capacity data'!$L:$L,'capacity data'!$B:$B,P16,'capacity data'!$E:$E,"TPO")/SUMIFS('capacity data'!$G:$G,'capacity data'!$E:$E,"TPO",'capacity data'!$B:$B,P16),"")</f>
        <v/>
      </c>
    </row>
    <row r="17" spans="15:21" ht="16" x14ac:dyDescent="0.2">
      <c r="O17" s="23" t="s">
        <v>18</v>
      </c>
      <c r="P17" t="s">
        <v>218</v>
      </c>
      <c r="Q17" s="222" t="str">
        <f>IFERROR(SUM((SUMIFS('capacity data'!$G:$G,'capacity data'!$E:$E,"PO",'capacity data'!$B:$B,P17))-SUMIFS('capacity data'!$H:$H,'capacity data'!$E:$E,"PO",'capacity data'!$B:$B,P17))/SUMIFS('capacity data'!$G:$G,'capacity data'!$E:$E,"PO",'capacity data'!$B:$B,P17),"")</f>
        <v/>
      </c>
      <c r="R17" s="222" t="str">
        <f>IFERROR(SUM((SUMIFS('capacity data'!$G:$G,'capacity data'!$E:$E,"PSO",'capacity data'!$B:$B,P17))-SUMIFS('capacity data'!$H:$H,'capacity data'!$E:$E,"PSO",'capacity data'!$B:$B,P17))/SUMIFS('capacity data'!$G:$G,'capacity data'!$E:$E,"PSO",'capacity data'!$B:$B,P17),"")</f>
        <v/>
      </c>
      <c r="S17" s="22" t="str">
        <f t="shared" si="0"/>
        <v/>
      </c>
      <c r="T17" s="223" t="str">
        <f>IFERROR(SUMIFS('capacity data'!$L:$L,'capacity data'!$B:$B,P17,'capacity data'!$E:$E,"PSO")/SUMIFS('capacity data'!$G:$G,'capacity data'!$E:$E,"PSO",'capacity data'!$B:$B,P17),"")</f>
        <v/>
      </c>
      <c r="U17" s="223" t="str">
        <f>IFERROR(SUMIFS('capacity data'!$L:$L,'capacity data'!$B:$B,P17,'capacity data'!$E:$E,"TPO")/SUMIFS('capacity data'!$G:$G,'capacity data'!$E:$E,"TPO",'capacity data'!$B:$B,P17),"")</f>
        <v/>
      </c>
    </row>
    <row r="18" spans="15:21" ht="16" x14ac:dyDescent="0.2">
      <c r="O18" s="23" t="s">
        <v>18</v>
      </c>
      <c r="P18" t="s">
        <v>236</v>
      </c>
      <c r="Q18" s="222" t="str">
        <f>IFERROR(SUM((SUMIFS('capacity data'!$G:$G,'capacity data'!$E:$E,"PO",'capacity data'!$B:$B,P18))-SUMIFS('capacity data'!$H:$H,'capacity data'!$E:$E,"PO",'capacity data'!$B:$B,P18))/SUMIFS('capacity data'!$G:$G,'capacity data'!$E:$E,"PO",'capacity data'!$B:$B,P18),"")</f>
        <v/>
      </c>
      <c r="R18" s="222" t="str">
        <f>IFERROR(SUM((SUMIFS('capacity data'!$G:$G,'capacity data'!$E:$E,"PSO",'capacity data'!$B:$B,P18))-SUMIFS('capacity data'!$H:$H,'capacity data'!$E:$E,"PSO",'capacity data'!$B:$B,P18))/SUMIFS('capacity data'!$G:$G,'capacity data'!$E:$E,"PSO",'capacity data'!$B:$B,P18),"")</f>
        <v/>
      </c>
      <c r="S18" s="22" t="str">
        <f t="shared" si="0"/>
        <v/>
      </c>
      <c r="T18" s="223" t="str">
        <f>IFERROR(SUMIFS('capacity data'!$L:$L,'capacity data'!$B:$B,P18,'capacity data'!$E:$E,"PSO")/SUMIFS('capacity data'!$G:$G,'capacity data'!$E:$E,"PSO",'capacity data'!$B:$B,P18),"")</f>
        <v/>
      </c>
      <c r="U18" s="223" t="str">
        <f>IFERROR(SUMIFS('capacity data'!$L:$L,'capacity data'!$B:$B,P18,'capacity data'!$E:$E,"TPO")/SUMIFS('capacity data'!$G:$G,'capacity data'!$E:$E,"TPO",'capacity data'!$B:$B,P18),"")</f>
        <v/>
      </c>
    </row>
    <row r="19" spans="15:21" ht="16" x14ac:dyDescent="0.2">
      <c r="O19" s="23" t="s">
        <v>18</v>
      </c>
      <c r="P19" t="s">
        <v>253</v>
      </c>
      <c r="Q19" s="222" t="str">
        <f>IFERROR(SUM((SUMIFS('capacity data'!$G:$G,'capacity data'!$E:$E,"PO",'capacity data'!$B:$B,P19))-SUMIFS('capacity data'!$H:$H,'capacity data'!$E:$E,"PO",'capacity data'!$B:$B,P19))/SUMIFS('capacity data'!$G:$G,'capacity data'!$E:$E,"PO",'capacity data'!$B:$B,P19),"")</f>
        <v/>
      </c>
      <c r="R19" s="222" t="str">
        <f>IFERROR(SUM((SUMIFS('capacity data'!$G:$G,'capacity data'!$E:$E,"PSO",'capacity data'!$B:$B,P19))-SUMIFS('capacity data'!$H:$H,'capacity data'!$E:$E,"PSO",'capacity data'!$B:$B,P19))/SUMIFS('capacity data'!$G:$G,'capacity data'!$E:$E,"PSO",'capacity data'!$B:$B,P19),"")</f>
        <v/>
      </c>
      <c r="S19" s="22" t="str">
        <f t="shared" si="0"/>
        <v/>
      </c>
      <c r="T19" s="223" t="str">
        <f>IFERROR(SUMIFS('capacity data'!$L:$L,'capacity data'!$B:$B,P19,'capacity data'!$E:$E,"PSO")/SUMIFS('capacity data'!$G:$G,'capacity data'!$E:$E,"PSO",'capacity data'!$B:$B,P19),"")</f>
        <v/>
      </c>
      <c r="U19" s="223" t="str">
        <f>IFERROR(SUMIFS('capacity data'!$L:$L,'capacity data'!$B:$B,P19,'capacity data'!$E:$E,"TPO")/SUMIFS('capacity data'!$G:$G,'capacity data'!$E:$E,"TPO",'capacity data'!$B:$B,P19),"")</f>
        <v/>
      </c>
    </row>
    <row r="20" spans="15:21" ht="16" x14ac:dyDescent="0.2">
      <c r="O20" s="23" t="s">
        <v>19</v>
      </c>
      <c r="P20" t="s">
        <v>31</v>
      </c>
      <c r="Q20" s="222" t="str">
        <f>IFERROR(SUM((SUMIFS('capacity data'!$G:$G,'capacity data'!$E:$E,"PO",'capacity data'!$B:$B,P20))-SUMIFS('capacity data'!$H:$H,'capacity data'!$E:$E,"PO",'capacity data'!$B:$B,P20))/SUMIFS('capacity data'!$G:$G,'capacity data'!$E:$E,"PO",'capacity data'!$B:$B,P20),"")</f>
        <v/>
      </c>
      <c r="R20" s="222" t="str">
        <f>IFERROR(SUM((SUMIFS('capacity data'!$G:$G,'capacity data'!$E:$E,"PSO",'capacity data'!$B:$B,P20))-SUMIFS('capacity data'!$H:$H,'capacity data'!$E:$E,"PSO",'capacity data'!$B:$B,P20))/SUMIFS('capacity data'!$G:$G,'capacity data'!$E:$E,"PSO",'capacity data'!$B:$B,P20),"")</f>
        <v/>
      </c>
      <c r="S20" s="22" t="str">
        <f t="shared" si="0"/>
        <v/>
      </c>
      <c r="T20" s="223" t="str">
        <f>IFERROR(SUMIFS('capacity data'!$L:$L,'capacity data'!$B:$B,P20,'capacity data'!$E:$E,"PSO")/SUMIFS('capacity data'!$G:$G,'capacity data'!$E:$E,"PSO",'capacity data'!$B:$B,P20),"")</f>
        <v/>
      </c>
      <c r="U20" s="223" t="str">
        <f>IFERROR(SUMIFS('capacity data'!$L:$L,'capacity data'!$B:$B,P20,'capacity data'!$E:$E,"TPO")/SUMIFS('capacity data'!$G:$G,'capacity data'!$E:$E,"TPO",'capacity data'!$B:$B,P20),"")</f>
        <v/>
      </c>
    </row>
    <row r="21" spans="15:21" ht="16" x14ac:dyDescent="0.2">
      <c r="O21" s="23" t="s">
        <v>19</v>
      </c>
      <c r="P21" t="s">
        <v>53</v>
      </c>
      <c r="Q21" s="222" t="str">
        <f>IFERROR(SUM((SUMIFS('capacity data'!$G:$G,'capacity data'!$E:$E,"PO",'capacity data'!$B:$B,P21))-SUMIFS('capacity data'!$H:$H,'capacity data'!$E:$E,"PO",'capacity data'!$B:$B,P21))/SUMIFS('capacity data'!$G:$G,'capacity data'!$E:$E,"PO",'capacity data'!$B:$B,P21),"")</f>
        <v/>
      </c>
      <c r="R21" s="222" t="str">
        <f>IFERROR(SUM((SUMIFS('capacity data'!$G:$G,'capacity data'!$E:$E,"PSO",'capacity data'!$B:$B,P21))-SUMIFS('capacity data'!$H:$H,'capacity data'!$E:$E,"PSO",'capacity data'!$B:$B,P21))/SUMIFS('capacity data'!$G:$G,'capacity data'!$E:$E,"PSO",'capacity data'!$B:$B,P21),"")</f>
        <v/>
      </c>
      <c r="S21" s="22" t="str">
        <f t="shared" si="0"/>
        <v/>
      </c>
      <c r="T21" s="223" t="str">
        <f>IFERROR(SUMIFS('capacity data'!$L:$L,'capacity data'!$B:$B,P21,'capacity data'!$E:$E,"PSO")/SUMIFS('capacity data'!$G:$G,'capacity data'!$E:$E,"PSO",'capacity data'!$B:$B,P21),"")</f>
        <v/>
      </c>
      <c r="U21" s="223" t="str">
        <f>IFERROR(SUMIFS('capacity data'!$L:$L,'capacity data'!$B:$B,P21,'capacity data'!$E:$E,"TPO")/SUMIFS('capacity data'!$G:$G,'capacity data'!$E:$E,"TPO",'capacity data'!$B:$B,P21),"")</f>
        <v/>
      </c>
    </row>
    <row r="22" spans="15:21" ht="16" x14ac:dyDescent="0.2">
      <c r="O22" s="23" t="s">
        <v>19</v>
      </c>
      <c r="P22" t="s">
        <v>74</v>
      </c>
      <c r="Q22" s="222" t="str">
        <f>IFERROR(SUM((SUMIFS('capacity data'!$G:$G,'capacity data'!$E:$E,"PO",'capacity data'!$B:$B,P22))-SUMIFS('capacity data'!$H:$H,'capacity data'!$E:$E,"PO",'capacity data'!$B:$B,P22))/SUMIFS('capacity data'!$G:$G,'capacity data'!$E:$E,"PO",'capacity data'!$B:$B,P22),"")</f>
        <v/>
      </c>
      <c r="R22" s="222" t="str">
        <f>IFERROR(SUM((SUMIFS('capacity data'!$G:$G,'capacity data'!$E:$E,"PSO",'capacity data'!$B:$B,P22))-SUMIFS('capacity data'!$H:$H,'capacity data'!$E:$E,"PSO",'capacity data'!$B:$B,P22))/SUMIFS('capacity data'!$G:$G,'capacity data'!$E:$E,"PSO",'capacity data'!$B:$B,P22),"")</f>
        <v/>
      </c>
      <c r="S22" s="22" t="str">
        <f t="shared" si="0"/>
        <v/>
      </c>
      <c r="T22" s="223" t="str">
        <f>IFERROR(SUMIFS('capacity data'!$L:$L,'capacity data'!$B:$B,P22,'capacity data'!$E:$E,"PSO")/SUMIFS('capacity data'!$G:$G,'capacity data'!$E:$E,"PSO",'capacity data'!$B:$B,P22),"")</f>
        <v/>
      </c>
      <c r="U22" s="223" t="str">
        <f>IFERROR(SUMIFS('capacity data'!$L:$L,'capacity data'!$B:$B,P22,'capacity data'!$E:$E,"TPO")/SUMIFS('capacity data'!$G:$G,'capacity data'!$E:$E,"TPO",'capacity data'!$B:$B,P22),"")</f>
        <v/>
      </c>
    </row>
    <row r="23" spans="15:21" ht="16" x14ac:dyDescent="0.2">
      <c r="O23" s="23" t="s">
        <v>19</v>
      </c>
      <c r="P23" t="s">
        <v>96</v>
      </c>
      <c r="Q23" s="222" t="str">
        <f>IFERROR(SUM((SUMIFS('capacity data'!$G:$G,'capacity data'!$E:$E,"PO",'capacity data'!$B:$B,P23))-SUMIFS('capacity data'!$H:$H,'capacity data'!$E:$E,"PO",'capacity data'!$B:$B,P23))/SUMIFS('capacity data'!$G:$G,'capacity data'!$E:$E,"PO",'capacity data'!$B:$B,P23),"")</f>
        <v/>
      </c>
      <c r="R23" s="222" t="str">
        <f>IFERROR(SUM((SUMIFS('capacity data'!$G:$G,'capacity data'!$E:$E,"PSO",'capacity data'!$B:$B,P23))-SUMIFS('capacity data'!$H:$H,'capacity data'!$E:$E,"PSO",'capacity data'!$B:$B,P23))/SUMIFS('capacity data'!$G:$G,'capacity data'!$E:$E,"PSO",'capacity data'!$B:$B,P23),"")</f>
        <v/>
      </c>
      <c r="S23" s="22" t="str">
        <f t="shared" si="0"/>
        <v/>
      </c>
      <c r="T23" s="223" t="str">
        <f>IFERROR(SUMIFS('capacity data'!$L:$L,'capacity data'!$B:$B,P23,'capacity data'!$E:$E,"PSO")/SUMIFS('capacity data'!$G:$G,'capacity data'!$E:$E,"PSO",'capacity data'!$B:$B,P23),"")</f>
        <v/>
      </c>
      <c r="U23" s="223" t="str">
        <f>IFERROR(SUMIFS('capacity data'!$L:$L,'capacity data'!$B:$B,P23,'capacity data'!$E:$E,"TPO")/SUMIFS('capacity data'!$G:$G,'capacity data'!$E:$E,"TPO",'capacity data'!$B:$B,P23),"")</f>
        <v/>
      </c>
    </row>
    <row r="24" spans="15:21" ht="16" x14ac:dyDescent="0.2">
      <c r="O24" s="23" t="s">
        <v>19</v>
      </c>
      <c r="P24" t="s">
        <v>118</v>
      </c>
      <c r="Q24" s="222" t="str">
        <f>IFERROR(SUM((SUMIFS('capacity data'!$G:$G,'capacity data'!$E:$E,"PO",'capacity data'!$B:$B,P24))-SUMIFS('capacity data'!$H:$H,'capacity data'!$E:$E,"PO",'capacity data'!$B:$B,P24))/SUMIFS('capacity data'!$G:$G,'capacity data'!$E:$E,"PO",'capacity data'!$B:$B,P24),"")</f>
        <v/>
      </c>
      <c r="R24" s="222" t="str">
        <f>IFERROR(SUM((SUMIFS('capacity data'!$G:$G,'capacity data'!$E:$E,"PSO",'capacity data'!$B:$B,P24))-SUMIFS('capacity data'!$H:$H,'capacity data'!$E:$E,"PSO",'capacity data'!$B:$B,P24))/SUMIFS('capacity data'!$G:$G,'capacity data'!$E:$E,"PSO",'capacity data'!$B:$B,P24),"")</f>
        <v/>
      </c>
      <c r="S24" s="22" t="str">
        <f t="shared" si="0"/>
        <v/>
      </c>
      <c r="T24" s="223" t="str">
        <f>IFERROR(SUMIFS('capacity data'!$L:$L,'capacity data'!$B:$B,P24,'capacity data'!$E:$E,"PSO")/SUMIFS('capacity data'!$G:$G,'capacity data'!$E:$E,"PSO",'capacity data'!$B:$B,P24),"")</f>
        <v/>
      </c>
      <c r="U24" s="223" t="str">
        <f>IFERROR(SUMIFS('capacity data'!$L:$L,'capacity data'!$B:$B,P24,'capacity data'!$E:$E,"TPO")/SUMIFS('capacity data'!$G:$G,'capacity data'!$E:$E,"TPO",'capacity data'!$B:$B,P24),"")</f>
        <v/>
      </c>
    </row>
    <row r="25" spans="15:21" ht="16" x14ac:dyDescent="0.2">
      <c r="O25" s="23" t="s">
        <v>19</v>
      </c>
      <c r="P25" t="s">
        <v>139</v>
      </c>
      <c r="Q25" s="222" t="str">
        <f>IFERROR(SUM((SUMIFS('capacity data'!$G:$G,'capacity data'!$E:$E,"PO",'capacity data'!$B:$B,P25))-SUMIFS('capacity data'!$H:$H,'capacity data'!$E:$E,"PO",'capacity data'!$B:$B,P25))/SUMIFS('capacity data'!$G:$G,'capacity data'!$E:$E,"PO",'capacity data'!$B:$B,P25),"")</f>
        <v/>
      </c>
      <c r="R25" s="222" t="str">
        <f>IFERROR(SUM((SUMIFS('capacity data'!$G:$G,'capacity data'!$E:$E,"PSO",'capacity data'!$B:$B,P25))-SUMIFS('capacity data'!$H:$H,'capacity data'!$E:$E,"PSO",'capacity data'!$B:$B,P25))/SUMIFS('capacity data'!$G:$G,'capacity data'!$E:$E,"PSO",'capacity data'!$B:$B,P25),"")</f>
        <v/>
      </c>
      <c r="S25" s="22" t="str">
        <f t="shared" si="0"/>
        <v/>
      </c>
      <c r="T25" s="223" t="str">
        <f>IFERROR(SUMIFS('capacity data'!$L:$L,'capacity data'!$B:$B,P25,'capacity data'!$E:$E,"PSO")/SUMIFS('capacity data'!$G:$G,'capacity data'!$E:$E,"PSO",'capacity data'!$B:$B,P25),"")</f>
        <v/>
      </c>
      <c r="U25" s="223" t="str">
        <f>IFERROR(SUMIFS('capacity data'!$L:$L,'capacity data'!$B:$B,P25,'capacity data'!$E:$E,"TPO")/SUMIFS('capacity data'!$G:$G,'capacity data'!$E:$E,"TPO",'capacity data'!$B:$B,P25),"")</f>
        <v/>
      </c>
    </row>
    <row r="26" spans="15:21" ht="16" x14ac:dyDescent="0.2">
      <c r="O26" s="23" t="s">
        <v>19</v>
      </c>
      <c r="P26" t="s">
        <v>160</v>
      </c>
      <c r="Q26" s="222" t="str">
        <f>IFERROR(SUM((SUMIFS('capacity data'!$G:$G,'capacity data'!$E:$E,"PO",'capacity data'!$B:$B,P26))-SUMIFS('capacity data'!$H:$H,'capacity data'!$E:$E,"PO",'capacity data'!$B:$B,P26))/SUMIFS('capacity data'!$G:$G,'capacity data'!$E:$E,"PO",'capacity data'!$B:$B,P26),"")</f>
        <v/>
      </c>
      <c r="R26" s="222" t="str">
        <f>IFERROR(SUM((SUMIFS('capacity data'!$G:$G,'capacity data'!$E:$E,"PSO",'capacity data'!$B:$B,P26))-SUMIFS('capacity data'!$H:$H,'capacity data'!$E:$E,"PSO",'capacity data'!$B:$B,P26))/SUMIFS('capacity data'!$G:$G,'capacity data'!$E:$E,"PSO",'capacity data'!$B:$B,P26),"")</f>
        <v/>
      </c>
      <c r="S26" s="22" t="str">
        <f t="shared" si="0"/>
        <v/>
      </c>
      <c r="T26" s="223" t="str">
        <f>IFERROR(SUMIFS('capacity data'!$L:$L,'capacity data'!$B:$B,P26,'capacity data'!$E:$E,"PSO")/SUMIFS('capacity data'!$G:$G,'capacity data'!$E:$E,"PSO",'capacity data'!$B:$B,P26),"")</f>
        <v/>
      </c>
      <c r="U26" s="223" t="str">
        <f>IFERROR(SUMIFS('capacity data'!$L:$L,'capacity data'!$B:$B,P26,'capacity data'!$E:$E,"TPO")/SUMIFS('capacity data'!$G:$G,'capacity data'!$E:$E,"TPO",'capacity data'!$B:$B,P26),"")</f>
        <v/>
      </c>
    </row>
    <row r="27" spans="15:21" ht="16" x14ac:dyDescent="0.2">
      <c r="O27" s="23" t="s">
        <v>19</v>
      </c>
      <c r="P27" t="s">
        <v>181</v>
      </c>
      <c r="Q27" s="222" t="str">
        <f>IFERROR(SUM((SUMIFS('capacity data'!$G:$G,'capacity data'!$E:$E,"PO",'capacity data'!$B:$B,P27))-SUMIFS('capacity data'!$H:$H,'capacity data'!$E:$E,"PO",'capacity data'!$B:$B,P27))/SUMIFS('capacity data'!$G:$G,'capacity data'!$E:$E,"PO",'capacity data'!$B:$B,P27),"")</f>
        <v/>
      </c>
      <c r="R27" s="222" t="str">
        <f>IFERROR(SUM((SUMIFS('capacity data'!$G:$G,'capacity data'!$E:$E,"PSO",'capacity data'!$B:$B,P27))-SUMIFS('capacity data'!$H:$H,'capacity data'!$E:$E,"PSO",'capacity data'!$B:$B,P27))/SUMIFS('capacity data'!$G:$G,'capacity data'!$E:$E,"PSO",'capacity data'!$B:$B,P27),"")</f>
        <v/>
      </c>
      <c r="S27" s="22" t="str">
        <f t="shared" si="0"/>
        <v/>
      </c>
      <c r="T27" s="223" t="str">
        <f>IFERROR(SUMIFS('capacity data'!$L:$L,'capacity data'!$B:$B,P27,'capacity data'!$E:$E,"PSO")/SUMIFS('capacity data'!$G:$G,'capacity data'!$E:$E,"PSO",'capacity data'!$B:$B,P27),"")</f>
        <v/>
      </c>
      <c r="U27" s="223" t="str">
        <f>IFERROR(SUMIFS('capacity data'!$L:$L,'capacity data'!$B:$B,P27,'capacity data'!$E:$E,"TPO")/SUMIFS('capacity data'!$G:$G,'capacity data'!$E:$E,"TPO",'capacity data'!$B:$B,P27),"")</f>
        <v/>
      </c>
    </row>
    <row r="28" spans="15:21" ht="16" x14ac:dyDescent="0.2">
      <c r="O28" s="23" t="s">
        <v>19</v>
      </c>
      <c r="P28" t="s">
        <v>201</v>
      </c>
      <c r="Q28" s="222" t="str">
        <f>IFERROR(SUM((SUMIFS('capacity data'!$G:$G,'capacity data'!$E:$E,"PO",'capacity data'!$B:$B,P28))-SUMIFS('capacity data'!$H:$H,'capacity data'!$E:$E,"PO",'capacity data'!$B:$B,P28))/SUMIFS('capacity data'!$G:$G,'capacity data'!$E:$E,"PO",'capacity data'!$B:$B,P28),"")</f>
        <v/>
      </c>
      <c r="R28" s="222" t="str">
        <f>IFERROR(SUM((SUMIFS('capacity data'!$G:$G,'capacity data'!$E:$E,"PSO",'capacity data'!$B:$B,P28))-SUMIFS('capacity data'!$H:$H,'capacity data'!$E:$E,"PSO",'capacity data'!$B:$B,P28))/SUMIFS('capacity data'!$G:$G,'capacity data'!$E:$E,"PSO",'capacity data'!$B:$B,P28),"")</f>
        <v/>
      </c>
      <c r="S28" s="22" t="str">
        <f t="shared" si="0"/>
        <v/>
      </c>
      <c r="T28" s="223" t="str">
        <f>IFERROR(SUMIFS('capacity data'!$L:$L,'capacity data'!$B:$B,P28,'capacity data'!$E:$E,"PSO")/SUMIFS('capacity data'!$G:$G,'capacity data'!$E:$E,"PSO",'capacity data'!$B:$B,P28),"")</f>
        <v/>
      </c>
      <c r="U28" s="223" t="str">
        <f>IFERROR(SUMIFS('capacity data'!$L:$L,'capacity data'!$B:$B,P28,'capacity data'!$E:$E,"TPO")/SUMIFS('capacity data'!$G:$G,'capacity data'!$E:$E,"TPO",'capacity data'!$B:$B,P28),"")</f>
        <v/>
      </c>
    </row>
    <row r="29" spans="15:21" ht="16" x14ac:dyDescent="0.2">
      <c r="O29" s="23" t="s">
        <v>19</v>
      </c>
      <c r="P29" t="s">
        <v>219</v>
      </c>
      <c r="Q29" s="222" t="str">
        <f>IFERROR(SUM((SUMIFS('capacity data'!$G:$G,'capacity data'!$E:$E,"PO",'capacity data'!$B:$B,P29))-SUMIFS('capacity data'!$H:$H,'capacity data'!$E:$E,"PO",'capacity data'!$B:$B,P29))/SUMIFS('capacity data'!$G:$G,'capacity data'!$E:$E,"PO",'capacity data'!$B:$B,P29),"")</f>
        <v/>
      </c>
      <c r="R29" s="222" t="str">
        <f>IFERROR(SUM((SUMIFS('capacity data'!$G:$G,'capacity data'!$E:$E,"PSO",'capacity data'!$B:$B,P29))-SUMIFS('capacity data'!$H:$H,'capacity data'!$E:$E,"PSO",'capacity data'!$B:$B,P29))/SUMIFS('capacity data'!$G:$G,'capacity data'!$E:$E,"PSO",'capacity data'!$B:$B,P29),"")</f>
        <v/>
      </c>
      <c r="S29" s="22" t="str">
        <f t="shared" si="0"/>
        <v/>
      </c>
      <c r="T29" s="223" t="str">
        <f>IFERROR(SUMIFS('capacity data'!$L:$L,'capacity data'!$B:$B,P29,'capacity data'!$E:$E,"PSO")/SUMIFS('capacity data'!$G:$G,'capacity data'!$E:$E,"PSO",'capacity data'!$B:$B,P29),"")</f>
        <v/>
      </c>
      <c r="U29" s="223" t="str">
        <f>IFERROR(SUMIFS('capacity data'!$L:$L,'capacity data'!$B:$B,P29,'capacity data'!$E:$E,"TPO")/SUMIFS('capacity data'!$G:$G,'capacity data'!$E:$E,"TPO",'capacity data'!$B:$B,P29),"")</f>
        <v/>
      </c>
    </row>
    <row r="30" spans="15:21" ht="16" x14ac:dyDescent="0.2">
      <c r="O30" s="23" t="s">
        <v>19</v>
      </c>
      <c r="P30" t="s">
        <v>237</v>
      </c>
      <c r="Q30" s="222" t="str">
        <f>IFERROR(SUM((SUMIFS('capacity data'!$G:$G,'capacity data'!$E:$E,"PO",'capacity data'!$B:$B,P30))-SUMIFS('capacity data'!$H:$H,'capacity data'!$E:$E,"PO",'capacity data'!$B:$B,P30))/SUMIFS('capacity data'!$G:$G,'capacity data'!$E:$E,"PO",'capacity data'!$B:$B,P30),"")</f>
        <v/>
      </c>
      <c r="R30" s="222" t="str">
        <f>IFERROR(SUM((SUMIFS('capacity data'!$G:$G,'capacity data'!$E:$E,"PSO",'capacity data'!$B:$B,P30))-SUMIFS('capacity data'!$H:$H,'capacity data'!$E:$E,"PSO",'capacity data'!$B:$B,P30))/SUMIFS('capacity data'!$G:$G,'capacity data'!$E:$E,"PSO",'capacity data'!$B:$B,P30),"")</f>
        <v/>
      </c>
      <c r="S30" s="22" t="str">
        <f t="shared" si="0"/>
        <v/>
      </c>
      <c r="T30" s="223" t="str">
        <f>IFERROR(SUMIFS('capacity data'!$L:$L,'capacity data'!$B:$B,P30,'capacity data'!$E:$E,"PSO")/SUMIFS('capacity data'!$G:$G,'capacity data'!$E:$E,"PSO",'capacity data'!$B:$B,P30),"")</f>
        <v/>
      </c>
      <c r="U30" s="223" t="str">
        <f>IFERROR(SUMIFS('capacity data'!$L:$L,'capacity data'!$B:$B,P30,'capacity data'!$E:$E,"TPO")/SUMIFS('capacity data'!$G:$G,'capacity data'!$E:$E,"TPO",'capacity data'!$B:$B,P30),"")</f>
        <v/>
      </c>
    </row>
    <row r="31" spans="15:21" ht="16" x14ac:dyDescent="0.2">
      <c r="O31" s="23" t="s">
        <v>19</v>
      </c>
      <c r="P31" t="s">
        <v>254</v>
      </c>
      <c r="Q31" s="222" t="str">
        <f>IFERROR(SUM((SUMIFS('capacity data'!$G:$G,'capacity data'!$E:$E,"PO",'capacity data'!$B:$B,P31))-SUMIFS('capacity data'!$H:$H,'capacity data'!$E:$E,"PO",'capacity data'!$B:$B,P31))/SUMIFS('capacity data'!$G:$G,'capacity data'!$E:$E,"PO",'capacity data'!$B:$B,P31),"")</f>
        <v/>
      </c>
      <c r="R31" s="222" t="str">
        <f>IFERROR(SUM((SUMIFS('capacity data'!$G:$G,'capacity data'!$E:$E,"PSO",'capacity data'!$B:$B,P31))-SUMIFS('capacity data'!$H:$H,'capacity data'!$E:$E,"PSO",'capacity data'!$B:$B,P31))/SUMIFS('capacity data'!$G:$G,'capacity data'!$E:$E,"PSO",'capacity data'!$B:$B,P31),"")</f>
        <v/>
      </c>
      <c r="S31" s="22" t="str">
        <f t="shared" si="0"/>
        <v/>
      </c>
      <c r="T31" s="223" t="str">
        <f>IFERROR(SUMIFS('capacity data'!$L:$L,'capacity data'!$B:$B,P31,'capacity data'!$E:$E,"PSO")/SUMIFS('capacity data'!$G:$G,'capacity data'!$E:$E,"PSO",'capacity data'!$B:$B,P31),"")</f>
        <v/>
      </c>
      <c r="U31" s="223" t="str">
        <f>IFERROR(SUMIFS('capacity data'!$L:$L,'capacity data'!$B:$B,P31,'capacity data'!$E:$E,"TPO")/SUMIFS('capacity data'!$G:$G,'capacity data'!$E:$E,"TPO",'capacity data'!$B:$B,P31),"")</f>
        <v/>
      </c>
    </row>
    <row r="32" spans="15:21" ht="16" x14ac:dyDescent="0.2">
      <c r="O32" s="23" t="s">
        <v>20</v>
      </c>
      <c r="P32" t="s">
        <v>32</v>
      </c>
      <c r="Q32" s="222" t="str">
        <f>IFERROR(SUM((SUMIFS('capacity data'!$G:$G,'capacity data'!$E:$E,"PO",'capacity data'!$B:$B,P32))-SUMIFS('capacity data'!$H:$H,'capacity data'!$E:$E,"PO",'capacity data'!$B:$B,P32))/SUMIFS('capacity data'!$G:$G,'capacity data'!$E:$E,"PO",'capacity data'!$B:$B,P32),"")</f>
        <v/>
      </c>
      <c r="R32" s="222" t="str">
        <f>IFERROR(SUM((SUMIFS('capacity data'!$G:$G,'capacity data'!$E:$E,"PSO",'capacity data'!$B:$B,P32))-SUMIFS('capacity data'!$H:$H,'capacity data'!$E:$E,"PSO",'capacity data'!$B:$B,P32))/SUMIFS('capacity data'!$G:$G,'capacity data'!$E:$E,"PSO",'capacity data'!$B:$B,P32),"")</f>
        <v/>
      </c>
      <c r="S32" s="22" t="str">
        <f t="shared" si="0"/>
        <v/>
      </c>
      <c r="T32" s="223" t="str">
        <f>IFERROR(SUMIFS('capacity data'!$L:$L,'capacity data'!$B:$B,P32,'capacity data'!$E:$E,"PSO")/SUMIFS('capacity data'!$G:$G,'capacity data'!$E:$E,"PSO",'capacity data'!$B:$B,P32),"")</f>
        <v/>
      </c>
      <c r="U32" s="223" t="str">
        <f>IFERROR(SUMIFS('capacity data'!$L:$L,'capacity data'!$B:$B,P32,'capacity data'!$E:$E,"TPO")/SUMIFS('capacity data'!$G:$G,'capacity data'!$E:$E,"TPO",'capacity data'!$B:$B,P32),"")</f>
        <v/>
      </c>
    </row>
    <row r="33" spans="15:21" ht="16" x14ac:dyDescent="0.2">
      <c r="O33" s="23" t="s">
        <v>20</v>
      </c>
      <c r="P33" t="s">
        <v>54</v>
      </c>
      <c r="Q33" s="222" t="str">
        <f>IFERROR(SUM((SUMIFS('capacity data'!$G:$G,'capacity data'!$E:$E,"PO",'capacity data'!$B:$B,P33))-SUMIFS('capacity data'!$H:$H,'capacity data'!$E:$E,"PO",'capacity data'!$B:$B,P33))/SUMIFS('capacity data'!$G:$G,'capacity data'!$E:$E,"PO",'capacity data'!$B:$B,P33),"")</f>
        <v/>
      </c>
      <c r="R33" s="222" t="str">
        <f>IFERROR(SUM((SUMIFS('capacity data'!$G:$G,'capacity data'!$E:$E,"PSO",'capacity data'!$B:$B,P33))-SUMIFS('capacity data'!$H:$H,'capacity data'!$E:$E,"PSO",'capacity data'!$B:$B,P33))/SUMIFS('capacity data'!$G:$G,'capacity data'!$E:$E,"PSO",'capacity data'!$B:$B,P33),"")</f>
        <v/>
      </c>
      <c r="S33" s="22" t="str">
        <f t="shared" si="0"/>
        <v/>
      </c>
      <c r="T33" s="223" t="str">
        <f>IFERROR(SUMIFS('capacity data'!$L:$L,'capacity data'!$B:$B,P33,'capacity data'!$E:$E,"PSO")/SUMIFS('capacity data'!$G:$G,'capacity data'!$E:$E,"PSO",'capacity data'!$B:$B,P33),"")</f>
        <v/>
      </c>
      <c r="U33" s="223" t="str">
        <f>IFERROR(SUMIFS('capacity data'!$L:$L,'capacity data'!$B:$B,P33,'capacity data'!$E:$E,"TPO")/SUMIFS('capacity data'!$G:$G,'capacity data'!$E:$E,"TPO",'capacity data'!$B:$B,P33),"")</f>
        <v/>
      </c>
    </row>
    <row r="34" spans="15:21" ht="16" x14ac:dyDescent="0.2">
      <c r="O34" s="23" t="s">
        <v>20</v>
      </c>
      <c r="P34" t="s">
        <v>75</v>
      </c>
      <c r="Q34" s="222" t="str">
        <f>IFERROR(SUM((SUMIFS('capacity data'!$G:$G,'capacity data'!$E:$E,"PO",'capacity data'!$B:$B,P34))-SUMIFS('capacity data'!$H:$H,'capacity data'!$E:$E,"PO",'capacity data'!$B:$B,P34))/SUMIFS('capacity data'!$G:$G,'capacity data'!$E:$E,"PO",'capacity data'!$B:$B,P34),"")</f>
        <v/>
      </c>
      <c r="R34" s="222" t="str">
        <f>IFERROR(SUM((SUMIFS('capacity data'!$G:$G,'capacity data'!$E:$E,"PSO",'capacity data'!$B:$B,P34))-SUMIFS('capacity data'!$H:$H,'capacity data'!$E:$E,"PSO",'capacity data'!$B:$B,P34))/SUMIFS('capacity data'!$G:$G,'capacity data'!$E:$E,"PSO",'capacity data'!$B:$B,P34),"")</f>
        <v/>
      </c>
      <c r="S34" s="22" t="str">
        <f t="shared" si="0"/>
        <v/>
      </c>
      <c r="T34" s="223" t="str">
        <f>IFERROR(SUMIFS('capacity data'!$L:$L,'capacity data'!$B:$B,P34,'capacity data'!$E:$E,"PSO")/SUMIFS('capacity data'!$G:$G,'capacity data'!$E:$E,"PSO",'capacity data'!$B:$B,P34),"")</f>
        <v/>
      </c>
      <c r="U34" s="223" t="str">
        <f>IFERROR(SUMIFS('capacity data'!$L:$L,'capacity data'!$B:$B,P34,'capacity data'!$E:$E,"TPO")/SUMIFS('capacity data'!$G:$G,'capacity data'!$E:$E,"TPO",'capacity data'!$B:$B,P34),"")</f>
        <v/>
      </c>
    </row>
    <row r="35" spans="15:21" ht="16" x14ac:dyDescent="0.2">
      <c r="O35" s="23" t="s">
        <v>20</v>
      </c>
      <c r="P35" t="s">
        <v>97</v>
      </c>
      <c r="Q35" s="222" t="str">
        <f>IFERROR(SUM((SUMIFS('capacity data'!$G:$G,'capacity data'!$E:$E,"PO",'capacity data'!$B:$B,P35))-SUMIFS('capacity data'!$H:$H,'capacity data'!$E:$E,"PO",'capacity data'!$B:$B,P35))/SUMIFS('capacity data'!$G:$G,'capacity data'!$E:$E,"PO",'capacity data'!$B:$B,P35),"")</f>
        <v/>
      </c>
      <c r="R35" s="222" t="str">
        <f>IFERROR(SUM((SUMIFS('capacity data'!$G:$G,'capacity data'!$E:$E,"PSO",'capacity data'!$B:$B,P35))-SUMIFS('capacity data'!$H:$H,'capacity data'!$E:$E,"PSO",'capacity data'!$B:$B,P35))/SUMIFS('capacity data'!$G:$G,'capacity data'!$E:$E,"PSO",'capacity data'!$B:$B,P35),"")</f>
        <v/>
      </c>
      <c r="S35" s="22" t="str">
        <f t="shared" si="0"/>
        <v/>
      </c>
      <c r="T35" s="223" t="str">
        <f>IFERROR(SUMIFS('capacity data'!$L:$L,'capacity data'!$B:$B,P35,'capacity data'!$E:$E,"PSO")/SUMIFS('capacity data'!$G:$G,'capacity data'!$E:$E,"PSO",'capacity data'!$B:$B,P35),"")</f>
        <v/>
      </c>
      <c r="U35" s="223" t="str">
        <f>IFERROR(SUMIFS('capacity data'!$L:$L,'capacity data'!$B:$B,P35,'capacity data'!$E:$E,"TPO")/SUMIFS('capacity data'!$G:$G,'capacity data'!$E:$E,"TPO",'capacity data'!$B:$B,P35),"")</f>
        <v/>
      </c>
    </row>
    <row r="36" spans="15:21" ht="16" x14ac:dyDescent="0.2">
      <c r="O36" s="23" t="s">
        <v>20</v>
      </c>
      <c r="P36" t="s">
        <v>119</v>
      </c>
      <c r="Q36" s="222" t="str">
        <f>IFERROR(SUM((SUMIFS('capacity data'!$G:$G,'capacity data'!$E:$E,"PO",'capacity data'!$B:$B,P36))-SUMIFS('capacity data'!$H:$H,'capacity data'!$E:$E,"PO",'capacity data'!$B:$B,P36))/SUMIFS('capacity data'!$G:$G,'capacity data'!$E:$E,"PO",'capacity data'!$B:$B,P36),"")</f>
        <v/>
      </c>
      <c r="R36" s="222" t="str">
        <f>IFERROR(SUM((SUMIFS('capacity data'!$G:$G,'capacity data'!$E:$E,"PSO",'capacity data'!$B:$B,P36))-SUMIFS('capacity data'!$H:$H,'capacity data'!$E:$E,"PSO",'capacity data'!$B:$B,P36))/SUMIFS('capacity data'!$G:$G,'capacity data'!$E:$E,"PSO",'capacity data'!$B:$B,P36),"")</f>
        <v/>
      </c>
      <c r="S36" s="22" t="str">
        <f t="shared" si="0"/>
        <v/>
      </c>
      <c r="T36" s="223" t="str">
        <f>IFERROR(SUMIFS('capacity data'!$L:$L,'capacity data'!$B:$B,P36,'capacity data'!$E:$E,"PSO")/SUMIFS('capacity data'!$G:$G,'capacity data'!$E:$E,"PSO",'capacity data'!$B:$B,P36),"")</f>
        <v/>
      </c>
      <c r="U36" s="223" t="str">
        <f>IFERROR(SUMIFS('capacity data'!$L:$L,'capacity data'!$B:$B,P36,'capacity data'!$E:$E,"TPO")/SUMIFS('capacity data'!$G:$G,'capacity data'!$E:$E,"TPO",'capacity data'!$B:$B,P36),"")</f>
        <v/>
      </c>
    </row>
    <row r="37" spans="15:21" ht="16" x14ac:dyDescent="0.2">
      <c r="O37" s="23" t="s">
        <v>20</v>
      </c>
      <c r="P37" t="s">
        <v>140</v>
      </c>
      <c r="Q37" s="222" t="str">
        <f>IFERROR(SUM((SUMIFS('capacity data'!$G:$G,'capacity data'!$E:$E,"PO",'capacity data'!$B:$B,P37))-SUMIFS('capacity data'!$H:$H,'capacity data'!$E:$E,"PO",'capacity data'!$B:$B,P37))/SUMIFS('capacity data'!$G:$G,'capacity data'!$E:$E,"PO",'capacity data'!$B:$B,P37),"")</f>
        <v/>
      </c>
      <c r="R37" s="222" t="str">
        <f>IFERROR(SUM((SUMIFS('capacity data'!$G:$G,'capacity data'!$E:$E,"PSO",'capacity data'!$B:$B,P37))-SUMIFS('capacity data'!$H:$H,'capacity data'!$E:$E,"PSO",'capacity data'!$B:$B,P37))/SUMIFS('capacity data'!$G:$G,'capacity data'!$E:$E,"PSO",'capacity data'!$B:$B,P37),"")</f>
        <v/>
      </c>
      <c r="S37" s="22" t="str">
        <f t="shared" si="0"/>
        <v/>
      </c>
      <c r="T37" s="223" t="str">
        <f>IFERROR(SUMIFS('capacity data'!$L:$L,'capacity data'!$B:$B,P37,'capacity data'!$E:$E,"PSO")/SUMIFS('capacity data'!$G:$G,'capacity data'!$E:$E,"PSO",'capacity data'!$B:$B,P37),"")</f>
        <v/>
      </c>
      <c r="U37" s="223" t="str">
        <f>IFERROR(SUMIFS('capacity data'!$L:$L,'capacity data'!$B:$B,P37,'capacity data'!$E:$E,"TPO")/SUMIFS('capacity data'!$G:$G,'capacity data'!$E:$E,"TPO",'capacity data'!$B:$B,P37),"")</f>
        <v/>
      </c>
    </row>
    <row r="38" spans="15:21" ht="16" x14ac:dyDescent="0.2">
      <c r="O38" s="23" t="s">
        <v>20</v>
      </c>
      <c r="P38" t="s">
        <v>161</v>
      </c>
      <c r="Q38" s="222" t="str">
        <f>IFERROR(SUM((SUMIFS('capacity data'!$G:$G,'capacity data'!$E:$E,"PO",'capacity data'!$B:$B,P38))-SUMIFS('capacity data'!$H:$H,'capacity data'!$E:$E,"PO",'capacity data'!$B:$B,P38))/SUMIFS('capacity data'!$G:$G,'capacity data'!$E:$E,"PO",'capacity data'!$B:$B,P38),"")</f>
        <v/>
      </c>
      <c r="R38" s="222" t="str">
        <f>IFERROR(SUM((SUMIFS('capacity data'!$G:$G,'capacity data'!$E:$E,"PSO",'capacity data'!$B:$B,P38))-SUMIFS('capacity data'!$H:$H,'capacity data'!$E:$E,"PSO",'capacity data'!$B:$B,P38))/SUMIFS('capacity data'!$G:$G,'capacity data'!$E:$E,"PSO",'capacity data'!$B:$B,P38),"")</f>
        <v/>
      </c>
      <c r="S38" s="22" t="str">
        <f t="shared" si="0"/>
        <v/>
      </c>
      <c r="T38" s="223" t="str">
        <f>IFERROR(SUMIFS('capacity data'!$L:$L,'capacity data'!$B:$B,P38,'capacity data'!$E:$E,"PSO")/SUMIFS('capacity data'!$G:$G,'capacity data'!$E:$E,"PSO",'capacity data'!$B:$B,P38),"")</f>
        <v/>
      </c>
      <c r="U38" s="223" t="str">
        <f>IFERROR(SUMIFS('capacity data'!$L:$L,'capacity data'!$B:$B,P38,'capacity data'!$E:$E,"TPO")/SUMIFS('capacity data'!$G:$G,'capacity data'!$E:$E,"TPO",'capacity data'!$B:$B,P38),"")</f>
        <v/>
      </c>
    </row>
    <row r="39" spans="15:21" ht="16" x14ac:dyDescent="0.2">
      <c r="O39" s="23" t="s">
        <v>21</v>
      </c>
      <c r="P39" t="s">
        <v>33</v>
      </c>
      <c r="Q39" s="222" t="str">
        <f>IFERROR(SUM((SUMIFS('capacity data'!$G:$G,'capacity data'!$E:$E,"PO",'capacity data'!$B:$B,P39))-SUMIFS('capacity data'!$H:$H,'capacity data'!$E:$E,"PO",'capacity data'!$B:$B,P39))/SUMIFS('capacity data'!$G:$G,'capacity data'!$E:$E,"PO",'capacity data'!$B:$B,P39),"")</f>
        <v/>
      </c>
      <c r="R39" s="222" t="str">
        <f>IFERROR(SUM((SUMIFS('capacity data'!$G:$G,'capacity data'!$E:$E,"PSO",'capacity data'!$B:$B,P39))-SUMIFS('capacity data'!$H:$H,'capacity data'!$E:$E,"PSO",'capacity data'!$B:$B,P39))/SUMIFS('capacity data'!$G:$G,'capacity data'!$E:$E,"PSO",'capacity data'!$B:$B,P39),"")</f>
        <v/>
      </c>
      <c r="S39" s="22" t="str">
        <f t="shared" si="0"/>
        <v/>
      </c>
      <c r="T39" s="223" t="str">
        <f>IFERROR(SUMIFS('capacity data'!$L:$L,'capacity data'!$B:$B,P39,'capacity data'!$E:$E,"PSO")/SUMIFS('capacity data'!$G:$G,'capacity data'!$E:$E,"PSO",'capacity data'!$B:$B,P39),"")</f>
        <v/>
      </c>
      <c r="U39" s="223" t="str">
        <f>IFERROR(SUMIFS('capacity data'!$L:$L,'capacity data'!$B:$B,P39,'capacity data'!$E:$E,"TPO")/SUMIFS('capacity data'!$G:$G,'capacity data'!$E:$E,"TPO",'capacity data'!$B:$B,P39),"")</f>
        <v/>
      </c>
    </row>
    <row r="40" spans="15:21" ht="16" x14ac:dyDescent="0.2">
      <c r="O40" s="23" t="s">
        <v>21</v>
      </c>
      <c r="P40" t="s">
        <v>55</v>
      </c>
      <c r="Q40" s="222" t="str">
        <f>IFERROR(SUM((SUMIFS('capacity data'!$G:$G,'capacity data'!$E:$E,"PO",'capacity data'!$B:$B,P40))-SUMIFS('capacity data'!$H:$H,'capacity data'!$E:$E,"PO",'capacity data'!$B:$B,P40))/SUMIFS('capacity data'!$G:$G,'capacity data'!$E:$E,"PO",'capacity data'!$B:$B,P40),"")</f>
        <v/>
      </c>
      <c r="R40" s="222" t="str">
        <f>IFERROR(SUM((SUMIFS('capacity data'!$G:$G,'capacity data'!$E:$E,"PSO",'capacity data'!$B:$B,P40))-SUMIFS('capacity data'!$H:$H,'capacity data'!$E:$E,"PSO",'capacity data'!$B:$B,P40))/SUMIFS('capacity data'!$G:$G,'capacity data'!$E:$E,"PSO",'capacity data'!$B:$B,P40),"")</f>
        <v/>
      </c>
      <c r="S40" s="22" t="str">
        <f t="shared" si="0"/>
        <v/>
      </c>
      <c r="T40" s="223" t="str">
        <f>IFERROR(SUMIFS('capacity data'!$L:$L,'capacity data'!$B:$B,P40,'capacity data'!$E:$E,"PSO")/SUMIFS('capacity data'!$G:$G,'capacity data'!$E:$E,"PSO",'capacity data'!$B:$B,P40),"")</f>
        <v/>
      </c>
      <c r="U40" s="223" t="str">
        <f>IFERROR(SUMIFS('capacity data'!$L:$L,'capacity data'!$B:$B,P40,'capacity data'!$E:$E,"TPO")/SUMIFS('capacity data'!$G:$G,'capacity data'!$E:$E,"TPO",'capacity data'!$B:$B,P40),"")</f>
        <v/>
      </c>
    </row>
    <row r="41" spans="15:21" ht="16" x14ac:dyDescent="0.2">
      <c r="O41" s="23" t="s">
        <v>21</v>
      </c>
      <c r="P41" t="s">
        <v>76</v>
      </c>
      <c r="Q41" s="222" t="str">
        <f>IFERROR(SUM((SUMIFS('capacity data'!$G:$G,'capacity data'!$E:$E,"PO",'capacity data'!$B:$B,P41))-SUMIFS('capacity data'!$H:$H,'capacity data'!$E:$E,"PO",'capacity data'!$B:$B,P41))/SUMIFS('capacity data'!$G:$G,'capacity data'!$E:$E,"PO",'capacity data'!$B:$B,P41),"")</f>
        <v/>
      </c>
      <c r="R41" s="222" t="str">
        <f>IFERROR(SUM((SUMIFS('capacity data'!$G:$G,'capacity data'!$E:$E,"PSO",'capacity data'!$B:$B,P41))-SUMIFS('capacity data'!$H:$H,'capacity data'!$E:$E,"PSO",'capacity data'!$B:$B,P41))/SUMIFS('capacity data'!$G:$G,'capacity data'!$E:$E,"PSO",'capacity data'!$B:$B,P41),"")</f>
        <v/>
      </c>
      <c r="S41" s="22" t="str">
        <f t="shared" si="0"/>
        <v/>
      </c>
      <c r="T41" s="223" t="str">
        <f>IFERROR(SUMIFS('capacity data'!$L:$L,'capacity data'!$B:$B,P41,'capacity data'!$E:$E,"PSO")/SUMIFS('capacity data'!$G:$G,'capacity data'!$E:$E,"PSO",'capacity data'!$B:$B,P41),"")</f>
        <v/>
      </c>
      <c r="U41" s="223" t="str">
        <f>IFERROR(SUMIFS('capacity data'!$L:$L,'capacity data'!$B:$B,P41,'capacity data'!$E:$E,"TPO")/SUMIFS('capacity data'!$G:$G,'capacity data'!$E:$E,"TPO",'capacity data'!$B:$B,P41),"")</f>
        <v/>
      </c>
    </row>
    <row r="42" spans="15:21" ht="16" x14ac:dyDescent="0.2">
      <c r="O42" s="23" t="s">
        <v>21</v>
      </c>
      <c r="P42" t="s">
        <v>98</v>
      </c>
      <c r="Q42" s="222" t="str">
        <f>IFERROR(SUM((SUMIFS('capacity data'!$G:$G,'capacity data'!$E:$E,"PO",'capacity data'!$B:$B,P42))-SUMIFS('capacity data'!$H:$H,'capacity data'!$E:$E,"PO",'capacity data'!$B:$B,P42))/SUMIFS('capacity data'!$G:$G,'capacity data'!$E:$E,"PO",'capacity data'!$B:$B,P42),"")</f>
        <v/>
      </c>
      <c r="R42" s="222" t="str">
        <f>IFERROR(SUM((SUMIFS('capacity data'!$G:$G,'capacity data'!$E:$E,"PSO",'capacity data'!$B:$B,P42))-SUMIFS('capacity data'!$H:$H,'capacity data'!$E:$E,"PSO",'capacity data'!$B:$B,P42))/SUMIFS('capacity data'!$G:$G,'capacity data'!$E:$E,"PSO",'capacity data'!$B:$B,P42),"")</f>
        <v/>
      </c>
      <c r="S42" s="22" t="str">
        <f t="shared" si="0"/>
        <v/>
      </c>
      <c r="T42" s="223" t="str">
        <f>IFERROR(SUMIFS('capacity data'!$L:$L,'capacity data'!$B:$B,P42,'capacity data'!$E:$E,"PSO")/SUMIFS('capacity data'!$G:$G,'capacity data'!$E:$E,"PSO",'capacity data'!$B:$B,P42),"")</f>
        <v/>
      </c>
      <c r="U42" s="223" t="str">
        <f>IFERROR(SUMIFS('capacity data'!$L:$L,'capacity data'!$B:$B,P42,'capacity data'!$E:$E,"TPO")/SUMIFS('capacity data'!$G:$G,'capacity data'!$E:$E,"TPO",'capacity data'!$B:$B,P42),"")</f>
        <v/>
      </c>
    </row>
    <row r="43" spans="15:21" ht="16" x14ac:dyDescent="0.2">
      <c r="O43" s="23" t="s">
        <v>21</v>
      </c>
      <c r="P43" t="s">
        <v>120</v>
      </c>
      <c r="Q43" s="222" t="str">
        <f>IFERROR(SUM((SUMIFS('capacity data'!$G:$G,'capacity data'!$E:$E,"PO",'capacity data'!$B:$B,P43))-SUMIFS('capacity data'!$H:$H,'capacity data'!$E:$E,"PO",'capacity data'!$B:$B,P43))/SUMIFS('capacity data'!$G:$G,'capacity data'!$E:$E,"PO",'capacity data'!$B:$B,P43),"")</f>
        <v/>
      </c>
      <c r="R43" s="222" t="str">
        <f>IFERROR(SUM((SUMIFS('capacity data'!$G:$G,'capacity data'!$E:$E,"PSO",'capacity data'!$B:$B,P43))-SUMIFS('capacity data'!$H:$H,'capacity data'!$E:$E,"PSO",'capacity data'!$B:$B,P43))/SUMIFS('capacity data'!$G:$G,'capacity data'!$E:$E,"PSO",'capacity data'!$B:$B,P43),"")</f>
        <v/>
      </c>
      <c r="S43" s="22" t="str">
        <f t="shared" si="0"/>
        <v/>
      </c>
      <c r="T43" s="223" t="str">
        <f>IFERROR(SUMIFS('capacity data'!$L:$L,'capacity data'!$B:$B,P43,'capacity data'!$E:$E,"PSO")/SUMIFS('capacity data'!$G:$G,'capacity data'!$E:$E,"PSO",'capacity data'!$B:$B,P43),"")</f>
        <v/>
      </c>
      <c r="U43" s="223" t="str">
        <f>IFERROR(SUMIFS('capacity data'!$L:$L,'capacity data'!$B:$B,P43,'capacity data'!$E:$E,"TPO")/SUMIFS('capacity data'!$G:$G,'capacity data'!$E:$E,"TPO",'capacity data'!$B:$B,P43),"")</f>
        <v/>
      </c>
    </row>
    <row r="44" spans="15:21" ht="16" x14ac:dyDescent="0.2">
      <c r="O44" s="23" t="s">
        <v>21</v>
      </c>
      <c r="P44" t="s">
        <v>141</v>
      </c>
      <c r="Q44" s="222" t="str">
        <f>IFERROR(SUM((SUMIFS('capacity data'!$G:$G,'capacity data'!$E:$E,"PO",'capacity data'!$B:$B,P44))-SUMIFS('capacity data'!$H:$H,'capacity data'!$E:$E,"PO",'capacity data'!$B:$B,P44))/SUMIFS('capacity data'!$G:$G,'capacity data'!$E:$E,"PO",'capacity data'!$B:$B,P44),"")</f>
        <v/>
      </c>
      <c r="R44" s="222" t="str">
        <f>IFERROR(SUM((SUMIFS('capacity data'!$G:$G,'capacity data'!$E:$E,"PSO",'capacity data'!$B:$B,P44))-SUMIFS('capacity data'!$H:$H,'capacity data'!$E:$E,"PSO",'capacity data'!$B:$B,P44))/SUMIFS('capacity data'!$G:$G,'capacity data'!$E:$E,"PSO",'capacity data'!$B:$B,P44),"")</f>
        <v/>
      </c>
      <c r="S44" s="22" t="str">
        <f t="shared" si="0"/>
        <v/>
      </c>
      <c r="T44" s="223" t="str">
        <f>IFERROR(SUMIFS('capacity data'!$L:$L,'capacity data'!$B:$B,P44,'capacity data'!$E:$E,"PSO")/SUMIFS('capacity data'!$G:$G,'capacity data'!$E:$E,"PSO",'capacity data'!$B:$B,P44),"")</f>
        <v/>
      </c>
      <c r="U44" s="223" t="str">
        <f>IFERROR(SUMIFS('capacity data'!$L:$L,'capacity data'!$B:$B,P44,'capacity data'!$E:$E,"TPO")/SUMIFS('capacity data'!$G:$G,'capacity data'!$E:$E,"TPO",'capacity data'!$B:$B,P44),"")</f>
        <v/>
      </c>
    </row>
    <row r="45" spans="15:21" ht="16" x14ac:dyDescent="0.2">
      <c r="O45" s="23" t="s">
        <v>21</v>
      </c>
      <c r="P45" t="s">
        <v>162</v>
      </c>
      <c r="Q45" s="222" t="str">
        <f>IFERROR(SUM((SUMIFS('capacity data'!$G:$G,'capacity data'!$E:$E,"PO",'capacity data'!$B:$B,P45))-SUMIFS('capacity data'!$H:$H,'capacity data'!$E:$E,"PO",'capacity data'!$B:$B,P45))/SUMIFS('capacity data'!$G:$G,'capacity data'!$E:$E,"PO",'capacity data'!$B:$B,P45),"")</f>
        <v/>
      </c>
      <c r="R45" s="222" t="str">
        <f>IFERROR(SUM((SUMIFS('capacity data'!$G:$G,'capacity data'!$E:$E,"PSO",'capacity data'!$B:$B,P45))-SUMIFS('capacity data'!$H:$H,'capacity data'!$E:$E,"PSO",'capacity data'!$B:$B,P45))/SUMIFS('capacity data'!$G:$G,'capacity data'!$E:$E,"PSO",'capacity data'!$B:$B,P45),"")</f>
        <v/>
      </c>
      <c r="S45" s="22" t="str">
        <f t="shared" si="0"/>
        <v/>
      </c>
      <c r="T45" s="223" t="str">
        <f>IFERROR(SUMIFS('capacity data'!$L:$L,'capacity data'!$B:$B,P45,'capacity data'!$E:$E,"PSO")/SUMIFS('capacity data'!$G:$G,'capacity data'!$E:$E,"PSO",'capacity data'!$B:$B,P45),"")</f>
        <v/>
      </c>
      <c r="U45" s="223" t="str">
        <f>IFERROR(SUMIFS('capacity data'!$L:$L,'capacity data'!$B:$B,P45,'capacity data'!$E:$E,"TPO")/SUMIFS('capacity data'!$G:$G,'capacity data'!$E:$E,"TPO",'capacity data'!$B:$B,P45),"")</f>
        <v/>
      </c>
    </row>
    <row r="46" spans="15:21" ht="16" x14ac:dyDescent="0.2">
      <c r="O46" s="23" t="s">
        <v>21</v>
      </c>
      <c r="P46" t="s">
        <v>182</v>
      </c>
      <c r="Q46" s="222" t="str">
        <f>IFERROR(SUM((SUMIFS('capacity data'!$G:$G,'capacity data'!$E:$E,"PO",'capacity data'!$B:$B,P46))-SUMIFS('capacity data'!$H:$H,'capacity data'!$E:$E,"PO",'capacity data'!$B:$B,P46))/SUMIFS('capacity data'!$G:$G,'capacity data'!$E:$E,"PO",'capacity data'!$B:$B,P46),"")</f>
        <v/>
      </c>
      <c r="R46" s="222" t="str">
        <f>IFERROR(SUM((SUMIFS('capacity data'!$G:$G,'capacity data'!$E:$E,"PSO",'capacity data'!$B:$B,P46))-SUMIFS('capacity data'!$H:$H,'capacity data'!$E:$E,"PSO",'capacity data'!$B:$B,P46))/SUMIFS('capacity data'!$G:$G,'capacity data'!$E:$E,"PSO",'capacity data'!$B:$B,P46),"")</f>
        <v/>
      </c>
      <c r="S46" s="22" t="str">
        <f t="shared" si="0"/>
        <v/>
      </c>
      <c r="T46" s="223" t="str">
        <f>IFERROR(SUMIFS('capacity data'!$L:$L,'capacity data'!$B:$B,P46,'capacity data'!$E:$E,"PSO")/SUMIFS('capacity data'!$G:$G,'capacity data'!$E:$E,"PSO",'capacity data'!$B:$B,P46),"")</f>
        <v/>
      </c>
      <c r="U46" s="223" t="str">
        <f>IFERROR(SUMIFS('capacity data'!$L:$L,'capacity data'!$B:$B,P46,'capacity data'!$E:$E,"TPO")/SUMIFS('capacity data'!$G:$G,'capacity data'!$E:$E,"TPO",'capacity data'!$B:$B,P46),"")</f>
        <v/>
      </c>
    </row>
    <row r="47" spans="15:21" ht="16" x14ac:dyDescent="0.2">
      <c r="O47" s="23" t="s">
        <v>21</v>
      </c>
      <c r="P47" t="s">
        <v>202</v>
      </c>
      <c r="Q47" s="222" t="str">
        <f>IFERROR(SUM((SUMIFS('capacity data'!$G:$G,'capacity data'!$E:$E,"PO",'capacity data'!$B:$B,P47))-SUMIFS('capacity data'!$H:$H,'capacity data'!$E:$E,"PO",'capacity data'!$B:$B,P47))/SUMIFS('capacity data'!$G:$G,'capacity data'!$E:$E,"PO",'capacity data'!$B:$B,P47),"")</f>
        <v/>
      </c>
      <c r="R47" s="222" t="str">
        <f>IFERROR(SUM((SUMIFS('capacity data'!$G:$G,'capacity data'!$E:$E,"PSO",'capacity data'!$B:$B,P47))-SUMIFS('capacity data'!$H:$H,'capacity data'!$E:$E,"PSO",'capacity data'!$B:$B,P47))/SUMIFS('capacity data'!$G:$G,'capacity data'!$E:$E,"PSO",'capacity data'!$B:$B,P47),"")</f>
        <v/>
      </c>
      <c r="S47" s="22" t="str">
        <f t="shared" si="0"/>
        <v/>
      </c>
      <c r="T47" s="223" t="str">
        <f>IFERROR(SUMIFS('capacity data'!$L:$L,'capacity data'!$B:$B,P47,'capacity data'!$E:$E,"PSO")/SUMIFS('capacity data'!$G:$G,'capacity data'!$E:$E,"PSO",'capacity data'!$B:$B,P47),"")</f>
        <v/>
      </c>
      <c r="U47" s="223" t="str">
        <f>IFERROR(SUMIFS('capacity data'!$L:$L,'capacity data'!$B:$B,P47,'capacity data'!$E:$E,"TPO")/SUMIFS('capacity data'!$G:$G,'capacity data'!$E:$E,"TPO",'capacity data'!$B:$B,P47),"")</f>
        <v/>
      </c>
    </row>
    <row r="48" spans="15:21" ht="16" x14ac:dyDescent="0.2">
      <c r="O48" s="23" t="s">
        <v>21</v>
      </c>
      <c r="P48" t="s">
        <v>220</v>
      </c>
      <c r="Q48" s="222" t="str">
        <f>IFERROR(SUM((SUMIFS('capacity data'!$G:$G,'capacity data'!$E:$E,"PO",'capacity data'!$B:$B,P48))-SUMIFS('capacity data'!$H:$H,'capacity data'!$E:$E,"PO",'capacity data'!$B:$B,P48))/SUMIFS('capacity data'!$G:$G,'capacity data'!$E:$E,"PO",'capacity data'!$B:$B,P48),"")</f>
        <v/>
      </c>
      <c r="R48" s="222" t="str">
        <f>IFERROR(SUM((SUMIFS('capacity data'!$G:$G,'capacity data'!$E:$E,"PSO",'capacity data'!$B:$B,P48))-SUMIFS('capacity data'!$H:$H,'capacity data'!$E:$E,"PSO",'capacity data'!$B:$B,P48))/SUMIFS('capacity data'!$G:$G,'capacity data'!$E:$E,"PSO",'capacity data'!$B:$B,P48),"")</f>
        <v/>
      </c>
      <c r="S48" s="22" t="str">
        <f t="shared" si="0"/>
        <v/>
      </c>
      <c r="T48" s="223" t="str">
        <f>IFERROR(SUMIFS('capacity data'!$L:$L,'capacity data'!$B:$B,P48,'capacity data'!$E:$E,"PSO")/SUMIFS('capacity data'!$G:$G,'capacity data'!$E:$E,"PSO",'capacity data'!$B:$B,P48),"")</f>
        <v/>
      </c>
      <c r="U48" s="223" t="str">
        <f>IFERROR(SUMIFS('capacity data'!$L:$L,'capacity data'!$B:$B,P48,'capacity data'!$E:$E,"TPO")/SUMIFS('capacity data'!$G:$G,'capacity data'!$E:$E,"TPO",'capacity data'!$B:$B,P48),"")</f>
        <v/>
      </c>
    </row>
    <row r="49" spans="15:21" ht="16" x14ac:dyDescent="0.2">
      <c r="O49" s="23" t="s">
        <v>21</v>
      </c>
      <c r="P49" t="s">
        <v>238</v>
      </c>
      <c r="Q49" s="222" t="str">
        <f>IFERROR(SUM((SUMIFS('capacity data'!$G:$G,'capacity data'!$E:$E,"PO",'capacity data'!$B:$B,P49))-SUMIFS('capacity data'!$H:$H,'capacity data'!$E:$E,"PO",'capacity data'!$B:$B,P49))/SUMIFS('capacity data'!$G:$G,'capacity data'!$E:$E,"PO",'capacity data'!$B:$B,P49),"")</f>
        <v/>
      </c>
      <c r="R49" s="222" t="str">
        <f>IFERROR(SUM((SUMIFS('capacity data'!$G:$G,'capacity data'!$E:$E,"PSO",'capacity data'!$B:$B,P49))-SUMIFS('capacity data'!$H:$H,'capacity data'!$E:$E,"PSO",'capacity data'!$B:$B,P49))/SUMIFS('capacity data'!$G:$G,'capacity data'!$E:$E,"PSO",'capacity data'!$B:$B,P49),"")</f>
        <v/>
      </c>
      <c r="S49" s="22" t="str">
        <f t="shared" si="0"/>
        <v/>
      </c>
      <c r="T49" s="223" t="str">
        <f>IFERROR(SUMIFS('capacity data'!$L:$L,'capacity data'!$B:$B,P49,'capacity data'!$E:$E,"PSO")/SUMIFS('capacity data'!$G:$G,'capacity data'!$E:$E,"PSO",'capacity data'!$B:$B,P49),"")</f>
        <v/>
      </c>
      <c r="U49" s="223" t="str">
        <f>IFERROR(SUMIFS('capacity data'!$L:$L,'capacity data'!$B:$B,P49,'capacity data'!$E:$E,"TPO")/SUMIFS('capacity data'!$G:$G,'capacity data'!$E:$E,"TPO",'capacity data'!$B:$B,P49),"")</f>
        <v/>
      </c>
    </row>
    <row r="50" spans="15:21" ht="16" x14ac:dyDescent="0.2">
      <c r="O50" s="23" t="s">
        <v>21</v>
      </c>
      <c r="P50" t="s">
        <v>255</v>
      </c>
      <c r="Q50" s="222" t="str">
        <f>IFERROR(SUM((SUMIFS('capacity data'!$G:$G,'capacity data'!$E:$E,"PO",'capacity data'!$B:$B,P50))-SUMIFS('capacity data'!$H:$H,'capacity data'!$E:$E,"PO",'capacity data'!$B:$B,P50))/SUMIFS('capacity data'!$G:$G,'capacity data'!$E:$E,"PO",'capacity data'!$B:$B,P50),"")</f>
        <v/>
      </c>
      <c r="R50" s="222" t="str">
        <f>IFERROR(SUM((SUMIFS('capacity data'!$G:$G,'capacity data'!$E:$E,"PSO",'capacity data'!$B:$B,P50))-SUMIFS('capacity data'!$H:$H,'capacity data'!$E:$E,"PSO",'capacity data'!$B:$B,P50))/SUMIFS('capacity data'!$G:$G,'capacity data'!$E:$E,"PSO",'capacity data'!$B:$B,P50),"")</f>
        <v/>
      </c>
      <c r="S50" s="22" t="str">
        <f t="shared" si="0"/>
        <v/>
      </c>
      <c r="T50" s="223" t="str">
        <f>IFERROR(SUMIFS('capacity data'!$L:$L,'capacity data'!$B:$B,P50,'capacity data'!$E:$E,"PSO")/SUMIFS('capacity data'!$G:$G,'capacity data'!$E:$E,"PSO",'capacity data'!$B:$B,P50),"")</f>
        <v/>
      </c>
      <c r="U50" s="223" t="str">
        <f>IFERROR(SUMIFS('capacity data'!$L:$L,'capacity data'!$B:$B,P50,'capacity data'!$E:$E,"TPO")/SUMIFS('capacity data'!$G:$G,'capacity data'!$E:$E,"TPO",'capacity data'!$B:$B,P50),"")</f>
        <v/>
      </c>
    </row>
    <row r="51" spans="15:21" ht="16" x14ac:dyDescent="0.2">
      <c r="O51" s="23" t="s">
        <v>21</v>
      </c>
      <c r="P51" t="s">
        <v>269</v>
      </c>
      <c r="Q51" s="222" t="str">
        <f>IFERROR(SUM((SUMIFS('capacity data'!$G:$G,'capacity data'!$E:$E,"PO",'capacity data'!$B:$B,P51))-SUMIFS('capacity data'!$H:$H,'capacity data'!$E:$E,"PO",'capacity data'!$B:$B,P51))/SUMIFS('capacity data'!$G:$G,'capacity data'!$E:$E,"PO",'capacity data'!$B:$B,P51),"")</f>
        <v/>
      </c>
      <c r="R51" s="222" t="str">
        <f>IFERROR(SUM((SUMIFS('capacity data'!$G:$G,'capacity data'!$E:$E,"PSO",'capacity data'!$B:$B,P51))-SUMIFS('capacity data'!$H:$H,'capacity data'!$E:$E,"PSO",'capacity data'!$B:$B,P51))/SUMIFS('capacity data'!$G:$G,'capacity data'!$E:$E,"PSO",'capacity data'!$B:$B,P51),"")</f>
        <v/>
      </c>
      <c r="S51" s="22" t="str">
        <f t="shared" si="0"/>
        <v/>
      </c>
      <c r="T51" s="223" t="str">
        <f>IFERROR(SUMIFS('capacity data'!$L:$L,'capacity data'!$B:$B,P51,'capacity data'!$E:$E,"PSO")/SUMIFS('capacity data'!$G:$G,'capacity data'!$E:$E,"PSO",'capacity data'!$B:$B,P51),"")</f>
        <v/>
      </c>
      <c r="U51" s="223" t="str">
        <f>IFERROR(SUMIFS('capacity data'!$L:$L,'capacity data'!$B:$B,P51,'capacity data'!$E:$E,"TPO")/SUMIFS('capacity data'!$G:$G,'capacity data'!$E:$E,"TPO",'capacity data'!$B:$B,P51),"")</f>
        <v/>
      </c>
    </row>
    <row r="52" spans="15:21" ht="16" x14ac:dyDescent="0.2">
      <c r="O52" s="23" t="s">
        <v>21</v>
      </c>
      <c r="P52" t="s">
        <v>284</v>
      </c>
      <c r="Q52" s="222" t="str">
        <f>IFERROR(SUM((SUMIFS('capacity data'!$G:$G,'capacity data'!$E:$E,"PO",'capacity data'!$B:$B,P52))-SUMIFS('capacity data'!$H:$H,'capacity data'!$E:$E,"PO",'capacity data'!$B:$B,P52))/SUMIFS('capacity data'!$G:$G,'capacity data'!$E:$E,"PO",'capacity data'!$B:$B,P52),"")</f>
        <v/>
      </c>
      <c r="R52" s="222" t="str">
        <f>IFERROR(SUM((SUMIFS('capacity data'!$G:$G,'capacity data'!$E:$E,"PSO",'capacity data'!$B:$B,P52))-SUMIFS('capacity data'!$H:$H,'capacity data'!$E:$E,"PSO",'capacity data'!$B:$B,P52))/SUMIFS('capacity data'!$G:$G,'capacity data'!$E:$E,"PSO",'capacity data'!$B:$B,P52),"")</f>
        <v/>
      </c>
      <c r="S52" s="22" t="str">
        <f t="shared" si="0"/>
        <v/>
      </c>
      <c r="T52" s="223" t="str">
        <f>IFERROR(SUMIFS('capacity data'!$L:$L,'capacity data'!$B:$B,P52,'capacity data'!$E:$E,"PSO")/SUMIFS('capacity data'!$G:$G,'capacity data'!$E:$E,"PSO",'capacity data'!$B:$B,P52),"")</f>
        <v/>
      </c>
      <c r="U52" s="223" t="str">
        <f>IFERROR(SUMIFS('capacity data'!$L:$L,'capacity data'!$B:$B,P52,'capacity data'!$E:$E,"TPO")/SUMIFS('capacity data'!$G:$G,'capacity data'!$E:$E,"TPO",'capacity data'!$B:$B,P52),"")</f>
        <v/>
      </c>
    </row>
    <row r="53" spans="15:21" ht="16" x14ac:dyDescent="0.2">
      <c r="O53" s="23" t="s">
        <v>21</v>
      </c>
      <c r="P53" t="s">
        <v>300</v>
      </c>
      <c r="Q53" s="222" t="str">
        <f>IFERROR(SUM((SUMIFS('capacity data'!$G:$G,'capacity data'!$E:$E,"PO",'capacity data'!$B:$B,P53))-SUMIFS('capacity data'!$H:$H,'capacity data'!$E:$E,"PO",'capacity data'!$B:$B,P53))/SUMIFS('capacity data'!$G:$G,'capacity data'!$E:$E,"PO",'capacity data'!$B:$B,P53),"")</f>
        <v/>
      </c>
      <c r="R53" s="222" t="str">
        <f>IFERROR(SUM((SUMIFS('capacity data'!$G:$G,'capacity data'!$E:$E,"PSO",'capacity data'!$B:$B,P53))-SUMIFS('capacity data'!$H:$H,'capacity data'!$E:$E,"PSO",'capacity data'!$B:$B,P53))/SUMIFS('capacity data'!$G:$G,'capacity data'!$E:$E,"PSO",'capacity data'!$B:$B,P53),"")</f>
        <v/>
      </c>
      <c r="S53" s="22" t="str">
        <f t="shared" si="0"/>
        <v/>
      </c>
      <c r="T53" s="223" t="str">
        <f>IFERROR(SUMIFS('capacity data'!$L:$L,'capacity data'!$B:$B,P53,'capacity data'!$E:$E,"PSO")/SUMIFS('capacity data'!$G:$G,'capacity data'!$E:$E,"PSO",'capacity data'!$B:$B,P53),"")</f>
        <v/>
      </c>
      <c r="U53" s="223" t="str">
        <f>IFERROR(SUMIFS('capacity data'!$L:$L,'capacity data'!$B:$B,P53,'capacity data'!$E:$E,"TPO")/SUMIFS('capacity data'!$G:$G,'capacity data'!$E:$E,"TPO",'capacity data'!$B:$B,P53),"")</f>
        <v/>
      </c>
    </row>
    <row r="54" spans="15:21" ht="16" x14ac:dyDescent="0.2">
      <c r="O54" s="23" t="s">
        <v>21</v>
      </c>
      <c r="P54" t="s">
        <v>313</v>
      </c>
      <c r="Q54" s="222" t="str">
        <f>IFERROR(SUM((SUMIFS('capacity data'!$G:$G,'capacity data'!$E:$E,"PO",'capacity data'!$B:$B,P54))-SUMIFS('capacity data'!$H:$H,'capacity data'!$E:$E,"PO",'capacity data'!$B:$B,P54))/SUMIFS('capacity data'!$G:$G,'capacity data'!$E:$E,"PO",'capacity data'!$B:$B,P54),"")</f>
        <v/>
      </c>
      <c r="R54" s="222" t="str">
        <f>IFERROR(SUM((SUMIFS('capacity data'!$G:$G,'capacity data'!$E:$E,"PSO",'capacity data'!$B:$B,P54))-SUMIFS('capacity data'!$H:$H,'capacity data'!$E:$E,"PSO",'capacity data'!$B:$B,P54))/SUMIFS('capacity data'!$G:$G,'capacity data'!$E:$E,"PSO",'capacity data'!$B:$B,P54),"")</f>
        <v/>
      </c>
      <c r="S54" s="22" t="str">
        <f t="shared" si="0"/>
        <v/>
      </c>
      <c r="T54" s="223" t="str">
        <f>IFERROR(SUMIFS('capacity data'!$L:$L,'capacity data'!$B:$B,P54,'capacity data'!$E:$E,"PSO")/SUMIFS('capacity data'!$G:$G,'capacity data'!$E:$E,"PSO",'capacity data'!$B:$B,P54),"")</f>
        <v/>
      </c>
      <c r="U54" s="223" t="str">
        <f>IFERROR(SUMIFS('capacity data'!$L:$L,'capacity data'!$B:$B,P54,'capacity data'!$E:$E,"TPO")/SUMIFS('capacity data'!$G:$G,'capacity data'!$E:$E,"TPO",'capacity data'!$B:$B,P54),"")</f>
        <v/>
      </c>
    </row>
    <row r="55" spans="15:21" ht="16" x14ac:dyDescent="0.2">
      <c r="O55" s="23" t="s">
        <v>21</v>
      </c>
      <c r="P55" t="s">
        <v>327</v>
      </c>
      <c r="Q55" s="222" t="str">
        <f>IFERROR(SUM((SUMIFS('capacity data'!$G:$G,'capacity data'!$E:$E,"PO",'capacity data'!$B:$B,P55))-SUMIFS('capacity data'!$H:$H,'capacity data'!$E:$E,"PO",'capacity data'!$B:$B,P55))/SUMIFS('capacity data'!$G:$G,'capacity data'!$E:$E,"PO",'capacity data'!$B:$B,P55),"")</f>
        <v/>
      </c>
      <c r="R55" s="222" t="str">
        <f>IFERROR(SUM((SUMIFS('capacity data'!$G:$G,'capacity data'!$E:$E,"PSO",'capacity data'!$B:$B,P55))-SUMIFS('capacity data'!$H:$H,'capacity data'!$E:$E,"PSO",'capacity data'!$B:$B,P55))/SUMIFS('capacity data'!$G:$G,'capacity data'!$E:$E,"PSO",'capacity data'!$B:$B,P55),"")</f>
        <v/>
      </c>
      <c r="S55" s="22" t="str">
        <f t="shared" si="0"/>
        <v/>
      </c>
      <c r="T55" s="223" t="str">
        <f>IFERROR(SUMIFS('capacity data'!$L:$L,'capacity data'!$B:$B,P55,'capacity data'!$E:$E,"PSO")/SUMIFS('capacity data'!$G:$G,'capacity data'!$E:$E,"PSO",'capacity data'!$B:$B,P55),"")</f>
        <v/>
      </c>
      <c r="U55" s="223" t="str">
        <f>IFERROR(SUMIFS('capacity data'!$L:$L,'capacity data'!$B:$B,P55,'capacity data'!$E:$E,"TPO")/SUMIFS('capacity data'!$G:$G,'capacity data'!$E:$E,"TPO",'capacity data'!$B:$B,P55),"")</f>
        <v/>
      </c>
    </row>
    <row r="56" spans="15:21" ht="16" x14ac:dyDescent="0.2">
      <c r="O56" s="23" t="s">
        <v>21</v>
      </c>
      <c r="P56" t="s">
        <v>341</v>
      </c>
      <c r="Q56" s="222" t="str">
        <f>IFERROR(SUM((SUMIFS('capacity data'!$G:$G,'capacity data'!$E:$E,"PO",'capacity data'!$B:$B,P56))-SUMIFS('capacity data'!$H:$H,'capacity data'!$E:$E,"PO",'capacity data'!$B:$B,P56))/SUMIFS('capacity data'!$G:$G,'capacity data'!$E:$E,"PO",'capacity data'!$B:$B,P56),"")</f>
        <v/>
      </c>
      <c r="R56" s="222" t="str">
        <f>IFERROR(SUM((SUMIFS('capacity data'!$G:$G,'capacity data'!$E:$E,"PSO",'capacity data'!$B:$B,P56))-SUMIFS('capacity data'!$H:$H,'capacity data'!$E:$E,"PSO",'capacity data'!$B:$B,P56))/SUMIFS('capacity data'!$G:$G,'capacity data'!$E:$E,"PSO",'capacity data'!$B:$B,P56),"")</f>
        <v/>
      </c>
      <c r="S56" s="22" t="str">
        <f t="shared" si="0"/>
        <v/>
      </c>
      <c r="T56" s="223" t="str">
        <f>IFERROR(SUMIFS('capacity data'!$L:$L,'capacity data'!$B:$B,P56,'capacity data'!$E:$E,"PSO")/SUMIFS('capacity data'!$G:$G,'capacity data'!$E:$E,"PSO",'capacity data'!$B:$B,P56),"")</f>
        <v/>
      </c>
      <c r="U56" s="223" t="str">
        <f>IFERROR(SUMIFS('capacity data'!$L:$L,'capacity data'!$B:$B,P56,'capacity data'!$E:$E,"TPO")/SUMIFS('capacity data'!$G:$G,'capacity data'!$E:$E,"TPO",'capacity data'!$B:$B,P56),"")</f>
        <v/>
      </c>
    </row>
    <row r="57" spans="15:21" ht="16" x14ac:dyDescent="0.2">
      <c r="O57" s="23" t="s">
        <v>21</v>
      </c>
      <c r="P57" t="s">
        <v>353</v>
      </c>
      <c r="Q57" s="222" t="str">
        <f>IFERROR(SUM((SUMIFS('capacity data'!$G:$G,'capacity data'!$E:$E,"PO",'capacity data'!$B:$B,P57))-SUMIFS('capacity data'!$H:$H,'capacity data'!$E:$E,"PO",'capacity data'!$B:$B,P57))/SUMIFS('capacity data'!$G:$G,'capacity data'!$E:$E,"PO",'capacity data'!$B:$B,P57),"")</f>
        <v/>
      </c>
      <c r="R57" s="222" t="str">
        <f>IFERROR(SUM((SUMIFS('capacity data'!$G:$G,'capacity data'!$E:$E,"PSO",'capacity data'!$B:$B,P57))-SUMIFS('capacity data'!$H:$H,'capacity data'!$E:$E,"PSO",'capacity data'!$B:$B,P57))/SUMIFS('capacity data'!$G:$G,'capacity data'!$E:$E,"PSO",'capacity data'!$B:$B,P57),"")</f>
        <v/>
      </c>
      <c r="S57" s="22" t="str">
        <f t="shared" si="0"/>
        <v/>
      </c>
      <c r="T57" s="223" t="str">
        <f>IFERROR(SUMIFS('capacity data'!$L:$L,'capacity data'!$B:$B,P57,'capacity data'!$E:$E,"PSO")/SUMIFS('capacity data'!$G:$G,'capacity data'!$E:$E,"PSO",'capacity data'!$B:$B,P57),"")</f>
        <v/>
      </c>
      <c r="U57" s="223" t="str">
        <f>IFERROR(SUMIFS('capacity data'!$L:$L,'capacity data'!$B:$B,P57,'capacity data'!$E:$E,"TPO")/SUMIFS('capacity data'!$G:$G,'capacity data'!$E:$E,"TPO",'capacity data'!$B:$B,P57),"")</f>
        <v/>
      </c>
    </row>
    <row r="58" spans="15:21" ht="16" x14ac:dyDescent="0.2">
      <c r="O58" s="23" t="s">
        <v>21</v>
      </c>
      <c r="P58" t="s">
        <v>364</v>
      </c>
      <c r="Q58" s="222" t="str">
        <f>IFERROR(SUM((SUMIFS('capacity data'!$G:$G,'capacity data'!$E:$E,"PO",'capacity data'!$B:$B,P58))-SUMIFS('capacity data'!$H:$H,'capacity data'!$E:$E,"PO",'capacity data'!$B:$B,P58))/SUMIFS('capacity data'!$G:$G,'capacity data'!$E:$E,"PO",'capacity data'!$B:$B,P58),"")</f>
        <v/>
      </c>
      <c r="R58" s="222" t="str">
        <f>IFERROR(SUM((SUMIFS('capacity data'!$G:$G,'capacity data'!$E:$E,"PSO",'capacity data'!$B:$B,P58))-SUMIFS('capacity data'!$H:$H,'capacity data'!$E:$E,"PSO",'capacity data'!$B:$B,P58))/SUMIFS('capacity data'!$G:$G,'capacity data'!$E:$E,"PSO",'capacity data'!$B:$B,P58),"")</f>
        <v/>
      </c>
      <c r="S58" s="22" t="str">
        <f t="shared" si="0"/>
        <v/>
      </c>
      <c r="T58" s="223" t="str">
        <f>IFERROR(SUMIFS('capacity data'!$L:$L,'capacity data'!$B:$B,P58,'capacity data'!$E:$E,"PSO")/SUMIFS('capacity data'!$G:$G,'capacity data'!$E:$E,"PSO",'capacity data'!$B:$B,P58),"")</f>
        <v/>
      </c>
      <c r="U58" s="223" t="str">
        <f>IFERROR(SUMIFS('capacity data'!$L:$L,'capacity data'!$B:$B,P58,'capacity data'!$E:$E,"TPO")/SUMIFS('capacity data'!$G:$G,'capacity data'!$E:$E,"TPO",'capacity data'!$B:$B,P58),"")</f>
        <v/>
      </c>
    </row>
    <row r="59" spans="15:21" ht="16" x14ac:dyDescent="0.2">
      <c r="O59" s="23" t="s">
        <v>21</v>
      </c>
      <c r="P59" t="s">
        <v>374</v>
      </c>
      <c r="Q59" s="222" t="str">
        <f>IFERROR(SUM((SUMIFS('capacity data'!$G:$G,'capacity data'!$E:$E,"PO",'capacity data'!$B:$B,P59))-SUMIFS('capacity data'!$H:$H,'capacity data'!$E:$E,"PO",'capacity data'!$B:$B,P59))/SUMIFS('capacity data'!$G:$G,'capacity data'!$E:$E,"PO",'capacity data'!$B:$B,P59),"")</f>
        <v/>
      </c>
      <c r="R59" s="222" t="str">
        <f>IFERROR(SUM((SUMIFS('capacity data'!$G:$G,'capacity data'!$E:$E,"PSO",'capacity data'!$B:$B,P59))-SUMIFS('capacity data'!$H:$H,'capacity data'!$E:$E,"PSO",'capacity data'!$B:$B,P59))/SUMIFS('capacity data'!$G:$G,'capacity data'!$E:$E,"PSO",'capacity data'!$B:$B,P59),"")</f>
        <v/>
      </c>
      <c r="S59" s="22" t="str">
        <f t="shared" si="0"/>
        <v/>
      </c>
      <c r="T59" s="223" t="str">
        <f>IFERROR(SUMIFS('capacity data'!$L:$L,'capacity data'!$B:$B,P59,'capacity data'!$E:$E,"PSO")/SUMIFS('capacity data'!$G:$G,'capacity data'!$E:$E,"PSO",'capacity data'!$B:$B,P59),"")</f>
        <v/>
      </c>
      <c r="U59" s="223" t="str">
        <f>IFERROR(SUMIFS('capacity data'!$L:$L,'capacity data'!$B:$B,P59,'capacity data'!$E:$E,"TPO")/SUMIFS('capacity data'!$G:$G,'capacity data'!$E:$E,"TPO",'capacity data'!$B:$B,P59),"")</f>
        <v/>
      </c>
    </row>
    <row r="60" spans="15:21" ht="16" x14ac:dyDescent="0.2">
      <c r="O60" s="23" t="s">
        <v>21</v>
      </c>
      <c r="P60" t="s">
        <v>383</v>
      </c>
      <c r="Q60" s="222" t="str">
        <f>IFERROR(SUM((SUMIFS('capacity data'!$G:$G,'capacity data'!$E:$E,"PO",'capacity data'!$B:$B,P60))-SUMIFS('capacity data'!$H:$H,'capacity data'!$E:$E,"PO",'capacity data'!$B:$B,P60))/SUMIFS('capacity data'!$G:$G,'capacity data'!$E:$E,"PO",'capacity data'!$B:$B,P60),"")</f>
        <v/>
      </c>
      <c r="R60" s="222" t="str">
        <f>IFERROR(SUM((SUMIFS('capacity data'!$G:$G,'capacity data'!$E:$E,"PSO",'capacity data'!$B:$B,P60))-SUMIFS('capacity data'!$H:$H,'capacity data'!$E:$E,"PSO",'capacity data'!$B:$B,P60))/SUMIFS('capacity data'!$G:$G,'capacity data'!$E:$E,"PSO",'capacity data'!$B:$B,P60),"")</f>
        <v/>
      </c>
      <c r="S60" s="22" t="str">
        <f t="shared" si="0"/>
        <v/>
      </c>
      <c r="T60" s="223" t="str">
        <f>IFERROR(SUMIFS('capacity data'!$L:$L,'capacity data'!$B:$B,P60,'capacity data'!$E:$E,"PSO")/SUMIFS('capacity data'!$G:$G,'capacity data'!$E:$E,"PSO",'capacity data'!$B:$B,P60),"")</f>
        <v/>
      </c>
      <c r="U60" s="223" t="str">
        <f>IFERROR(SUMIFS('capacity data'!$L:$L,'capacity data'!$B:$B,P60,'capacity data'!$E:$E,"TPO")/SUMIFS('capacity data'!$G:$G,'capacity data'!$E:$E,"TPO",'capacity data'!$B:$B,P60),"")</f>
        <v/>
      </c>
    </row>
    <row r="61" spans="15:21" ht="16" x14ac:dyDescent="0.2">
      <c r="O61" s="23" t="s">
        <v>21</v>
      </c>
      <c r="P61" t="s">
        <v>392</v>
      </c>
      <c r="Q61" s="222" t="str">
        <f>IFERROR(SUM((SUMIFS('capacity data'!$G:$G,'capacity data'!$E:$E,"PO",'capacity data'!$B:$B,P61))-SUMIFS('capacity data'!$H:$H,'capacity data'!$E:$E,"PO",'capacity data'!$B:$B,P61))/SUMIFS('capacity data'!$G:$G,'capacity data'!$E:$E,"PO",'capacity data'!$B:$B,P61),"")</f>
        <v/>
      </c>
      <c r="R61" s="222" t="str">
        <f>IFERROR(SUM((SUMIFS('capacity data'!$G:$G,'capacity data'!$E:$E,"PSO",'capacity data'!$B:$B,P61))-SUMIFS('capacity data'!$H:$H,'capacity data'!$E:$E,"PSO",'capacity data'!$B:$B,P61))/SUMIFS('capacity data'!$G:$G,'capacity data'!$E:$E,"PSO",'capacity data'!$B:$B,P61),"")</f>
        <v/>
      </c>
      <c r="S61" s="22" t="str">
        <f t="shared" si="0"/>
        <v/>
      </c>
      <c r="T61" s="223" t="str">
        <f>IFERROR(SUMIFS('capacity data'!$L:$L,'capacity data'!$B:$B,P61,'capacity data'!$E:$E,"PSO")/SUMIFS('capacity data'!$G:$G,'capacity data'!$E:$E,"PSO",'capacity data'!$B:$B,P61),"")</f>
        <v/>
      </c>
      <c r="U61" s="223" t="str">
        <f>IFERROR(SUMIFS('capacity data'!$L:$L,'capacity data'!$B:$B,P61,'capacity data'!$E:$E,"TPO")/SUMIFS('capacity data'!$G:$G,'capacity data'!$E:$E,"TPO",'capacity data'!$B:$B,P61),"")</f>
        <v/>
      </c>
    </row>
    <row r="62" spans="15:21" ht="16" x14ac:dyDescent="0.2">
      <c r="O62" s="23" t="s">
        <v>21</v>
      </c>
      <c r="P62" t="s">
        <v>403</v>
      </c>
      <c r="Q62" s="222" t="str">
        <f>IFERROR(SUM((SUMIFS('capacity data'!$G:$G,'capacity data'!$E:$E,"PO",'capacity data'!$B:$B,P62))-SUMIFS('capacity data'!$H:$H,'capacity data'!$E:$E,"PO",'capacity data'!$B:$B,P62))/SUMIFS('capacity data'!$G:$G,'capacity data'!$E:$E,"PO",'capacity data'!$B:$B,P62),"")</f>
        <v/>
      </c>
      <c r="R62" s="222" t="str">
        <f>IFERROR(SUM((SUMIFS('capacity data'!$G:$G,'capacity data'!$E:$E,"PSO",'capacity data'!$B:$B,P62))-SUMIFS('capacity data'!$H:$H,'capacity data'!$E:$E,"PSO",'capacity data'!$B:$B,P62))/SUMIFS('capacity data'!$G:$G,'capacity data'!$E:$E,"PSO",'capacity data'!$B:$B,P62),"")</f>
        <v/>
      </c>
      <c r="S62" s="22" t="str">
        <f t="shared" si="0"/>
        <v/>
      </c>
      <c r="T62" s="223" t="str">
        <f>IFERROR(SUMIFS('capacity data'!$L:$L,'capacity data'!$B:$B,P62,'capacity data'!$E:$E,"PSO")/SUMIFS('capacity data'!$G:$G,'capacity data'!$E:$E,"PSO",'capacity data'!$B:$B,P62),"")</f>
        <v/>
      </c>
      <c r="U62" s="223" t="str">
        <f>IFERROR(SUMIFS('capacity data'!$L:$L,'capacity data'!$B:$B,P62,'capacity data'!$E:$E,"TPO")/SUMIFS('capacity data'!$G:$G,'capacity data'!$E:$E,"TPO",'capacity data'!$B:$B,P62),"")</f>
        <v/>
      </c>
    </row>
    <row r="63" spans="15:21" ht="16" x14ac:dyDescent="0.2">
      <c r="O63" s="23" t="s">
        <v>22</v>
      </c>
      <c r="P63" t="s">
        <v>34</v>
      </c>
      <c r="Q63" s="222" t="str">
        <f>IFERROR(SUM((SUMIFS('capacity data'!$G:$G,'capacity data'!$E:$E,"PO",'capacity data'!$B:$B,P63))-SUMIFS('capacity data'!$H:$H,'capacity data'!$E:$E,"PO",'capacity data'!$B:$B,P63))/SUMIFS('capacity data'!$G:$G,'capacity data'!$E:$E,"PO",'capacity data'!$B:$B,P63),"")</f>
        <v/>
      </c>
      <c r="R63" s="222" t="str">
        <f>IFERROR(SUM((SUMIFS('capacity data'!$G:$G,'capacity data'!$E:$E,"PSO",'capacity data'!$B:$B,P63))-SUMIFS('capacity data'!$H:$H,'capacity data'!$E:$E,"PSO",'capacity data'!$B:$B,P63))/SUMIFS('capacity data'!$G:$G,'capacity data'!$E:$E,"PSO",'capacity data'!$B:$B,P63),"")</f>
        <v/>
      </c>
      <c r="S63" s="22" t="str">
        <f t="shared" si="0"/>
        <v/>
      </c>
      <c r="T63" s="223" t="str">
        <f>IFERROR(SUMIFS('capacity data'!$L:$L,'capacity data'!$B:$B,P63,'capacity data'!$E:$E,"PSO")/SUMIFS('capacity data'!$G:$G,'capacity data'!$E:$E,"PSO",'capacity data'!$B:$B,P63),"")</f>
        <v/>
      </c>
      <c r="U63" s="223" t="str">
        <f>IFERROR(SUMIFS('capacity data'!$L:$L,'capacity data'!$B:$B,P63,'capacity data'!$E:$E,"TPO")/SUMIFS('capacity data'!$G:$G,'capacity data'!$E:$E,"TPO",'capacity data'!$B:$B,P63),"")</f>
        <v/>
      </c>
    </row>
    <row r="64" spans="15:21" ht="16" x14ac:dyDescent="0.2">
      <c r="O64" s="23" t="s">
        <v>22</v>
      </c>
      <c r="P64" t="s">
        <v>56</v>
      </c>
      <c r="Q64" s="222" t="str">
        <f>IFERROR(SUM((SUMIFS('capacity data'!$G:$G,'capacity data'!$E:$E,"PO",'capacity data'!$B:$B,P64))-SUMIFS('capacity data'!$H:$H,'capacity data'!$E:$E,"PO",'capacity data'!$B:$B,P64))/SUMIFS('capacity data'!$G:$G,'capacity data'!$E:$E,"PO",'capacity data'!$B:$B,P64),"")</f>
        <v/>
      </c>
      <c r="R64" s="222" t="str">
        <f>IFERROR(SUM((SUMIFS('capacity data'!$G:$G,'capacity data'!$E:$E,"PSO",'capacity data'!$B:$B,P64))-SUMIFS('capacity data'!$H:$H,'capacity data'!$E:$E,"PSO",'capacity data'!$B:$B,P64))/SUMIFS('capacity data'!$G:$G,'capacity data'!$E:$E,"PSO",'capacity data'!$B:$B,P64),"")</f>
        <v/>
      </c>
      <c r="S64" s="22" t="str">
        <f t="shared" si="0"/>
        <v/>
      </c>
      <c r="T64" s="223" t="str">
        <f>IFERROR(SUMIFS('capacity data'!$L:$L,'capacity data'!$B:$B,P64,'capacity data'!$E:$E,"PSO")/SUMIFS('capacity data'!$G:$G,'capacity data'!$E:$E,"PSO",'capacity data'!$B:$B,P64),"")</f>
        <v/>
      </c>
      <c r="U64" s="223" t="str">
        <f>IFERROR(SUMIFS('capacity data'!$L:$L,'capacity data'!$B:$B,P64,'capacity data'!$E:$E,"TPO")/SUMIFS('capacity data'!$G:$G,'capacity data'!$E:$E,"TPO",'capacity data'!$B:$B,P64),"")</f>
        <v/>
      </c>
    </row>
    <row r="65" spans="15:21" ht="16" x14ac:dyDescent="0.2">
      <c r="O65" s="23" t="s">
        <v>22</v>
      </c>
      <c r="P65" t="s">
        <v>77</v>
      </c>
      <c r="Q65" s="222" t="str">
        <f>IFERROR(SUM((SUMIFS('capacity data'!$G:$G,'capacity data'!$E:$E,"PO",'capacity data'!$B:$B,P65))-SUMIFS('capacity data'!$H:$H,'capacity data'!$E:$E,"PO",'capacity data'!$B:$B,P65))/SUMIFS('capacity data'!$G:$G,'capacity data'!$E:$E,"PO",'capacity data'!$B:$B,P65),"")</f>
        <v/>
      </c>
      <c r="R65" s="222" t="str">
        <f>IFERROR(SUM((SUMIFS('capacity data'!$G:$G,'capacity data'!$E:$E,"PSO",'capacity data'!$B:$B,P65))-SUMIFS('capacity data'!$H:$H,'capacity data'!$E:$E,"PSO",'capacity data'!$B:$B,P65))/SUMIFS('capacity data'!$G:$G,'capacity data'!$E:$E,"PSO",'capacity data'!$B:$B,P65),"")</f>
        <v/>
      </c>
      <c r="S65" s="22" t="str">
        <f t="shared" si="0"/>
        <v/>
      </c>
      <c r="T65" s="223" t="str">
        <f>IFERROR(SUMIFS('capacity data'!$L:$L,'capacity data'!$B:$B,P65,'capacity data'!$E:$E,"PSO")/SUMIFS('capacity data'!$G:$G,'capacity data'!$E:$E,"PSO",'capacity data'!$B:$B,P65),"")</f>
        <v/>
      </c>
      <c r="U65" s="223" t="str">
        <f>IFERROR(SUMIFS('capacity data'!$L:$L,'capacity data'!$B:$B,P65,'capacity data'!$E:$E,"TPO")/SUMIFS('capacity data'!$G:$G,'capacity data'!$E:$E,"TPO",'capacity data'!$B:$B,P65),"")</f>
        <v/>
      </c>
    </row>
    <row r="66" spans="15:21" ht="16" x14ac:dyDescent="0.2">
      <c r="O66" s="23" t="s">
        <v>22</v>
      </c>
      <c r="P66" t="s">
        <v>99</v>
      </c>
      <c r="Q66" s="222" t="str">
        <f>IFERROR(SUM((SUMIFS('capacity data'!$G:$G,'capacity data'!$E:$E,"PO",'capacity data'!$B:$B,P66))-SUMIFS('capacity data'!$H:$H,'capacity data'!$E:$E,"PO",'capacity data'!$B:$B,P66))/SUMIFS('capacity data'!$G:$G,'capacity data'!$E:$E,"PO",'capacity data'!$B:$B,P66),"")</f>
        <v/>
      </c>
      <c r="R66" s="222" t="str">
        <f>IFERROR(SUM((SUMIFS('capacity data'!$G:$G,'capacity data'!$E:$E,"PSO",'capacity data'!$B:$B,P66))-SUMIFS('capacity data'!$H:$H,'capacity data'!$E:$E,"PSO",'capacity data'!$B:$B,P66))/SUMIFS('capacity data'!$G:$G,'capacity data'!$E:$E,"PSO",'capacity data'!$B:$B,P66),"")</f>
        <v/>
      </c>
      <c r="S66" s="22" t="str">
        <f t="shared" si="0"/>
        <v/>
      </c>
      <c r="T66" s="223" t="str">
        <f>IFERROR(SUMIFS('capacity data'!$L:$L,'capacity data'!$B:$B,P66,'capacity data'!$E:$E,"PSO")/SUMIFS('capacity data'!$G:$G,'capacity data'!$E:$E,"PSO",'capacity data'!$B:$B,P66),"")</f>
        <v/>
      </c>
      <c r="U66" s="223" t="str">
        <f>IFERROR(SUMIFS('capacity data'!$L:$L,'capacity data'!$B:$B,P66,'capacity data'!$E:$E,"TPO")/SUMIFS('capacity data'!$G:$G,'capacity data'!$E:$E,"TPO",'capacity data'!$B:$B,P66),"")</f>
        <v/>
      </c>
    </row>
    <row r="67" spans="15:21" ht="16" x14ac:dyDescent="0.2">
      <c r="O67" s="23" t="s">
        <v>22</v>
      </c>
      <c r="P67" t="s">
        <v>121</v>
      </c>
      <c r="Q67" s="222" t="str">
        <f>IFERROR(SUM((SUMIFS('capacity data'!$G:$G,'capacity data'!$E:$E,"PO",'capacity data'!$B:$B,P67))-SUMIFS('capacity data'!$H:$H,'capacity data'!$E:$E,"PO",'capacity data'!$B:$B,P67))/SUMIFS('capacity data'!$G:$G,'capacity data'!$E:$E,"PO",'capacity data'!$B:$B,P67),"")</f>
        <v/>
      </c>
      <c r="R67" s="222" t="str">
        <f>IFERROR(SUM((SUMIFS('capacity data'!$G:$G,'capacity data'!$E:$E,"PSO",'capacity data'!$B:$B,P67))-SUMIFS('capacity data'!$H:$H,'capacity data'!$E:$E,"PSO",'capacity data'!$B:$B,P67))/SUMIFS('capacity data'!$G:$G,'capacity data'!$E:$E,"PSO",'capacity data'!$B:$B,P67),"")</f>
        <v/>
      </c>
      <c r="S67" s="22" t="str">
        <f t="shared" ref="S67:S130" si="1">IFERROR((Q67-R67),"")</f>
        <v/>
      </c>
      <c r="T67" s="223" t="str">
        <f>IFERROR(SUMIFS('capacity data'!$L:$L,'capacity data'!$B:$B,P67,'capacity data'!$E:$E,"PSO")/SUMIFS('capacity data'!$G:$G,'capacity data'!$E:$E,"PSO",'capacity data'!$B:$B,P67),"")</f>
        <v/>
      </c>
      <c r="U67" s="223" t="str">
        <f>IFERROR(SUMIFS('capacity data'!$L:$L,'capacity data'!$B:$B,P67,'capacity data'!$E:$E,"TPO")/SUMIFS('capacity data'!$G:$G,'capacity data'!$E:$E,"TPO",'capacity data'!$B:$B,P67),"")</f>
        <v/>
      </c>
    </row>
    <row r="68" spans="15:21" ht="16" x14ac:dyDescent="0.2">
      <c r="O68" s="23" t="s">
        <v>22</v>
      </c>
      <c r="P68" t="s">
        <v>142</v>
      </c>
      <c r="Q68" s="222" t="str">
        <f>IFERROR(SUM((SUMIFS('capacity data'!$G:$G,'capacity data'!$E:$E,"PO",'capacity data'!$B:$B,P68))-SUMIFS('capacity data'!$H:$H,'capacity data'!$E:$E,"PO",'capacity data'!$B:$B,P68))/SUMIFS('capacity data'!$G:$G,'capacity data'!$E:$E,"PO",'capacity data'!$B:$B,P68),"")</f>
        <v/>
      </c>
      <c r="R68" s="222" t="str">
        <f>IFERROR(SUM((SUMIFS('capacity data'!$G:$G,'capacity data'!$E:$E,"PSO",'capacity data'!$B:$B,P68))-SUMIFS('capacity data'!$H:$H,'capacity data'!$E:$E,"PSO",'capacity data'!$B:$B,P68))/SUMIFS('capacity data'!$G:$G,'capacity data'!$E:$E,"PSO",'capacity data'!$B:$B,P68),"")</f>
        <v/>
      </c>
      <c r="S68" s="22" t="str">
        <f t="shared" si="1"/>
        <v/>
      </c>
      <c r="T68" s="223" t="str">
        <f>IFERROR(SUMIFS('capacity data'!$L:$L,'capacity data'!$B:$B,P68,'capacity data'!$E:$E,"PSO")/SUMIFS('capacity data'!$G:$G,'capacity data'!$E:$E,"PSO",'capacity data'!$B:$B,P68),"")</f>
        <v/>
      </c>
      <c r="U68" s="223" t="str">
        <f>IFERROR(SUMIFS('capacity data'!$L:$L,'capacity data'!$B:$B,P68,'capacity data'!$E:$E,"TPO")/SUMIFS('capacity data'!$G:$G,'capacity data'!$E:$E,"TPO",'capacity data'!$B:$B,P68),"")</f>
        <v/>
      </c>
    </row>
    <row r="69" spans="15:21" ht="16" x14ac:dyDescent="0.2">
      <c r="O69" s="23" t="s">
        <v>22</v>
      </c>
      <c r="P69" t="s">
        <v>163</v>
      </c>
      <c r="Q69" s="222" t="str">
        <f>IFERROR(SUM((SUMIFS('capacity data'!$G:$G,'capacity data'!$E:$E,"PO",'capacity data'!$B:$B,P69))-SUMIFS('capacity data'!$H:$H,'capacity data'!$E:$E,"PO",'capacity data'!$B:$B,P69))/SUMIFS('capacity data'!$G:$G,'capacity data'!$E:$E,"PO",'capacity data'!$B:$B,P69),"")</f>
        <v/>
      </c>
      <c r="R69" s="222" t="str">
        <f>IFERROR(SUM((SUMIFS('capacity data'!$G:$G,'capacity data'!$E:$E,"PSO",'capacity data'!$B:$B,P69))-SUMIFS('capacity data'!$H:$H,'capacity data'!$E:$E,"PSO",'capacity data'!$B:$B,P69))/SUMIFS('capacity data'!$G:$G,'capacity data'!$E:$E,"PSO",'capacity data'!$B:$B,P69),"")</f>
        <v/>
      </c>
      <c r="S69" s="22" t="str">
        <f t="shared" si="1"/>
        <v/>
      </c>
      <c r="T69" s="223" t="str">
        <f>IFERROR(SUMIFS('capacity data'!$L:$L,'capacity data'!$B:$B,P69,'capacity data'!$E:$E,"PSO")/SUMIFS('capacity data'!$G:$G,'capacity data'!$E:$E,"PSO",'capacity data'!$B:$B,P69),"")</f>
        <v/>
      </c>
      <c r="U69" s="223" t="str">
        <f>IFERROR(SUMIFS('capacity data'!$L:$L,'capacity data'!$B:$B,P69,'capacity data'!$E:$E,"TPO")/SUMIFS('capacity data'!$G:$G,'capacity data'!$E:$E,"TPO",'capacity data'!$B:$B,P69),"")</f>
        <v/>
      </c>
    </row>
    <row r="70" spans="15:21" ht="16" x14ac:dyDescent="0.2">
      <c r="O70" s="23" t="s">
        <v>22</v>
      </c>
      <c r="P70" t="s">
        <v>183</v>
      </c>
      <c r="Q70" s="222" t="str">
        <f>IFERROR(SUM((SUMIFS('capacity data'!$G:$G,'capacity data'!$E:$E,"PO",'capacity data'!$B:$B,P70))-SUMIFS('capacity data'!$H:$H,'capacity data'!$E:$E,"PO",'capacity data'!$B:$B,P70))/SUMIFS('capacity data'!$G:$G,'capacity data'!$E:$E,"PO",'capacity data'!$B:$B,P70),"")</f>
        <v/>
      </c>
      <c r="R70" s="222" t="str">
        <f>IFERROR(SUM((SUMIFS('capacity data'!$G:$G,'capacity data'!$E:$E,"PSO",'capacity data'!$B:$B,P70))-SUMIFS('capacity data'!$H:$H,'capacity data'!$E:$E,"PSO",'capacity data'!$B:$B,P70))/SUMIFS('capacity data'!$G:$G,'capacity data'!$E:$E,"PSO",'capacity data'!$B:$B,P70),"")</f>
        <v/>
      </c>
      <c r="S70" s="22" t="str">
        <f t="shared" si="1"/>
        <v/>
      </c>
      <c r="T70" s="223" t="str">
        <f>IFERROR(SUMIFS('capacity data'!$L:$L,'capacity data'!$B:$B,P70,'capacity data'!$E:$E,"PSO")/SUMIFS('capacity data'!$G:$G,'capacity data'!$E:$E,"PSO",'capacity data'!$B:$B,P70),"")</f>
        <v/>
      </c>
      <c r="U70" s="223" t="str">
        <f>IFERROR(SUMIFS('capacity data'!$L:$L,'capacity data'!$B:$B,P70,'capacity data'!$E:$E,"TPO")/SUMIFS('capacity data'!$G:$G,'capacity data'!$E:$E,"TPO",'capacity data'!$B:$B,P70),"")</f>
        <v/>
      </c>
    </row>
    <row r="71" spans="15:21" ht="16" x14ac:dyDescent="0.2">
      <c r="O71" s="23" t="s">
        <v>22</v>
      </c>
      <c r="P71" t="s">
        <v>203</v>
      </c>
      <c r="Q71" s="222" t="str">
        <f>IFERROR(SUM((SUMIFS('capacity data'!$G:$G,'capacity data'!$E:$E,"PO",'capacity data'!$B:$B,P71))-SUMIFS('capacity data'!$H:$H,'capacity data'!$E:$E,"PO",'capacity data'!$B:$B,P71))/SUMIFS('capacity data'!$G:$G,'capacity data'!$E:$E,"PO",'capacity data'!$B:$B,P71),"")</f>
        <v/>
      </c>
      <c r="R71" s="222" t="str">
        <f>IFERROR(SUM((SUMIFS('capacity data'!$G:$G,'capacity data'!$E:$E,"PSO",'capacity data'!$B:$B,P71))-SUMIFS('capacity data'!$H:$H,'capacity data'!$E:$E,"PSO",'capacity data'!$B:$B,P71))/SUMIFS('capacity data'!$G:$G,'capacity data'!$E:$E,"PSO",'capacity data'!$B:$B,P71),"")</f>
        <v/>
      </c>
      <c r="S71" s="22" t="str">
        <f t="shared" si="1"/>
        <v/>
      </c>
      <c r="T71" s="223" t="str">
        <f>IFERROR(SUMIFS('capacity data'!$L:$L,'capacity data'!$B:$B,P71,'capacity data'!$E:$E,"PSO")/SUMIFS('capacity data'!$G:$G,'capacity data'!$E:$E,"PSO",'capacity data'!$B:$B,P71),"")</f>
        <v/>
      </c>
      <c r="U71" s="223" t="str">
        <f>IFERROR(SUMIFS('capacity data'!$L:$L,'capacity data'!$B:$B,P71,'capacity data'!$E:$E,"TPO")/SUMIFS('capacity data'!$G:$G,'capacity data'!$E:$E,"TPO",'capacity data'!$B:$B,P71),"")</f>
        <v/>
      </c>
    </row>
    <row r="72" spans="15:21" ht="16" x14ac:dyDescent="0.2">
      <c r="O72" s="23" t="s">
        <v>22</v>
      </c>
      <c r="P72" t="s">
        <v>221</v>
      </c>
      <c r="Q72" s="222" t="str">
        <f>IFERROR(SUM((SUMIFS('capacity data'!$G:$G,'capacity data'!$E:$E,"PO",'capacity data'!$B:$B,P72))-SUMIFS('capacity data'!$H:$H,'capacity data'!$E:$E,"PO",'capacity data'!$B:$B,P72))/SUMIFS('capacity data'!$G:$G,'capacity data'!$E:$E,"PO",'capacity data'!$B:$B,P72),"")</f>
        <v/>
      </c>
      <c r="R72" s="222" t="str">
        <f>IFERROR(SUM((SUMIFS('capacity data'!$G:$G,'capacity data'!$E:$E,"PSO",'capacity data'!$B:$B,P72))-SUMIFS('capacity data'!$H:$H,'capacity data'!$E:$E,"PSO",'capacity data'!$B:$B,P72))/SUMIFS('capacity data'!$G:$G,'capacity data'!$E:$E,"PSO",'capacity data'!$B:$B,P72),"")</f>
        <v/>
      </c>
      <c r="S72" s="22" t="str">
        <f t="shared" si="1"/>
        <v/>
      </c>
      <c r="T72" s="223" t="str">
        <f>IFERROR(SUMIFS('capacity data'!$L:$L,'capacity data'!$B:$B,P72,'capacity data'!$E:$E,"PSO")/SUMIFS('capacity data'!$G:$G,'capacity data'!$E:$E,"PSO",'capacity data'!$B:$B,P72),"")</f>
        <v/>
      </c>
      <c r="U72" s="223" t="str">
        <f>IFERROR(SUMIFS('capacity data'!$L:$L,'capacity data'!$B:$B,P72,'capacity data'!$E:$E,"TPO")/SUMIFS('capacity data'!$G:$G,'capacity data'!$E:$E,"TPO",'capacity data'!$B:$B,P72),"")</f>
        <v/>
      </c>
    </row>
    <row r="73" spans="15:21" ht="16" x14ac:dyDescent="0.2">
      <c r="O73" s="23" t="s">
        <v>22</v>
      </c>
      <c r="P73" t="s">
        <v>239</v>
      </c>
      <c r="Q73" s="222" t="str">
        <f>IFERROR(SUM((SUMIFS('capacity data'!$G:$G,'capacity data'!$E:$E,"PO",'capacity data'!$B:$B,P73))-SUMIFS('capacity data'!$H:$H,'capacity data'!$E:$E,"PO",'capacity data'!$B:$B,P73))/SUMIFS('capacity data'!$G:$G,'capacity data'!$E:$E,"PO",'capacity data'!$B:$B,P73),"")</f>
        <v/>
      </c>
      <c r="R73" s="222" t="str">
        <f>IFERROR(SUM((SUMIFS('capacity data'!$G:$G,'capacity data'!$E:$E,"PSO",'capacity data'!$B:$B,P73))-SUMIFS('capacity data'!$H:$H,'capacity data'!$E:$E,"PSO",'capacity data'!$B:$B,P73))/SUMIFS('capacity data'!$G:$G,'capacity data'!$E:$E,"PSO",'capacity data'!$B:$B,P73),"")</f>
        <v/>
      </c>
      <c r="S73" s="22" t="str">
        <f t="shared" si="1"/>
        <v/>
      </c>
      <c r="T73" s="223" t="str">
        <f>IFERROR(SUMIFS('capacity data'!$L:$L,'capacity data'!$B:$B,P73,'capacity data'!$E:$E,"PSO")/SUMIFS('capacity data'!$G:$G,'capacity data'!$E:$E,"PSO",'capacity data'!$B:$B,P73),"")</f>
        <v/>
      </c>
      <c r="U73" s="223" t="str">
        <f>IFERROR(SUMIFS('capacity data'!$L:$L,'capacity data'!$B:$B,P73,'capacity data'!$E:$E,"TPO")/SUMIFS('capacity data'!$G:$G,'capacity data'!$E:$E,"TPO",'capacity data'!$B:$B,P73),"")</f>
        <v/>
      </c>
    </row>
    <row r="74" spans="15:21" ht="16" x14ac:dyDescent="0.2">
      <c r="O74" s="23" t="s">
        <v>23</v>
      </c>
      <c r="P74" t="s">
        <v>35</v>
      </c>
      <c r="Q74" s="222" t="str">
        <f>IFERROR(SUM((SUMIFS('capacity data'!$G:$G,'capacity data'!$E:$E,"PO",'capacity data'!$B:$B,P74))-SUMIFS('capacity data'!$H:$H,'capacity data'!$E:$E,"PO",'capacity data'!$B:$B,P74))/SUMIFS('capacity data'!$G:$G,'capacity data'!$E:$E,"PO",'capacity data'!$B:$B,P74),"")</f>
        <v/>
      </c>
      <c r="R74" s="222" t="str">
        <f>IFERROR(SUM((SUMIFS('capacity data'!$G:$G,'capacity data'!$E:$E,"PSO",'capacity data'!$B:$B,P74))-SUMIFS('capacity data'!$H:$H,'capacity data'!$E:$E,"PSO",'capacity data'!$B:$B,P74))/SUMIFS('capacity data'!$G:$G,'capacity data'!$E:$E,"PSO",'capacity data'!$B:$B,P74),"")</f>
        <v/>
      </c>
      <c r="S74" s="22" t="str">
        <f t="shared" si="1"/>
        <v/>
      </c>
      <c r="T74" s="223" t="str">
        <f>IFERROR(SUMIFS('capacity data'!$L:$L,'capacity data'!$B:$B,P74,'capacity data'!$E:$E,"PSO")/SUMIFS('capacity data'!$G:$G,'capacity data'!$E:$E,"PSO",'capacity data'!$B:$B,P74),"")</f>
        <v/>
      </c>
      <c r="U74" s="223" t="str">
        <f>IFERROR(SUMIFS('capacity data'!$L:$L,'capacity data'!$B:$B,P74,'capacity data'!$E:$E,"TPO")/SUMIFS('capacity data'!$G:$G,'capacity data'!$E:$E,"TPO",'capacity data'!$B:$B,P74),"")</f>
        <v/>
      </c>
    </row>
    <row r="75" spans="15:21" ht="16" x14ac:dyDescent="0.2">
      <c r="O75" s="23" t="s">
        <v>23</v>
      </c>
      <c r="P75" t="s">
        <v>57</v>
      </c>
      <c r="Q75" s="222" t="str">
        <f>IFERROR(SUM((SUMIFS('capacity data'!$G:$G,'capacity data'!$E:$E,"PO",'capacity data'!$B:$B,P75))-SUMIFS('capacity data'!$H:$H,'capacity data'!$E:$E,"PO",'capacity data'!$B:$B,P75))/SUMIFS('capacity data'!$G:$G,'capacity data'!$E:$E,"PO",'capacity data'!$B:$B,P75),"")</f>
        <v/>
      </c>
      <c r="R75" s="222" t="str">
        <f>IFERROR(SUM((SUMIFS('capacity data'!$G:$G,'capacity data'!$E:$E,"PSO",'capacity data'!$B:$B,P75))-SUMIFS('capacity data'!$H:$H,'capacity data'!$E:$E,"PSO",'capacity data'!$B:$B,P75))/SUMIFS('capacity data'!$G:$G,'capacity data'!$E:$E,"PSO",'capacity data'!$B:$B,P75),"")</f>
        <v/>
      </c>
      <c r="S75" s="22" t="str">
        <f t="shared" si="1"/>
        <v/>
      </c>
      <c r="T75" s="223" t="str">
        <f>IFERROR(SUMIFS('capacity data'!$L:$L,'capacity data'!$B:$B,P75,'capacity data'!$E:$E,"PSO")/SUMIFS('capacity data'!$G:$G,'capacity data'!$E:$E,"PSO",'capacity data'!$B:$B,P75),"")</f>
        <v/>
      </c>
      <c r="U75" s="223" t="str">
        <f>IFERROR(SUMIFS('capacity data'!$L:$L,'capacity data'!$B:$B,P75,'capacity data'!$E:$E,"TPO")/SUMIFS('capacity data'!$G:$G,'capacity data'!$E:$E,"TPO",'capacity data'!$B:$B,P75),"")</f>
        <v/>
      </c>
    </row>
    <row r="76" spans="15:21" ht="16" x14ac:dyDescent="0.2">
      <c r="O76" s="23" t="s">
        <v>23</v>
      </c>
      <c r="P76" t="s">
        <v>78</v>
      </c>
      <c r="Q76" s="222" t="str">
        <f>IFERROR(SUM((SUMIFS('capacity data'!$G:$G,'capacity data'!$E:$E,"PO",'capacity data'!$B:$B,P76))-SUMIFS('capacity data'!$H:$H,'capacity data'!$E:$E,"PO",'capacity data'!$B:$B,P76))/SUMIFS('capacity data'!$G:$G,'capacity data'!$E:$E,"PO",'capacity data'!$B:$B,P76),"")</f>
        <v/>
      </c>
      <c r="R76" s="222" t="str">
        <f>IFERROR(SUM((SUMIFS('capacity data'!$G:$G,'capacity data'!$E:$E,"PSO",'capacity data'!$B:$B,P76))-SUMIFS('capacity data'!$H:$H,'capacity data'!$E:$E,"PSO",'capacity data'!$B:$B,P76))/SUMIFS('capacity data'!$G:$G,'capacity data'!$E:$E,"PSO",'capacity data'!$B:$B,P76),"")</f>
        <v/>
      </c>
      <c r="S76" s="22" t="str">
        <f t="shared" si="1"/>
        <v/>
      </c>
      <c r="T76" s="223" t="str">
        <f>IFERROR(SUMIFS('capacity data'!$L:$L,'capacity data'!$B:$B,P76,'capacity data'!$E:$E,"PSO")/SUMIFS('capacity data'!$G:$G,'capacity data'!$E:$E,"PSO",'capacity data'!$B:$B,P76),"")</f>
        <v/>
      </c>
      <c r="U76" s="223" t="str">
        <f>IFERROR(SUMIFS('capacity data'!$L:$L,'capacity data'!$B:$B,P76,'capacity data'!$E:$E,"TPO")/SUMIFS('capacity data'!$G:$G,'capacity data'!$E:$E,"TPO",'capacity data'!$B:$B,P76),"")</f>
        <v/>
      </c>
    </row>
    <row r="77" spans="15:21" ht="16" x14ac:dyDescent="0.2">
      <c r="O77" s="23" t="s">
        <v>23</v>
      </c>
      <c r="P77" t="s">
        <v>100</v>
      </c>
      <c r="Q77" s="222" t="str">
        <f>IFERROR(SUM((SUMIFS('capacity data'!$G:$G,'capacity data'!$E:$E,"PO",'capacity data'!$B:$B,P77))-SUMIFS('capacity data'!$H:$H,'capacity data'!$E:$E,"PO",'capacity data'!$B:$B,P77))/SUMIFS('capacity data'!$G:$G,'capacity data'!$E:$E,"PO",'capacity data'!$B:$B,P77),"")</f>
        <v/>
      </c>
      <c r="R77" s="222" t="str">
        <f>IFERROR(SUM((SUMIFS('capacity data'!$G:$G,'capacity data'!$E:$E,"PSO",'capacity data'!$B:$B,P77))-SUMIFS('capacity data'!$H:$H,'capacity data'!$E:$E,"PSO",'capacity data'!$B:$B,P77))/SUMIFS('capacity data'!$G:$G,'capacity data'!$E:$E,"PSO",'capacity data'!$B:$B,P77),"")</f>
        <v/>
      </c>
      <c r="S77" s="22" t="str">
        <f t="shared" si="1"/>
        <v/>
      </c>
      <c r="T77" s="223" t="str">
        <f>IFERROR(SUMIFS('capacity data'!$L:$L,'capacity data'!$B:$B,P77,'capacity data'!$E:$E,"PSO")/SUMIFS('capacity data'!$G:$G,'capacity data'!$E:$E,"PSO",'capacity data'!$B:$B,P77),"")</f>
        <v/>
      </c>
      <c r="U77" s="223" t="str">
        <f>IFERROR(SUMIFS('capacity data'!$L:$L,'capacity data'!$B:$B,P77,'capacity data'!$E:$E,"TPO")/SUMIFS('capacity data'!$G:$G,'capacity data'!$E:$E,"TPO",'capacity data'!$B:$B,P77),"")</f>
        <v/>
      </c>
    </row>
    <row r="78" spans="15:21" ht="16" x14ac:dyDescent="0.2">
      <c r="O78" s="23" t="s">
        <v>23</v>
      </c>
      <c r="P78" t="s">
        <v>122</v>
      </c>
      <c r="Q78" s="222" t="str">
        <f>IFERROR(SUM((SUMIFS('capacity data'!$G:$G,'capacity data'!$E:$E,"PO",'capacity data'!$B:$B,P78))-SUMIFS('capacity data'!$H:$H,'capacity data'!$E:$E,"PO",'capacity data'!$B:$B,P78))/SUMIFS('capacity data'!$G:$G,'capacity data'!$E:$E,"PO",'capacity data'!$B:$B,P78),"")</f>
        <v/>
      </c>
      <c r="R78" s="222" t="str">
        <f>IFERROR(SUM((SUMIFS('capacity data'!$G:$G,'capacity data'!$E:$E,"PSO",'capacity data'!$B:$B,P78))-SUMIFS('capacity data'!$H:$H,'capacity data'!$E:$E,"PSO",'capacity data'!$B:$B,P78))/SUMIFS('capacity data'!$G:$G,'capacity data'!$E:$E,"PSO",'capacity data'!$B:$B,P78),"")</f>
        <v/>
      </c>
      <c r="S78" s="22" t="str">
        <f t="shared" si="1"/>
        <v/>
      </c>
      <c r="T78" s="223" t="str">
        <f>IFERROR(SUMIFS('capacity data'!$L:$L,'capacity data'!$B:$B,P78,'capacity data'!$E:$E,"PSO")/SUMIFS('capacity data'!$G:$G,'capacity data'!$E:$E,"PSO",'capacity data'!$B:$B,P78),"")</f>
        <v/>
      </c>
      <c r="U78" s="223" t="str">
        <f>IFERROR(SUMIFS('capacity data'!$L:$L,'capacity data'!$B:$B,P78,'capacity data'!$E:$E,"TPO")/SUMIFS('capacity data'!$G:$G,'capacity data'!$E:$E,"TPO",'capacity data'!$B:$B,P78),"")</f>
        <v/>
      </c>
    </row>
    <row r="79" spans="15:21" ht="16" x14ac:dyDescent="0.2">
      <c r="O79" s="23" t="s">
        <v>23</v>
      </c>
      <c r="P79" t="s">
        <v>143</v>
      </c>
      <c r="Q79" s="222" t="str">
        <f>IFERROR(SUM((SUMIFS('capacity data'!$G:$G,'capacity data'!$E:$E,"PO",'capacity data'!$B:$B,P79))-SUMIFS('capacity data'!$H:$H,'capacity data'!$E:$E,"PO",'capacity data'!$B:$B,P79))/SUMIFS('capacity data'!$G:$G,'capacity data'!$E:$E,"PO",'capacity data'!$B:$B,P79),"")</f>
        <v/>
      </c>
      <c r="R79" s="222" t="str">
        <f>IFERROR(SUM((SUMIFS('capacity data'!$G:$G,'capacity data'!$E:$E,"PSO",'capacity data'!$B:$B,P79))-SUMIFS('capacity data'!$H:$H,'capacity data'!$E:$E,"PSO",'capacity data'!$B:$B,P79))/SUMIFS('capacity data'!$G:$G,'capacity data'!$E:$E,"PSO",'capacity data'!$B:$B,P79),"")</f>
        <v/>
      </c>
      <c r="S79" s="22" t="str">
        <f t="shared" si="1"/>
        <v/>
      </c>
      <c r="T79" s="223" t="str">
        <f>IFERROR(SUMIFS('capacity data'!$L:$L,'capacity data'!$B:$B,P79,'capacity data'!$E:$E,"PSO")/SUMIFS('capacity data'!$G:$G,'capacity data'!$E:$E,"PSO",'capacity data'!$B:$B,P79),"")</f>
        <v/>
      </c>
      <c r="U79" s="223" t="str">
        <f>IFERROR(SUMIFS('capacity data'!$L:$L,'capacity data'!$B:$B,P79,'capacity data'!$E:$E,"TPO")/SUMIFS('capacity data'!$G:$G,'capacity data'!$E:$E,"TPO",'capacity data'!$B:$B,P79),"")</f>
        <v/>
      </c>
    </row>
    <row r="80" spans="15:21" ht="16" x14ac:dyDescent="0.2">
      <c r="O80" s="23" t="s">
        <v>23</v>
      </c>
      <c r="P80" t="s">
        <v>164</v>
      </c>
      <c r="Q80" s="222" t="str">
        <f>IFERROR(SUM((SUMIFS('capacity data'!$G:$G,'capacity data'!$E:$E,"PO",'capacity data'!$B:$B,P80))-SUMIFS('capacity data'!$H:$H,'capacity data'!$E:$E,"PO",'capacity data'!$B:$B,P80))/SUMIFS('capacity data'!$G:$G,'capacity data'!$E:$E,"PO",'capacity data'!$B:$B,P80),"")</f>
        <v/>
      </c>
      <c r="R80" s="222" t="str">
        <f>IFERROR(SUM((SUMIFS('capacity data'!$G:$G,'capacity data'!$E:$E,"PSO",'capacity data'!$B:$B,P80))-SUMIFS('capacity data'!$H:$H,'capacity data'!$E:$E,"PSO",'capacity data'!$B:$B,P80))/SUMIFS('capacity data'!$G:$G,'capacity data'!$E:$E,"PSO",'capacity data'!$B:$B,P80),"")</f>
        <v/>
      </c>
      <c r="S80" s="22" t="str">
        <f t="shared" si="1"/>
        <v/>
      </c>
      <c r="T80" s="223" t="str">
        <f>IFERROR(SUMIFS('capacity data'!$L:$L,'capacity data'!$B:$B,P80,'capacity data'!$E:$E,"PSO")/SUMIFS('capacity data'!$G:$G,'capacity data'!$E:$E,"PSO",'capacity data'!$B:$B,P80),"")</f>
        <v/>
      </c>
      <c r="U80" s="223" t="str">
        <f>IFERROR(SUMIFS('capacity data'!$L:$L,'capacity data'!$B:$B,P80,'capacity data'!$E:$E,"TPO")/SUMIFS('capacity data'!$G:$G,'capacity data'!$E:$E,"TPO",'capacity data'!$B:$B,P80),"")</f>
        <v/>
      </c>
    </row>
    <row r="81" spans="15:21" ht="16" x14ac:dyDescent="0.2">
      <c r="O81" s="23" t="s">
        <v>23</v>
      </c>
      <c r="P81" t="s">
        <v>184</v>
      </c>
      <c r="Q81" s="222" t="str">
        <f>IFERROR(SUM((SUMIFS('capacity data'!$G:$G,'capacity data'!$E:$E,"PO",'capacity data'!$B:$B,P81))-SUMIFS('capacity data'!$H:$H,'capacity data'!$E:$E,"PO",'capacity data'!$B:$B,P81))/SUMIFS('capacity data'!$G:$G,'capacity data'!$E:$E,"PO",'capacity data'!$B:$B,P81),"")</f>
        <v/>
      </c>
      <c r="R81" s="222" t="str">
        <f>IFERROR(SUM((SUMIFS('capacity data'!$G:$G,'capacity data'!$E:$E,"PSO",'capacity data'!$B:$B,P81))-SUMIFS('capacity data'!$H:$H,'capacity data'!$E:$E,"PSO",'capacity data'!$B:$B,P81))/SUMIFS('capacity data'!$G:$G,'capacity data'!$E:$E,"PSO",'capacity data'!$B:$B,P81),"")</f>
        <v/>
      </c>
      <c r="S81" s="22" t="str">
        <f t="shared" si="1"/>
        <v/>
      </c>
      <c r="T81" s="223" t="str">
        <f>IFERROR(SUMIFS('capacity data'!$L:$L,'capacity data'!$B:$B,P81,'capacity data'!$E:$E,"PSO")/SUMIFS('capacity data'!$G:$G,'capacity data'!$E:$E,"PSO",'capacity data'!$B:$B,P81),"")</f>
        <v/>
      </c>
      <c r="U81" s="223" t="str">
        <f>IFERROR(SUMIFS('capacity data'!$L:$L,'capacity data'!$B:$B,P81,'capacity data'!$E:$E,"TPO")/SUMIFS('capacity data'!$G:$G,'capacity data'!$E:$E,"TPO",'capacity data'!$B:$B,P81),"")</f>
        <v/>
      </c>
    </row>
    <row r="82" spans="15:21" ht="16" x14ac:dyDescent="0.2">
      <c r="O82" s="23" t="s">
        <v>23</v>
      </c>
      <c r="P82" t="s">
        <v>204</v>
      </c>
      <c r="Q82" s="222" t="str">
        <f>IFERROR(SUM((SUMIFS('capacity data'!$G:$G,'capacity data'!$E:$E,"PO",'capacity data'!$B:$B,P82))-SUMIFS('capacity data'!$H:$H,'capacity data'!$E:$E,"PO",'capacity data'!$B:$B,P82))/SUMIFS('capacity data'!$G:$G,'capacity data'!$E:$E,"PO",'capacity data'!$B:$B,P82),"")</f>
        <v/>
      </c>
      <c r="R82" s="222" t="str">
        <f>IFERROR(SUM((SUMIFS('capacity data'!$G:$G,'capacity data'!$E:$E,"PSO",'capacity data'!$B:$B,P82))-SUMIFS('capacity data'!$H:$H,'capacity data'!$E:$E,"PSO",'capacity data'!$B:$B,P82))/SUMIFS('capacity data'!$G:$G,'capacity data'!$E:$E,"PSO",'capacity data'!$B:$B,P82),"")</f>
        <v/>
      </c>
      <c r="S82" s="22" t="str">
        <f t="shared" si="1"/>
        <v/>
      </c>
      <c r="T82" s="223" t="str">
        <f>IFERROR(SUMIFS('capacity data'!$L:$L,'capacity data'!$B:$B,P82,'capacity data'!$E:$E,"PSO")/SUMIFS('capacity data'!$G:$G,'capacity data'!$E:$E,"PSO",'capacity data'!$B:$B,P82),"")</f>
        <v/>
      </c>
      <c r="U82" s="223" t="str">
        <f>IFERROR(SUMIFS('capacity data'!$L:$L,'capacity data'!$B:$B,P82,'capacity data'!$E:$E,"TPO")/SUMIFS('capacity data'!$G:$G,'capacity data'!$E:$E,"TPO",'capacity data'!$B:$B,P82),"")</f>
        <v/>
      </c>
    </row>
    <row r="83" spans="15:21" ht="16" x14ac:dyDescent="0.2">
      <c r="O83" s="23" t="s">
        <v>23</v>
      </c>
      <c r="P83" t="s">
        <v>222</v>
      </c>
      <c r="Q83" s="222" t="str">
        <f>IFERROR(SUM((SUMIFS('capacity data'!$G:$G,'capacity data'!$E:$E,"PO",'capacity data'!$B:$B,P83))-SUMIFS('capacity data'!$H:$H,'capacity data'!$E:$E,"PO",'capacity data'!$B:$B,P83))/SUMIFS('capacity data'!$G:$G,'capacity data'!$E:$E,"PO",'capacity data'!$B:$B,P83),"")</f>
        <v/>
      </c>
      <c r="R83" s="222" t="str">
        <f>IFERROR(SUM((SUMIFS('capacity data'!$G:$G,'capacity data'!$E:$E,"PSO",'capacity data'!$B:$B,P83))-SUMIFS('capacity data'!$H:$H,'capacity data'!$E:$E,"PSO",'capacity data'!$B:$B,P83))/SUMIFS('capacity data'!$G:$G,'capacity data'!$E:$E,"PSO",'capacity data'!$B:$B,P83),"")</f>
        <v/>
      </c>
      <c r="S83" s="22" t="str">
        <f t="shared" si="1"/>
        <v/>
      </c>
      <c r="T83" s="223" t="str">
        <f>IFERROR(SUMIFS('capacity data'!$L:$L,'capacity data'!$B:$B,P83,'capacity data'!$E:$E,"PSO")/SUMIFS('capacity data'!$G:$G,'capacity data'!$E:$E,"PSO",'capacity data'!$B:$B,P83),"")</f>
        <v/>
      </c>
      <c r="U83" s="223" t="str">
        <f>IFERROR(SUMIFS('capacity data'!$L:$L,'capacity data'!$B:$B,P83,'capacity data'!$E:$E,"TPO")/SUMIFS('capacity data'!$G:$G,'capacity data'!$E:$E,"TPO",'capacity data'!$B:$B,P83),"")</f>
        <v/>
      </c>
    </row>
    <row r="84" spans="15:21" ht="16" x14ac:dyDescent="0.2">
      <c r="O84" s="23" t="s">
        <v>23</v>
      </c>
      <c r="P84" t="s">
        <v>240</v>
      </c>
      <c r="Q84" s="222" t="str">
        <f>IFERROR(SUM((SUMIFS('capacity data'!$G:$G,'capacity data'!$E:$E,"PO",'capacity data'!$B:$B,P84))-SUMIFS('capacity data'!$H:$H,'capacity data'!$E:$E,"PO",'capacity data'!$B:$B,P84))/SUMIFS('capacity data'!$G:$G,'capacity data'!$E:$E,"PO",'capacity data'!$B:$B,P84),"")</f>
        <v/>
      </c>
      <c r="R84" s="222" t="str">
        <f>IFERROR(SUM((SUMIFS('capacity data'!$G:$G,'capacity data'!$E:$E,"PSO",'capacity data'!$B:$B,P84))-SUMIFS('capacity data'!$H:$H,'capacity data'!$E:$E,"PSO",'capacity data'!$B:$B,P84))/SUMIFS('capacity data'!$G:$G,'capacity data'!$E:$E,"PSO",'capacity data'!$B:$B,P84),"")</f>
        <v/>
      </c>
      <c r="S84" s="22" t="str">
        <f t="shared" si="1"/>
        <v/>
      </c>
      <c r="T84" s="223" t="str">
        <f>IFERROR(SUMIFS('capacity data'!$L:$L,'capacity data'!$B:$B,P84,'capacity data'!$E:$E,"PSO")/SUMIFS('capacity data'!$G:$G,'capacity data'!$E:$E,"PSO",'capacity data'!$B:$B,P84),"")</f>
        <v/>
      </c>
      <c r="U84" s="223" t="str">
        <f>IFERROR(SUMIFS('capacity data'!$L:$L,'capacity data'!$B:$B,P84,'capacity data'!$E:$E,"TPO")/SUMIFS('capacity data'!$G:$G,'capacity data'!$E:$E,"TPO",'capacity data'!$B:$B,P84),"")</f>
        <v/>
      </c>
    </row>
    <row r="85" spans="15:21" ht="16" x14ac:dyDescent="0.2">
      <c r="O85" s="23" t="s">
        <v>23</v>
      </c>
      <c r="P85" t="s">
        <v>256</v>
      </c>
      <c r="Q85" s="222" t="str">
        <f>IFERROR(SUM((SUMIFS('capacity data'!$G:$G,'capacity data'!$E:$E,"PO",'capacity data'!$B:$B,P85))-SUMIFS('capacity data'!$H:$H,'capacity data'!$E:$E,"PO",'capacity data'!$B:$B,P85))/SUMIFS('capacity data'!$G:$G,'capacity data'!$E:$E,"PO",'capacity data'!$B:$B,P85),"")</f>
        <v/>
      </c>
      <c r="R85" s="222" t="str">
        <f>IFERROR(SUM((SUMIFS('capacity data'!$G:$G,'capacity data'!$E:$E,"PSO",'capacity data'!$B:$B,P85))-SUMIFS('capacity data'!$H:$H,'capacity data'!$E:$E,"PSO",'capacity data'!$B:$B,P85))/SUMIFS('capacity data'!$G:$G,'capacity data'!$E:$E,"PSO",'capacity data'!$B:$B,P85),"")</f>
        <v/>
      </c>
      <c r="S85" s="22" t="str">
        <f t="shared" si="1"/>
        <v/>
      </c>
      <c r="T85" s="223" t="str">
        <f>IFERROR(SUMIFS('capacity data'!$L:$L,'capacity data'!$B:$B,P85,'capacity data'!$E:$E,"PSO")/SUMIFS('capacity data'!$G:$G,'capacity data'!$E:$E,"PSO",'capacity data'!$B:$B,P85),"")</f>
        <v/>
      </c>
      <c r="U85" s="223" t="str">
        <f>IFERROR(SUMIFS('capacity data'!$L:$L,'capacity data'!$B:$B,P85,'capacity data'!$E:$E,"TPO")/SUMIFS('capacity data'!$G:$G,'capacity data'!$E:$E,"TPO",'capacity data'!$B:$B,P85),"")</f>
        <v/>
      </c>
    </row>
    <row r="86" spans="15:21" ht="16" x14ac:dyDescent="0.2">
      <c r="O86" s="23" t="s">
        <v>23</v>
      </c>
      <c r="P86" t="s">
        <v>270</v>
      </c>
      <c r="Q86" s="222" t="str">
        <f>IFERROR(SUM((SUMIFS('capacity data'!$G:$G,'capacity data'!$E:$E,"PO",'capacity data'!$B:$B,P86))-SUMIFS('capacity data'!$H:$H,'capacity data'!$E:$E,"PO",'capacity data'!$B:$B,P86))/SUMIFS('capacity data'!$G:$G,'capacity data'!$E:$E,"PO",'capacity data'!$B:$B,P86),"")</f>
        <v/>
      </c>
      <c r="R86" s="222" t="str">
        <f>IFERROR(SUM((SUMIFS('capacity data'!$G:$G,'capacity data'!$E:$E,"PSO",'capacity data'!$B:$B,P86))-SUMIFS('capacity data'!$H:$H,'capacity data'!$E:$E,"PSO",'capacity data'!$B:$B,P86))/SUMIFS('capacity data'!$G:$G,'capacity data'!$E:$E,"PSO",'capacity data'!$B:$B,P86),"")</f>
        <v/>
      </c>
      <c r="S86" s="22" t="str">
        <f t="shared" si="1"/>
        <v/>
      </c>
      <c r="T86" s="223" t="str">
        <f>IFERROR(SUMIFS('capacity data'!$L:$L,'capacity data'!$B:$B,P86,'capacity data'!$E:$E,"PSO")/SUMIFS('capacity data'!$G:$G,'capacity data'!$E:$E,"PSO",'capacity data'!$B:$B,P86),"")</f>
        <v/>
      </c>
      <c r="U86" s="223" t="str">
        <f>IFERROR(SUMIFS('capacity data'!$L:$L,'capacity data'!$B:$B,P86,'capacity data'!$E:$E,"TPO")/SUMIFS('capacity data'!$G:$G,'capacity data'!$E:$E,"TPO",'capacity data'!$B:$B,P86),"")</f>
        <v/>
      </c>
    </row>
    <row r="87" spans="15:21" ht="16" x14ac:dyDescent="0.2">
      <c r="O87" s="23" t="s">
        <v>23</v>
      </c>
      <c r="P87" t="s">
        <v>285</v>
      </c>
      <c r="Q87" s="222" t="str">
        <f>IFERROR(SUM((SUMIFS('capacity data'!$G:$G,'capacity data'!$E:$E,"PO",'capacity data'!$B:$B,P87))-SUMIFS('capacity data'!$H:$H,'capacity data'!$E:$E,"PO",'capacity data'!$B:$B,P87))/SUMIFS('capacity data'!$G:$G,'capacity data'!$E:$E,"PO",'capacity data'!$B:$B,P87),"")</f>
        <v/>
      </c>
      <c r="R87" s="222" t="str">
        <f>IFERROR(SUM((SUMIFS('capacity data'!$G:$G,'capacity data'!$E:$E,"PSO",'capacity data'!$B:$B,P87))-SUMIFS('capacity data'!$H:$H,'capacity data'!$E:$E,"PSO",'capacity data'!$B:$B,P87))/SUMIFS('capacity data'!$G:$G,'capacity data'!$E:$E,"PSO",'capacity data'!$B:$B,P87),"")</f>
        <v/>
      </c>
      <c r="S87" s="22" t="str">
        <f t="shared" si="1"/>
        <v/>
      </c>
      <c r="T87" s="223" t="str">
        <f>IFERROR(SUMIFS('capacity data'!$L:$L,'capacity data'!$B:$B,P87,'capacity data'!$E:$E,"PSO")/SUMIFS('capacity data'!$G:$G,'capacity data'!$E:$E,"PSO",'capacity data'!$B:$B,P87),"")</f>
        <v/>
      </c>
      <c r="U87" s="223" t="str">
        <f>IFERROR(SUMIFS('capacity data'!$L:$L,'capacity data'!$B:$B,P87,'capacity data'!$E:$E,"TPO")/SUMIFS('capacity data'!$G:$G,'capacity data'!$E:$E,"TPO",'capacity data'!$B:$B,P87),"")</f>
        <v/>
      </c>
    </row>
    <row r="88" spans="15:21" ht="16" x14ac:dyDescent="0.2">
      <c r="O88" s="23" t="s">
        <v>23</v>
      </c>
      <c r="P88" t="s">
        <v>301</v>
      </c>
      <c r="Q88" s="222" t="str">
        <f>IFERROR(SUM((SUMIFS('capacity data'!$G:$G,'capacity data'!$E:$E,"PO",'capacity data'!$B:$B,P88))-SUMIFS('capacity data'!$H:$H,'capacity data'!$E:$E,"PO",'capacity data'!$B:$B,P88))/SUMIFS('capacity data'!$G:$G,'capacity data'!$E:$E,"PO",'capacity data'!$B:$B,P88),"")</f>
        <v/>
      </c>
      <c r="R88" s="222" t="str">
        <f>IFERROR(SUM((SUMIFS('capacity data'!$G:$G,'capacity data'!$E:$E,"PSO",'capacity data'!$B:$B,P88))-SUMIFS('capacity data'!$H:$H,'capacity data'!$E:$E,"PSO",'capacity data'!$B:$B,P88))/SUMIFS('capacity data'!$G:$G,'capacity data'!$E:$E,"PSO",'capacity data'!$B:$B,P88),"")</f>
        <v/>
      </c>
      <c r="S88" s="22" t="str">
        <f t="shared" si="1"/>
        <v/>
      </c>
      <c r="T88" s="223" t="str">
        <f>IFERROR(SUMIFS('capacity data'!$L:$L,'capacity data'!$B:$B,P88,'capacity data'!$E:$E,"PSO")/SUMIFS('capacity data'!$G:$G,'capacity data'!$E:$E,"PSO",'capacity data'!$B:$B,P88),"")</f>
        <v/>
      </c>
      <c r="U88" s="223" t="str">
        <f>IFERROR(SUMIFS('capacity data'!$L:$L,'capacity data'!$B:$B,P88,'capacity data'!$E:$E,"TPO")/SUMIFS('capacity data'!$G:$G,'capacity data'!$E:$E,"TPO",'capacity data'!$B:$B,P88),"")</f>
        <v/>
      </c>
    </row>
    <row r="89" spans="15:21" ht="16" x14ac:dyDescent="0.2">
      <c r="O89" s="23" t="s">
        <v>23</v>
      </c>
      <c r="P89" t="s">
        <v>314</v>
      </c>
      <c r="Q89" s="222" t="str">
        <f>IFERROR(SUM((SUMIFS('capacity data'!$G:$G,'capacity data'!$E:$E,"PO",'capacity data'!$B:$B,P89))-SUMIFS('capacity data'!$H:$H,'capacity data'!$E:$E,"PO",'capacity data'!$B:$B,P89))/SUMIFS('capacity data'!$G:$G,'capacity data'!$E:$E,"PO",'capacity data'!$B:$B,P89),"")</f>
        <v/>
      </c>
      <c r="R89" s="222" t="str">
        <f>IFERROR(SUM((SUMIFS('capacity data'!$G:$G,'capacity data'!$E:$E,"PSO",'capacity data'!$B:$B,P89))-SUMIFS('capacity data'!$H:$H,'capacity data'!$E:$E,"PSO",'capacity data'!$B:$B,P89))/SUMIFS('capacity data'!$G:$G,'capacity data'!$E:$E,"PSO",'capacity data'!$B:$B,P89),"")</f>
        <v/>
      </c>
      <c r="S89" s="22" t="str">
        <f t="shared" si="1"/>
        <v/>
      </c>
      <c r="T89" s="223" t="str">
        <f>IFERROR(SUMIFS('capacity data'!$L:$L,'capacity data'!$B:$B,P89,'capacity data'!$E:$E,"PSO")/SUMIFS('capacity data'!$G:$G,'capacity data'!$E:$E,"PSO",'capacity data'!$B:$B,P89),"")</f>
        <v/>
      </c>
      <c r="U89" s="223" t="str">
        <f>IFERROR(SUMIFS('capacity data'!$L:$L,'capacity data'!$B:$B,P89,'capacity data'!$E:$E,"TPO")/SUMIFS('capacity data'!$G:$G,'capacity data'!$E:$E,"TPO",'capacity data'!$B:$B,P89),"")</f>
        <v/>
      </c>
    </row>
    <row r="90" spans="15:21" ht="16" x14ac:dyDescent="0.2">
      <c r="O90" s="23" t="s">
        <v>23</v>
      </c>
      <c r="P90" t="s">
        <v>328</v>
      </c>
      <c r="Q90" s="222" t="str">
        <f>IFERROR(SUM((SUMIFS('capacity data'!$G:$G,'capacity data'!$E:$E,"PO",'capacity data'!$B:$B,P90))-SUMIFS('capacity data'!$H:$H,'capacity data'!$E:$E,"PO",'capacity data'!$B:$B,P90))/SUMIFS('capacity data'!$G:$G,'capacity data'!$E:$E,"PO",'capacity data'!$B:$B,P90),"")</f>
        <v/>
      </c>
      <c r="R90" s="222" t="str">
        <f>IFERROR(SUM((SUMIFS('capacity data'!$G:$G,'capacity data'!$E:$E,"PSO",'capacity data'!$B:$B,P90))-SUMIFS('capacity data'!$H:$H,'capacity data'!$E:$E,"PSO",'capacity data'!$B:$B,P90))/SUMIFS('capacity data'!$G:$G,'capacity data'!$E:$E,"PSO",'capacity data'!$B:$B,P90),"")</f>
        <v/>
      </c>
      <c r="S90" s="22" t="str">
        <f t="shared" si="1"/>
        <v/>
      </c>
      <c r="T90" s="223" t="str">
        <f>IFERROR(SUMIFS('capacity data'!$L:$L,'capacity data'!$B:$B,P90,'capacity data'!$E:$E,"PSO")/SUMIFS('capacity data'!$G:$G,'capacity data'!$E:$E,"PSO",'capacity data'!$B:$B,P90),"")</f>
        <v/>
      </c>
      <c r="U90" s="223" t="str">
        <f>IFERROR(SUMIFS('capacity data'!$L:$L,'capacity data'!$B:$B,P90,'capacity data'!$E:$E,"TPO")/SUMIFS('capacity data'!$G:$G,'capacity data'!$E:$E,"TPO",'capacity data'!$B:$B,P90),"")</f>
        <v/>
      </c>
    </row>
    <row r="91" spans="15:21" ht="16" x14ac:dyDescent="0.2">
      <c r="O91" s="23" t="s">
        <v>23</v>
      </c>
      <c r="P91" t="s">
        <v>342</v>
      </c>
      <c r="Q91" s="222" t="str">
        <f>IFERROR(SUM((SUMIFS('capacity data'!$G:$G,'capacity data'!$E:$E,"PO",'capacity data'!$B:$B,P91))-SUMIFS('capacity data'!$H:$H,'capacity data'!$E:$E,"PO",'capacity data'!$B:$B,P91))/SUMIFS('capacity data'!$G:$G,'capacity data'!$E:$E,"PO",'capacity data'!$B:$B,P91),"")</f>
        <v/>
      </c>
      <c r="R91" s="222" t="str">
        <f>IFERROR(SUM((SUMIFS('capacity data'!$G:$G,'capacity data'!$E:$E,"PSO",'capacity data'!$B:$B,P91))-SUMIFS('capacity data'!$H:$H,'capacity data'!$E:$E,"PSO",'capacity data'!$B:$B,P91))/SUMIFS('capacity data'!$G:$G,'capacity data'!$E:$E,"PSO",'capacity data'!$B:$B,P91),"")</f>
        <v/>
      </c>
      <c r="S91" s="22" t="str">
        <f t="shared" si="1"/>
        <v/>
      </c>
      <c r="T91" s="223" t="str">
        <f>IFERROR(SUMIFS('capacity data'!$L:$L,'capacity data'!$B:$B,P91,'capacity data'!$E:$E,"PSO")/SUMIFS('capacity data'!$G:$G,'capacity data'!$E:$E,"PSO",'capacity data'!$B:$B,P91),"")</f>
        <v/>
      </c>
      <c r="U91" s="223" t="str">
        <f>IFERROR(SUMIFS('capacity data'!$L:$L,'capacity data'!$B:$B,P91,'capacity data'!$E:$E,"TPO")/SUMIFS('capacity data'!$G:$G,'capacity data'!$E:$E,"TPO",'capacity data'!$B:$B,P91),"")</f>
        <v/>
      </c>
    </row>
    <row r="92" spans="15:21" ht="16" x14ac:dyDescent="0.2">
      <c r="O92" s="23" t="s">
        <v>23</v>
      </c>
      <c r="P92" t="s">
        <v>354</v>
      </c>
      <c r="Q92" s="222" t="str">
        <f>IFERROR(SUM((SUMIFS('capacity data'!$G:$G,'capacity data'!$E:$E,"PO",'capacity data'!$B:$B,P92))-SUMIFS('capacity data'!$H:$H,'capacity data'!$E:$E,"PO",'capacity data'!$B:$B,P92))/SUMIFS('capacity data'!$G:$G,'capacity data'!$E:$E,"PO",'capacity data'!$B:$B,P92),"")</f>
        <v/>
      </c>
      <c r="R92" s="222" t="str">
        <f>IFERROR(SUM((SUMIFS('capacity data'!$G:$G,'capacity data'!$E:$E,"PSO",'capacity data'!$B:$B,P92))-SUMIFS('capacity data'!$H:$H,'capacity data'!$E:$E,"PSO",'capacity data'!$B:$B,P92))/SUMIFS('capacity data'!$G:$G,'capacity data'!$E:$E,"PSO",'capacity data'!$B:$B,P92),"")</f>
        <v/>
      </c>
      <c r="S92" s="22" t="str">
        <f t="shared" si="1"/>
        <v/>
      </c>
      <c r="T92" s="223" t="str">
        <f>IFERROR(SUMIFS('capacity data'!$L:$L,'capacity data'!$B:$B,P92,'capacity data'!$E:$E,"PSO")/SUMIFS('capacity data'!$G:$G,'capacity data'!$E:$E,"PSO",'capacity data'!$B:$B,P92),"")</f>
        <v/>
      </c>
      <c r="U92" s="223" t="str">
        <f>IFERROR(SUMIFS('capacity data'!$L:$L,'capacity data'!$B:$B,P92,'capacity data'!$E:$E,"TPO")/SUMIFS('capacity data'!$G:$G,'capacity data'!$E:$E,"TPO",'capacity data'!$B:$B,P92),"")</f>
        <v/>
      </c>
    </row>
    <row r="93" spans="15:21" ht="16" x14ac:dyDescent="0.2">
      <c r="O93" s="23" t="s">
        <v>24</v>
      </c>
      <c r="P93" t="s">
        <v>36</v>
      </c>
      <c r="Q93" s="222" t="str">
        <f>IFERROR(SUM((SUMIFS('capacity data'!$G:$G,'capacity data'!$E:$E,"PO",'capacity data'!$B:$B,P93))-SUMIFS('capacity data'!$H:$H,'capacity data'!$E:$E,"PO",'capacity data'!$B:$B,P93))/SUMIFS('capacity data'!$G:$G,'capacity data'!$E:$E,"PO",'capacity data'!$B:$B,P93),"")</f>
        <v/>
      </c>
      <c r="R93" s="222" t="str">
        <f>IFERROR(SUM((SUMIFS('capacity data'!$G:$G,'capacity data'!$E:$E,"PSO",'capacity data'!$B:$B,P93))-SUMIFS('capacity data'!$H:$H,'capacity data'!$E:$E,"PSO",'capacity data'!$B:$B,P93))/SUMIFS('capacity data'!$G:$G,'capacity data'!$E:$E,"PSO",'capacity data'!$B:$B,P93),"")</f>
        <v/>
      </c>
      <c r="S93" s="22" t="str">
        <f t="shared" si="1"/>
        <v/>
      </c>
      <c r="T93" s="223" t="str">
        <f>IFERROR(SUMIFS('capacity data'!$L:$L,'capacity data'!$B:$B,P93,'capacity data'!$E:$E,"PSO")/SUMIFS('capacity data'!$G:$G,'capacity data'!$E:$E,"PSO",'capacity data'!$B:$B,P93),"")</f>
        <v/>
      </c>
      <c r="U93" s="223" t="str">
        <f>IFERROR(SUMIFS('capacity data'!$L:$L,'capacity data'!$B:$B,P93,'capacity data'!$E:$E,"TPO")/SUMIFS('capacity data'!$G:$G,'capacity data'!$E:$E,"TPO",'capacity data'!$B:$B,P93),"")</f>
        <v/>
      </c>
    </row>
    <row r="94" spans="15:21" ht="16" x14ac:dyDescent="0.2">
      <c r="O94" s="23" t="s">
        <v>24</v>
      </c>
      <c r="P94" t="s">
        <v>58</v>
      </c>
      <c r="Q94" s="222" t="str">
        <f>IFERROR(SUM((SUMIFS('capacity data'!$G:$G,'capacity data'!$E:$E,"PO",'capacity data'!$B:$B,P94))-SUMIFS('capacity data'!$H:$H,'capacity data'!$E:$E,"PO",'capacity data'!$B:$B,P94))/SUMIFS('capacity data'!$G:$G,'capacity data'!$E:$E,"PO",'capacity data'!$B:$B,P94),"")</f>
        <v/>
      </c>
      <c r="R94" s="222" t="str">
        <f>IFERROR(SUM((SUMIFS('capacity data'!$G:$G,'capacity data'!$E:$E,"PSO",'capacity data'!$B:$B,P94))-SUMIFS('capacity data'!$H:$H,'capacity data'!$E:$E,"PSO",'capacity data'!$B:$B,P94))/SUMIFS('capacity data'!$G:$G,'capacity data'!$E:$E,"PSO",'capacity data'!$B:$B,P94),"")</f>
        <v/>
      </c>
      <c r="S94" s="22" t="str">
        <f t="shared" si="1"/>
        <v/>
      </c>
      <c r="T94" s="223" t="str">
        <f>IFERROR(SUMIFS('capacity data'!$L:$L,'capacity data'!$B:$B,P94,'capacity data'!$E:$E,"PSO")/SUMIFS('capacity data'!$G:$G,'capacity data'!$E:$E,"PSO",'capacity data'!$B:$B,P94),"")</f>
        <v/>
      </c>
      <c r="U94" s="223" t="str">
        <f>IFERROR(SUMIFS('capacity data'!$L:$L,'capacity data'!$B:$B,P94,'capacity data'!$E:$E,"TPO")/SUMIFS('capacity data'!$G:$G,'capacity data'!$E:$E,"TPO",'capacity data'!$B:$B,P94),"")</f>
        <v/>
      </c>
    </row>
    <row r="95" spans="15:21" ht="16" x14ac:dyDescent="0.2">
      <c r="O95" s="23" t="s">
        <v>24</v>
      </c>
      <c r="P95" t="s">
        <v>79</v>
      </c>
      <c r="Q95" s="222" t="str">
        <f>IFERROR(SUM((SUMIFS('capacity data'!$G:$G,'capacity data'!$E:$E,"PO",'capacity data'!$B:$B,P95))-SUMIFS('capacity data'!$H:$H,'capacity data'!$E:$E,"PO",'capacity data'!$B:$B,P95))/SUMIFS('capacity data'!$G:$G,'capacity data'!$E:$E,"PO",'capacity data'!$B:$B,P95),"")</f>
        <v/>
      </c>
      <c r="R95" s="222" t="str">
        <f>IFERROR(SUM((SUMIFS('capacity data'!$G:$G,'capacity data'!$E:$E,"PSO",'capacity data'!$B:$B,P95))-SUMIFS('capacity data'!$H:$H,'capacity data'!$E:$E,"PSO",'capacity data'!$B:$B,P95))/SUMIFS('capacity data'!$G:$G,'capacity data'!$E:$E,"PSO",'capacity data'!$B:$B,P95),"")</f>
        <v/>
      </c>
      <c r="S95" s="22" t="str">
        <f t="shared" si="1"/>
        <v/>
      </c>
      <c r="T95" s="223" t="str">
        <f>IFERROR(SUMIFS('capacity data'!$L:$L,'capacity data'!$B:$B,P95,'capacity data'!$E:$E,"PSO")/SUMIFS('capacity data'!$G:$G,'capacity data'!$E:$E,"PSO",'capacity data'!$B:$B,P95),"")</f>
        <v/>
      </c>
      <c r="U95" s="223" t="str">
        <f>IFERROR(SUMIFS('capacity data'!$L:$L,'capacity data'!$B:$B,P95,'capacity data'!$E:$E,"TPO")/SUMIFS('capacity data'!$G:$G,'capacity data'!$E:$E,"TPO",'capacity data'!$B:$B,P95),"")</f>
        <v/>
      </c>
    </row>
    <row r="96" spans="15:21" ht="16" x14ac:dyDescent="0.2">
      <c r="O96" s="23" t="s">
        <v>24</v>
      </c>
      <c r="P96" t="s">
        <v>101</v>
      </c>
      <c r="Q96" s="222" t="str">
        <f>IFERROR(SUM((SUMIFS('capacity data'!$G:$G,'capacity data'!$E:$E,"PO",'capacity data'!$B:$B,P96))-SUMIFS('capacity data'!$H:$H,'capacity data'!$E:$E,"PO",'capacity data'!$B:$B,P96))/SUMIFS('capacity data'!$G:$G,'capacity data'!$E:$E,"PO",'capacity data'!$B:$B,P96),"")</f>
        <v/>
      </c>
      <c r="R96" s="222" t="str">
        <f>IFERROR(SUM((SUMIFS('capacity data'!$G:$G,'capacity data'!$E:$E,"PSO",'capacity data'!$B:$B,P96))-SUMIFS('capacity data'!$H:$H,'capacity data'!$E:$E,"PSO",'capacity data'!$B:$B,P96))/SUMIFS('capacity data'!$G:$G,'capacity data'!$E:$E,"PSO",'capacity data'!$B:$B,P96),"")</f>
        <v/>
      </c>
      <c r="S96" s="22" t="str">
        <f t="shared" si="1"/>
        <v/>
      </c>
      <c r="T96" s="223" t="str">
        <f>IFERROR(SUMIFS('capacity data'!$L:$L,'capacity data'!$B:$B,P96,'capacity data'!$E:$E,"PSO")/SUMIFS('capacity data'!$G:$G,'capacity data'!$E:$E,"PSO",'capacity data'!$B:$B,P96),"")</f>
        <v/>
      </c>
      <c r="U96" s="223" t="str">
        <f>IFERROR(SUMIFS('capacity data'!$L:$L,'capacity data'!$B:$B,P96,'capacity data'!$E:$E,"TPO")/SUMIFS('capacity data'!$G:$G,'capacity data'!$E:$E,"TPO",'capacity data'!$B:$B,P96),"")</f>
        <v/>
      </c>
    </row>
    <row r="97" spans="15:21" ht="16" x14ac:dyDescent="0.2">
      <c r="O97" s="23" t="s">
        <v>24</v>
      </c>
      <c r="P97" t="s">
        <v>123</v>
      </c>
      <c r="Q97" s="222" t="str">
        <f>IFERROR(SUM((SUMIFS('capacity data'!$G:$G,'capacity data'!$E:$E,"PO",'capacity data'!$B:$B,P97))-SUMIFS('capacity data'!$H:$H,'capacity data'!$E:$E,"PO",'capacity data'!$B:$B,P97))/SUMIFS('capacity data'!$G:$G,'capacity data'!$E:$E,"PO",'capacity data'!$B:$B,P97),"")</f>
        <v/>
      </c>
      <c r="R97" s="222" t="str">
        <f>IFERROR(SUM((SUMIFS('capacity data'!$G:$G,'capacity data'!$E:$E,"PSO",'capacity data'!$B:$B,P97))-SUMIFS('capacity data'!$H:$H,'capacity data'!$E:$E,"PSO",'capacity data'!$B:$B,P97))/SUMIFS('capacity data'!$G:$G,'capacity data'!$E:$E,"PSO",'capacity data'!$B:$B,P97),"")</f>
        <v/>
      </c>
      <c r="S97" s="22" t="str">
        <f t="shared" si="1"/>
        <v/>
      </c>
      <c r="T97" s="223" t="str">
        <f>IFERROR(SUMIFS('capacity data'!$L:$L,'capacity data'!$B:$B,P97,'capacity data'!$E:$E,"PSO")/SUMIFS('capacity data'!$G:$G,'capacity data'!$E:$E,"PSO",'capacity data'!$B:$B,P97),"")</f>
        <v/>
      </c>
      <c r="U97" s="223" t="str">
        <f>IFERROR(SUMIFS('capacity data'!$L:$L,'capacity data'!$B:$B,P97,'capacity data'!$E:$E,"TPO")/SUMIFS('capacity data'!$G:$G,'capacity data'!$E:$E,"TPO",'capacity data'!$B:$B,P97),"")</f>
        <v/>
      </c>
    </row>
    <row r="98" spans="15:21" ht="16" x14ac:dyDescent="0.2">
      <c r="O98" s="23" t="s">
        <v>24</v>
      </c>
      <c r="P98" t="s">
        <v>144</v>
      </c>
      <c r="Q98" s="222" t="str">
        <f>IFERROR(SUM((SUMIFS('capacity data'!$G:$G,'capacity data'!$E:$E,"PO",'capacity data'!$B:$B,P98))-SUMIFS('capacity data'!$H:$H,'capacity data'!$E:$E,"PO",'capacity data'!$B:$B,P98))/SUMIFS('capacity data'!$G:$G,'capacity data'!$E:$E,"PO",'capacity data'!$B:$B,P98),"")</f>
        <v/>
      </c>
      <c r="R98" s="222" t="str">
        <f>IFERROR(SUM((SUMIFS('capacity data'!$G:$G,'capacity data'!$E:$E,"PSO",'capacity data'!$B:$B,P98))-SUMIFS('capacity data'!$H:$H,'capacity data'!$E:$E,"PSO",'capacity data'!$B:$B,P98))/SUMIFS('capacity data'!$G:$G,'capacity data'!$E:$E,"PSO",'capacity data'!$B:$B,P98),"")</f>
        <v/>
      </c>
      <c r="S98" s="22" t="str">
        <f t="shared" si="1"/>
        <v/>
      </c>
      <c r="T98" s="223" t="str">
        <f>IFERROR(SUMIFS('capacity data'!$L:$L,'capacity data'!$B:$B,P98,'capacity data'!$E:$E,"PSO")/SUMIFS('capacity data'!$G:$G,'capacity data'!$E:$E,"PSO",'capacity data'!$B:$B,P98),"")</f>
        <v/>
      </c>
      <c r="U98" s="223" t="str">
        <f>IFERROR(SUMIFS('capacity data'!$L:$L,'capacity data'!$B:$B,P98,'capacity data'!$E:$E,"TPO")/SUMIFS('capacity data'!$G:$G,'capacity data'!$E:$E,"TPO",'capacity data'!$B:$B,P98),"")</f>
        <v/>
      </c>
    </row>
    <row r="99" spans="15:21" ht="16" x14ac:dyDescent="0.2">
      <c r="O99" s="23" t="s">
        <v>24</v>
      </c>
      <c r="P99" t="s">
        <v>165</v>
      </c>
      <c r="Q99" s="222" t="str">
        <f>IFERROR(SUM((SUMIFS('capacity data'!$G:$G,'capacity data'!$E:$E,"PO",'capacity data'!$B:$B,P99))-SUMIFS('capacity data'!$H:$H,'capacity data'!$E:$E,"PO",'capacity data'!$B:$B,P99))/SUMIFS('capacity data'!$G:$G,'capacity data'!$E:$E,"PO",'capacity data'!$B:$B,P99),"")</f>
        <v/>
      </c>
      <c r="R99" s="222" t="str">
        <f>IFERROR(SUM((SUMIFS('capacity data'!$G:$G,'capacity data'!$E:$E,"PSO",'capacity data'!$B:$B,P99))-SUMIFS('capacity data'!$H:$H,'capacity data'!$E:$E,"PSO",'capacity data'!$B:$B,P99))/SUMIFS('capacity data'!$G:$G,'capacity data'!$E:$E,"PSO",'capacity data'!$B:$B,P99),"")</f>
        <v/>
      </c>
      <c r="S99" s="22" t="str">
        <f t="shared" si="1"/>
        <v/>
      </c>
      <c r="T99" s="223" t="str">
        <f>IFERROR(SUMIFS('capacity data'!$L:$L,'capacity data'!$B:$B,P99,'capacity data'!$E:$E,"PSO")/SUMIFS('capacity data'!$G:$G,'capacity data'!$E:$E,"PSO",'capacity data'!$B:$B,P99),"")</f>
        <v/>
      </c>
      <c r="U99" s="223" t="str">
        <f>IFERROR(SUMIFS('capacity data'!$L:$L,'capacity data'!$B:$B,P99,'capacity data'!$E:$E,"TPO")/SUMIFS('capacity data'!$G:$G,'capacity data'!$E:$E,"TPO",'capacity data'!$B:$B,P99),"")</f>
        <v/>
      </c>
    </row>
    <row r="100" spans="15:21" ht="16" x14ac:dyDescent="0.2">
      <c r="O100" s="23" t="s">
        <v>24</v>
      </c>
      <c r="P100" t="s">
        <v>185</v>
      </c>
      <c r="Q100" s="222" t="str">
        <f>IFERROR(SUM((SUMIFS('capacity data'!$G:$G,'capacity data'!$E:$E,"PO",'capacity data'!$B:$B,P100))-SUMIFS('capacity data'!$H:$H,'capacity data'!$E:$E,"PO",'capacity data'!$B:$B,P100))/SUMIFS('capacity data'!$G:$G,'capacity data'!$E:$E,"PO",'capacity data'!$B:$B,P100),"")</f>
        <v/>
      </c>
      <c r="R100" s="222" t="str">
        <f>IFERROR(SUM((SUMIFS('capacity data'!$G:$G,'capacity data'!$E:$E,"PSO",'capacity data'!$B:$B,P100))-SUMIFS('capacity data'!$H:$H,'capacity data'!$E:$E,"PSO",'capacity data'!$B:$B,P100))/SUMIFS('capacity data'!$G:$G,'capacity data'!$E:$E,"PSO",'capacity data'!$B:$B,P100),"")</f>
        <v/>
      </c>
      <c r="S100" s="22" t="str">
        <f t="shared" si="1"/>
        <v/>
      </c>
      <c r="T100" s="223" t="str">
        <f>IFERROR(SUMIFS('capacity data'!$L:$L,'capacity data'!$B:$B,P100,'capacity data'!$E:$E,"PSO")/SUMIFS('capacity data'!$G:$G,'capacity data'!$E:$E,"PSO",'capacity data'!$B:$B,P100),"")</f>
        <v/>
      </c>
      <c r="U100" s="223" t="str">
        <f>IFERROR(SUMIFS('capacity data'!$L:$L,'capacity data'!$B:$B,P100,'capacity data'!$E:$E,"TPO")/SUMIFS('capacity data'!$G:$G,'capacity data'!$E:$E,"TPO",'capacity data'!$B:$B,P100),"")</f>
        <v/>
      </c>
    </row>
    <row r="101" spans="15:21" ht="16" x14ac:dyDescent="0.2">
      <c r="O101" s="23" t="s">
        <v>24</v>
      </c>
      <c r="P101" t="s">
        <v>205</v>
      </c>
      <c r="Q101" s="222" t="str">
        <f>IFERROR(SUM((SUMIFS('capacity data'!$G:$G,'capacity data'!$E:$E,"PO",'capacity data'!$B:$B,P101))-SUMIFS('capacity data'!$H:$H,'capacity data'!$E:$E,"PO",'capacity data'!$B:$B,P101))/SUMIFS('capacity data'!$G:$G,'capacity data'!$E:$E,"PO",'capacity data'!$B:$B,P101),"")</f>
        <v/>
      </c>
      <c r="R101" s="222" t="str">
        <f>IFERROR(SUM((SUMIFS('capacity data'!$G:$G,'capacity data'!$E:$E,"PSO",'capacity data'!$B:$B,P101))-SUMIFS('capacity data'!$H:$H,'capacity data'!$E:$E,"PSO",'capacity data'!$B:$B,P101))/SUMIFS('capacity data'!$G:$G,'capacity data'!$E:$E,"PSO",'capacity data'!$B:$B,P101),"")</f>
        <v/>
      </c>
      <c r="S101" s="22" t="str">
        <f t="shared" si="1"/>
        <v/>
      </c>
      <c r="T101" s="223" t="str">
        <f>IFERROR(SUMIFS('capacity data'!$L:$L,'capacity data'!$B:$B,P101,'capacity data'!$E:$E,"PSO")/SUMIFS('capacity data'!$G:$G,'capacity data'!$E:$E,"PSO",'capacity data'!$B:$B,P101),"")</f>
        <v/>
      </c>
      <c r="U101" s="223" t="str">
        <f>IFERROR(SUMIFS('capacity data'!$L:$L,'capacity data'!$B:$B,P101,'capacity data'!$E:$E,"TPO")/SUMIFS('capacity data'!$G:$G,'capacity data'!$E:$E,"TPO",'capacity data'!$B:$B,P101),"")</f>
        <v/>
      </c>
    </row>
    <row r="102" spans="15:21" ht="16" x14ac:dyDescent="0.2">
      <c r="O102" s="23" t="s">
        <v>25</v>
      </c>
      <c r="P102" t="s">
        <v>37</v>
      </c>
      <c r="Q102" s="222" t="str">
        <f>IFERROR(SUM((SUMIFS('capacity data'!$G:$G,'capacity data'!$E:$E,"PO",'capacity data'!$B:$B,P102))-SUMIFS('capacity data'!$H:$H,'capacity data'!$E:$E,"PO",'capacity data'!$B:$B,P102))/SUMIFS('capacity data'!$G:$G,'capacity data'!$E:$E,"PO",'capacity data'!$B:$B,P102),"")</f>
        <v/>
      </c>
      <c r="R102" s="222" t="str">
        <f>IFERROR(SUM((SUMIFS('capacity data'!$G:$G,'capacity data'!$E:$E,"PSO",'capacity data'!$B:$B,P102))-SUMIFS('capacity data'!$H:$H,'capacity data'!$E:$E,"PSO",'capacity data'!$B:$B,P102))/SUMIFS('capacity data'!$G:$G,'capacity data'!$E:$E,"PSO",'capacity data'!$B:$B,P102),"")</f>
        <v/>
      </c>
      <c r="S102" s="22" t="str">
        <f t="shared" si="1"/>
        <v/>
      </c>
      <c r="T102" s="223" t="str">
        <f>IFERROR(SUMIFS('capacity data'!$L:$L,'capacity data'!$B:$B,P102,'capacity data'!$E:$E,"PSO")/SUMIFS('capacity data'!$G:$G,'capacity data'!$E:$E,"PSO",'capacity data'!$B:$B,P102),"")</f>
        <v/>
      </c>
      <c r="U102" s="223" t="str">
        <f>IFERROR(SUMIFS('capacity data'!$L:$L,'capacity data'!$B:$B,P102,'capacity data'!$E:$E,"TPO")/SUMIFS('capacity data'!$G:$G,'capacity data'!$E:$E,"TPO",'capacity data'!$B:$B,P102),"")</f>
        <v/>
      </c>
    </row>
    <row r="103" spans="15:21" ht="16" x14ac:dyDescent="0.2">
      <c r="O103" s="23" t="s">
        <v>25</v>
      </c>
      <c r="P103" t="s">
        <v>59</v>
      </c>
      <c r="Q103" s="222" t="str">
        <f>IFERROR(SUM((SUMIFS('capacity data'!$G:$G,'capacity data'!$E:$E,"PO",'capacity data'!$B:$B,P103))-SUMIFS('capacity data'!$H:$H,'capacity data'!$E:$E,"PO",'capacity data'!$B:$B,P103))/SUMIFS('capacity data'!$G:$G,'capacity data'!$E:$E,"PO",'capacity data'!$B:$B,P103),"")</f>
        <v/>
      </c>
      <c r="R103" s="222" t="str">
        <f>IFERROR(SUM((SUMIFS('capacity data'!$G:$G,'capacity data'!$E:$E,"PSO",'capacity data'!$B:$B,P103))-SUMIFS('capacity data'!$H:$H,'capacity data'!$E:$E,"PSO",'capacity data'!$B:$B,P103))/SUMIFS('capacity data'!$G:$G,'capacity data'!$E:$E,"PSO",'capacity data'!$B:$B,P103),"")</f>
        <v/>
      </c>
      <c r="S103" s="22" t="str">
        <f t="shared" si="1"/>
        <v/>
      </c>
      <c r="T103" s="223" t="str">
        <f>IFERROR(SUMIFS('capacity data'!$L:$L,'capacity data'!$B:$B,P103,'capacity data'!$E:$E,"PSO")/SUMIFS('capacity data'!$G:$G,'capacity data'!$E:$E,"PSO",'capacity data'!$B:$B,P103),"")</f>
        <v/>
      </c>
      <c r="U103" s="223" t="str">
        <f>IFERROR(SUMIFS('capacity data'!$L:$L,'capacity data'!$B:$B,P103,'capacity data'!$E:$E,"TPO")/SUMIFS('capacity data'!$G:$G,'capacity data'!$E:$E,"TPO",'capacity data'!$B:$B,P103),"")</f>
        <v/>
      </c>
    </row>
    <row r="104" spans="15:21" ht="16" x14ac:dyDescent="0.2">
      <c r="O104" s="23" t="s">
        <v>25</v>
      </c>
      <c r="P104" t="s">
        <v>80</v>
      </c>
      <c r="Q104" s="222" t="str">
        <f>IFERROR(SUM((SUMIFS('capacity data'!$G:$G,'capacity data'!$E:$E,"PO",'capacity data'!$B:$B,P104))-SUMIFS('capacity data'!$H:$H,'capacity data'!$E:$E,"PO",'capacity data'!$B:$B,P104))/SUMIFS('capacity data'!$G:$G,'capacity data'!$E:$E,"PO",'capacity data'!$B:$B,P104),"")</f>
        <v/>
      </c>
      <c r="R104" s="222" t="str">
        <f>IFERROR(SUM((SUMIFS('capacity data'!$G:$G,'capacity data'!$E:$E,"PSO",'capacity data'!$B:$B,P104))-SUMIFS('capacity data'!$H:$H,'capacity data'!$E:$E,"PSO",'capacity data'!$B:$B,P104))/SUMIFS('capacity data'!$G:$G,'capacity data'!$E:$E,"PSO",'capacity data'!$B:$B,P104),"")</f>
        <v/>
      </c>
      <c r="S104" s="22" t="str">
        <f t="shared" si="1"/>
        <v/>
      </c>
      <c r="T104" s="223" t="str">
        <f>IFERROR(SUMIFS('capacity data'!$L:$L,'capacity data'!$B:$B,P104,'capacity data'!$E:$E,"PSO")/SUMIFS('capacity data'!$G:$G,'capacity data'!$E:$E,"PSO",'capacity data'!$B:$B,P104),"")</f>
        <v/>
      </c>
      <c r="U104" s="223" t="str">
        <f>IFERROR(SUMIFS('capacity data'!$L:$L,'capacity data'!$B:$B,P104,'capacity data'!$E:$E,"TPO")/SUMIFS('capacity data'!$G:$G,'capacity data'!$E:$E,"TPO",'capacity data'!$B:$B,P104),"")</f>
        <v/>
      </c>
    </row>
    <row r="105" spans="15:21" ht="16" x14ac:dyDescent="0.2">
      <c r="O105" s="23" t="s">
        <v>25</v>
      </c>
      <c r="P105" t="s">
        <v>102</v>
      </c>
      <c r="Q105" s="222" t="str">
        <f>IFERROR(SUM((SUMIFS('capacity data'!$G:$G,'capacity data'!$E:$E,"PO",'capacity data'!$B:$B,P105))-SUMIFS('capacity data'!$H:$H,'capacity data'!$E:$E,"PO",'capacity data'!$B:$B,P105))/SUMIFS('capacity data'!$G:$G,'capacity data'!$E:$E,"PO",'capacity data'!$B:$B,P105),"")</f>
        <v/>
      </c>
      <c r="R105" s="222" t="str">
        <f>IFERROR(SUM((SUMIFS('capacity data'!$G:$G,'capacity data'!$E:$E,"PSO",'capacity data'!$B:$B,P105))-SUMIFS('capacity data'!$H:$H,'capacity data'!$E:$E,"PSO",'capacity data'!$B:$B,P105))/SUMIFS('capacity data'!$G:$G,'capacity data'!$E:$E,"PSO",'capacity data'!$B:$B,P105),"")</f>
        <v/>
      </c>
      <c r="S105" s="22" t="str">
        <f t="shared" si="1"/>
        <v/>
      </c>
      <c r="T105" s="223" t="str">
        <f>IFERROR(SUMIFS('capacity data'!$L:$L,'capacity data'!$B:$B,P105,'capacity data'!$E:$E,"PSO")/SUMIFS('capacity data'!$G:$G,'capacity data'!$E:$E,"PSO",'capacity data'!$B:$B,P105),"")</f>
        <v/>
      </c>
      <c r="U105" s="223" t="str">
        <f>IFERROR(SUMIFS('capacity data'!$L:$L,'capacity data'!$B:$B,P105,'capacity data'!$E:$E,"TPO")/SUMIFS('capacity data'!$G:$G,'capacity data'!$E:$E,"TPO",'capacity data'!$B:$B,P105),"")</f>
        <v/>
      </c>
    </row>
    <row r="106" spans="15:21" ht="16" x14ac:dyDescent="0.2">
      <c r="O106" s="23" t="s">
        <v>25</v>
      </c>
      <c r="P106" t="s">
        <v>124</v>
      </c>
      <c r="Q106" s="222" t="str">
        <f>IFERROR(SUM((SUMIFS('capacity data'!$G:$G,'capacity data'!$E:$E,"PO",'capacity data'!$B:$B,P106))-SUMIFS('capacity data'!$H:$H,'capacity data'!$E:$E,"PO",'capacity data'!$B:$B,P106))/SUMIFS('capacity data'!$G:$G,'capacity data'!$E:$E,"PO",'capacity data'!$B:$B,P106),"")</f>
        <v/>
      </c>
      <c r="R106" s="222" t="str">
        <f>IFERROR(SUM((SUMIFS('capacity data'!$G:$G,'capacity data'!$E:$E,"PSO",'capacity data'!$B:$B,P106))-SUMIFS('capacity data'!$H:$H,'capacity data'!$E:$E,"PSO",'capacity data'!$B:$B,P106))/SUMIFS('capacity data'!$G:$G,'capacity data'!$E:$E,"PSO",'capacity data'!$B:$B,P106),"")</f>
        <v/>
      </c>
      <c r="S106" s="22" t="str">
        <f t="shared" si="1"/>
        <v/>
      </c>
      <c r="T106" s="223" t="str">
        <f>IFERROR(SUMIFS('capacity data'!$L:$L,'capacity data'!$B:$B,P106,'capacity data'!$E:$E,"PSO")/SUMIFS('capacity data'!$G:$G,'capacity data'!$E:$E,"PSO",'capacity data'!$B:$B,P106),"")</f>
        <v/>
      </c>
      <c r="U106" s="223" t="str">
        <f>IFERROR(SUMIFS('capacity data'!$L:$L,'capacity data'!$B:$B,P106,'capacity data'!$E:$E,"TPO")/SUMIFS('capacity data'!$G:$G,'capacity data'!$E:$E,"TPO",'capacity data'!$B:$B,P106),"")</f>
        <v/>
      </c>
    </row>
    <row r="107" spans="15:21" ht="16" x14ac:dyDescent="0.2">
      <c r="O107" s="23" t="s">
        <v>25</v>
      </c>
      <c r="P107" t="s">
        <v>145</v>
      </c>
      <c r="Q107" s="222" t="str">
        <f>IFERROR(SUM((SUMIFS('capacity data'!$G:$G,'capacity data'!$E:$E,"PO",'capacity data'!$B:$B,P107))-SUMIFS('capacity data'!$H:$H,'capacity data'!$E:$E,"PO",'capacity data'!$B:$B,P107))/SUMIFS('capacity data'!$G:$G,'capacity data'!$E:$E,"PO",'capacity data'!$B:$B,P107),"")</f>
        <v/>
      </c>
      <c r="R107" s="222" t="str">
        <f>IFERROR(SUM((SUMIFS('capacity data'!$G:$G,'capacity data'!$E:$E,"PSO",'capacity data'!$B:$B,P107))-SUMIFS('capacity data'!$H:$H,'capacity data'!$E:$E,"PSO",'capacity data'!$B:$B,P107))/SUMIFS('capacity data'!$G:$G,'capacity data'!$E:$E,"PSO",'capacity data'!$B:$B,P107),"")</f>
        <v/>
      </c>
      <c r="S107" s="22" t="str">
        <f t="shared" si="1"/>
        <v/>
      </c>
      <c r="T107" s="223" t="str">
        <f>IFERROR(SUMIFS('capacity data'!$L:$L,'capacity data'!$B:$B,P107,'capacity data'!$E:$E,"PSO")/SUMIFS('capacity data'!$G:$G,'capacity data'!$E:$E,"PSO",'capacity data'!$B:$B,P107),"")</f>
        <v/>
      </c>
      <c r="U107" s="223" t="str">
        <f>IFERROR(SUMIFS('capacity data'!$L:$L,'capacity data'!$B:$B,P107,'capacity data'!$E:$E,"TPO")/SUMIFS('capacity data'!$G:$G,'capacity data'!$E:$E,"TPO",'capacity data'!$B:$B,P107),"")</f>
        <v/>
      </c>
    </row>
    <row r="108" spans="15:21" ht="16" x14ac:dyDescent="0.2">
      <c r="O108" s="23" t="s">
        <v>25</v>
      </c>
      <c r="P108" t="s">
        <v>166</v>
      </c>
      <c r="Q108" s="222" t="str">
        <f>IFERROR(SUM((SUMIFS('capacity data'!$G:$G,'capacity data'!$E:$E,"PO",'capacity data'!$B:$B,P108))-SUMIFS('capacity data'!$H:$H,'capacity data'!$E:$E,"PO",'capacity data'!$B:$B,P108))/SUMIFS('capacity data'!$G:$G,'capacity data'!$E:$E,"PO",'capacity data'!$B:$B,P108),"")</f>
        <v/>
      </c>
      <c r="R108" s="222" t="str">
        <f>IFERROR(SUM((SUMIFS('capacity data'!$G:$G,'capacity data'!$E:$E,"PSO",'capacity data'!$B:$B,P108))-SUMIFS('capacity data'!$H:$H,'capacity data'!$E:$E,"PSO",'capacity data'!$B:$B,P108))/SUMIFS('capacity data'!$G:$G,'capacity data'!$E:$E,"PSO",'capacity data'!$B:$B,P108),"")</f>
        <v/>
      </c>
      <c r="S108" s="22" t="str">
        <f t="shared" si="1"/>
        <v/>
      </c>
      <c r="T108" s="223" t="str">
        <f>IFERROR(SUMIFS('capacity data'!$L:$L,'capacity data'!$B:$B,P108,'capacity data'!$E:$E,"PSO")/SUMIFS('capacity data'!$G:$G,'capacity data'!$E:$E,"PSO",'capacity data'!$B:$B,P108),"")</f>
        <v/>
      </c>
      <c r="U108" s="223" t="str">
        <f>IFERROR(SUMIFS('capacity data'!$L:$L,'capacity data'!$B:$B,P108,'capacity data'!$E:$E,"TPO")/SUMIFS('capacity data'!$G:$G,'capacity data'!$E:$E,"TPO",'capacity data'!$B:$B,P108),"")</f>
        <v/>
      </c>
    </row>
    <row r="109" spans="15:21" ht="16" x14ac:dyDescent="0.2">
      <c r="O109" s="23" t="s">
        <v>25</v>
      </c>
      <c r="P109" t="s">
        <v>186</v>
      </c>
      <c r="Q109" s="222" t="str">
        <f>IFERROR(SUM((SUMIFS('capacity data'!$G:$G,'capacity data'!$E:$E,"PO",'capacity data'!$B:$B,P109))-SUMIFS('capacity data'!$H:$H,'capacity data'!$E:$E,"PO",'capacity data'!$B:$B,P109))/SUMIFS('capacity data'!$G:$G,'capacity data'!$E:$E,"PO",'capacity data'!$B:$B,P109),"")</f>
        <v/>
      </c>
      <c r="R109" s="222" t="str">
        <f>IFERROR(SUM((SUMIFS('capacity data'!$G:$G,'capacity data'!$E:$E,"PSO",'capacity data'!$B:$B,P109))-SUMIFS('capacity data'!$H:$H,'capacity data'!$E:$E,"PSO",'capacity data'!$B:$B,P109))/SUMIFS('capacity data'!$G:$G,'capacity data'!$E:$E,"PSO",'capacity data'!$B:$B,P109),"")</f>
        <v/>
      </c>
      <c r="S109" s="22" t="str">
        <f t="shared" si="1"/>
        <v/>
      </c>
      <c r="T109" s="223" t="str">
        <f>IFERROR(SUMIFS('capacity data'!$L:$L,'capacity data'!$B:$B,P109,'capacity data'!$E:$E,"PSO")/SUMIFS('capacity data'!$G:$G,'capacity data'!$E:$E,"PSO",'capacity data'!$B:$B,P109),"")</f>
        <v/>
      </c>
      <c r="U109" s="223" t="str">
        <f>IFERROR(SUMIFS('capacity data'!$L:$L,'capacity data'!$B:$B,P109,'capacity data'!$E:$E,"TPO")/SUMIFS('capacity data'!$G:$G,'capacity data'!$E:$E,"TPO",'capacity data'!$B:$B,P109),"")</f>
        <v/>
      </c>
    </row>
    <row r="110" spans="15:21" ht="16" x14ac:dyDescent="0.2">
      <c r="O110" s="23" t="s">
        <v>25</v>
      </c>
      <c r="P110" t="s">
        <v>206</v>
      </c>
      <c r="Q110" s="222" t="str">
        <f>IFERROR(SUM((SUMIFS('capacity data'!$G:$G,'capacity data'!$E:$E,"PO",'capacity data'!$B:$B,P110))-SUMIFS('capacity data'!$H:$H,'capacity data'!$E:$E,"PO",'capacity data'!$B:$B,P110))/SUMIFS('capacity data'!$G:$G,'capacity data'!$E:$E,"PO",'capacity data'!$B:$B,P110),"")</f>
        <v/>
      </c>
      <c r="R110" s="222" t="str">
        <f>IFERROR(SUM((SUMIFS('capacity data'!$G:$G,'capacity data'!$E:$E,"PSO",'capacity data'!$B:$B,P110))-SUMIFS('capacity data'!$H:$H,'capacity data'!$E:$E,"PSO",'capacity data'!$B:$B,P110))/SUMIFS('capacity data'!$G:$G,'capacity data'!$E:$E,"PSO",'capacity data'!$B:$B,P110),"")</f>
        <v/>
      </c>
      <c r="S110" s="22" t="str">
        <f t="shared" si="1"/>
        <v/>
      </c>
      <c r="T110" s="223" t="str">
        <f>IFERROR(SUMIFS('capacity data'!$L:$L,'capacity data'!$B:$B,P110,'capacity data'!$E:$E,"PSO")/SUMIFS('capacity data'!$G:$G,'capacity data'!$E:$E,"PSO",'capacity data'!$B:$B,P110),"")</f>
        <v/>
      </c>
      <c r="U110" s="223" t="str">
        <f>IFERROR(SUMIFS('capacity data'!$L:$L,'capacity data'!$B:$B,P110,'capacity data'!$E:$E,"TPO")/SUMIFS('capacity data'!$G:$G,'capacity data'!$E:$E,"TPO",'capacity data'!$B:$B,P110),"")</f>
        <v/>
      </c>
    </row>
    <row r="111" spans="15:21" ht="16" x14ac:dyDescent="0.2">
      <c r="O111" s="23" t="s">
        <v>25</v>
      </c>
      <c r="P111" t="s">
        <v>223</v>
      </c>
      <c r="Q111" s="222" t="str">
        <f>IFERROR(SUM((SUMIFS('capacity data'!$G:$G,'capacity data'!$E:$E,"PO",'capacity data'!$B:$B,P111))-SUMIFS('capacity data'!$H:$H,'capacity data'!$E:$E,"PO",'capacity data'!$B:$B,P111))/SUMIFS('capacity data'!$G:$G,'capacity data'!$E:$E,"PO",'capacity data'!$B:$B,P111),"")</f>
        <v/>
      </c>
      <c r="R111" s="222" t="str">
        <f>IFERROR(SUM((SUMIFS('capacity data'!$G:$G,'capacity data'!$E:$E,"PSO",'capacity data'!$B:$B,P111))-SUMIFS('capacity data'!$H:$H,'capacity data'!$E:$E,"PSO",'capacity data'!$B:$B,P111))/SUMIFS('capacity data'!$G:$G,'capacity data'!$E:$E,"PSO",'capacity data'!$B:$B,P111),"")</f>
        <v/>
      </c>
      <c r="S111" s="22" t="str">
        <f t="shared" si="1"/>
        <v/>
      </c>
      <c r="T111" s="223" t="str">
        <f>IFERROR(SUMIFS('capacity data'!$L:$L,'capacity data'!$B:$B,P111,'capacity data'!$E:$E,"PSO")/SUMIFS('capacity data'!$G:$G,'capacity data'!$E:$E,"PSO",'capacity data'!$B:$B,P111),"")</f>
        <v/>
      </c>
      <c r="U111" s="223" t="str">
        <f>IFERROR(SUMIFS('capacity data'!$L:$L,'capacity data'!$B:$B,P111,'capacity data'!$E:$E,"TPO")/SUMIFS('capacity data'!$G:$G,'capacity data'!$E:$E,"TPO",'capacity data'!$B:$B,P111),"")</f>
        <v/>
      </c>
    </row>
    <row r="112" spans="15:21" ht="16" x14ac:dyDescent="0.2">
      <c r="O112" s="23" t="s">
        <v>25</v>
      </c>
      <c r="P112" t="s">
        <v>241</v>
      </c>
      <c r="Q112" s="222" t="str">
        <f>IFERROR(SUM((SUMIFS('capacity data'!$G:$G,'capacity data'!$E:$E,"PO",'capacity data'!$B:$B,P112))-SUMIFS('capacity data'!$H:$H,'capacity data'!$E:$E,"PO",'capacity data'!$B:$B,P112))/SUMIFS('capacity data'!$G:$G,'capacity data'!$E:$E,"PO",'capacity data'!$B:$B,P112),"")</f>
        <v/>
      </c>
      <c r="R112" s="222" t="str">
        <f>IFERROR(SUM((SUMIFS('capacity data'!$G:$G,'capacity data'!$E:$E,"PSO",'capacity data'!$B:$B,P112))-SUMIFS('capacity data'!$H:$H,'capacity data'!$E:$E,"PSO",'capacity data'!$B:$B,P112))/SUMIFS('capacity data'!$G:$G,'capacity data'!$E:$E,"PSO",'capacity data'!$B:$B,P112),"")</f>
        <v/>
      </c>
      <c r="S112" s="22" t="str">
        <f t="shared" si="1"/>
        <v/>
      </c>
      <c r="T112" s="223" t="str">
        <f>IFERROR(SUMIFS('capacity data'!$L:$L,'capacity data'!$B:$B,P112,'capacity data'!$E:$E,"PSO")/SUMIFS('capacity data'!$G:$G,'capacity data'!$E:$E,"PSO",'capacity data'!$B:$B,P112),"")</f>
        <v/>
      </c>
      <c r="U112" s="223" t="str">
        <f>IFERROR(SUMIFS('capacity data'!$L:$L,'capacity data'!$B:$B,P112,'capacity data'!$E:$E,"TPO")/SUMIFS('capacity data'!$G:$G,'capacity data'!$E:$E,"TPO",'capacity data'!$B:$B,P112),"")</f>
        <v/>
      </c>
    </row>
    <row r="113" spans="15:21" ht="16" x14ac:dyDescent="0.2">
      <c r="O113" s="23" t="s">
        <v>25</v>
      </c>
      <c r="P113" t="s">
        <v>257</v>
      </c>
      <c r="Q113" s="222" t="str">
        <f>IFERROR(SUM((SUMIFS('capacity data'!$G:$G,'capacity data'!$E:$E,"PO",'capacity data'!$B:$B,P113))-SUMIFS('capacity data'!$H:$H,'capacity data'!$E:$E,"PO",'capacity data'!$B:$B,P113))/SUMIFS('capacity data'!$G:$G,'capacity data'!$E:$E,"PO",'capacity data'!$B:$B,P113),"")</f>
        <v/>
      </c>
      <c r="R113" s="222" t="str">
        <f>IFERROR(SUM((SUMIFS('capacity data'!$G:$G,'capacity data'!$E:$E,"PSO",'capacity data'!$B:$B,P113))-SUMIFS('capacity data'!$H:$H,'capacity data'!$E:$E,"PSO",'capacity data'!$B:$B,P113))/SUMIFS('capacity data'!$G:$G,'capacity data'!$E:$E,"PSO",'capacity data'!$B:$B,P113),"")</f>
        <v/>
      </c>
      <c r="S113" s="22" t="str">
        <f t="shared" si="1"/>
        <v/>
      </c>
      <c r="T113" s="223" t="str">
        <f>IFERROR(SUMIFS('capacity data'!$L:$L,'capacity data'!$B:$B,P113,'capacity data'!$E:$E,"PSO")/SUMIFS('capacity data'!$G:$G,'capacity data'!$E:$E,"PSO",'capacity data'!$B:$B,P113),"")</f>
        <v/>
      </c>
      <c r="U113" s="223" t="str">
        <f>IFERROR(SUMIFS('capacity data'!$L:$L,'capacity data'!$B:$B,P113,'capacity data'!$E:$E,"TPO")/SUMIFS('capacity data'!$G:$G,'capacity data'!$E:$E,"TPO",'capacity data'!$B:$B,P113),"")</f>
        <v/>
      </c>
    </row>
    <row r="114" spans="15:21" ht="16" x14ac:dyDescent="0.2">
      <c r="O114" s="23" t="s">
        <v>26</v>
      </c>
      <c r="P114" t="s">
        <v>38</v>
      </c>
      <c r="Q114" s="222" t="str">
        <f>IFERROR(SUM((SUMIFS('capacity data'!$G:$G,'capacity data'!$E:$E,"PO",'capacity data'!$B:$B,P114))-SUMIFS('capacity data'!$H:$H,'capacity data'!$E:$E,"PO",'capacity data'!$B:$B,P114))/SUMIFS('capacity data'!$G:$G,'capacity data'!$E:$E,"PO",'capacity data'!$B:$B,P114),"")</f>
        <v/>
      </c>
      <c r="R114" s="222" t="str">
        <f>IFERROR(SUM((SUMIFS('capacity data'!$G:$G,'capacity data'!$E:$E,"PSO",'capacity data'!$B:$B,P114))-SUMIFS('capacity data'!$H:$H,'capacity data'!$E:$E,"PSO",'capacity data'!$B:$B,P114))/SUMIFS('capacity data'!$G:$G,'capacity data'!$E:$E,"PSO",'capacity data'!$B:$B,P114),"")</f>
        <v/>
      </c>
      <c r="S114" s="22" t="str">
        <f t="shared" si="1"/>
        <v/>
      </c>
      <c r="T114" s="223" t="str">
        <f>IFERROR(SUMIFS('capacity data'!$L:$L,'capacity data'!$B:$B,P114,'capacity data'!$E:$E,"PSO")/SUMIFS('capacity data'!$G:$G,'capacity data'!$E:$E,"PSO",'capacity data'!$B:$B,P114),"")</f>
        <v/>
      </c>
      <c r="U114" s="223" t="str">
        <f>IFERROR(SUMIFS('capacity data'!$L:$L,'capacity data'!$B:$B,P114,'capacity data'!$E:$E,"TPO")/SUMIFS('capacity data'!$G:$G,'capacity data'!$E:$E,"TPO",'capacity data'!$B:$B,P114),"")</f>
        <v/>
      </c>
    </row>
    <row r="115" spans="15:21" ht="16" x14ac:dyDescent="0.2">
      <c r="O115" s="23" t="s">
        <v>26</v>
      </c>
      <c r="P115" t="s">
        <v>60</v>
      </c>
      <c r="Q115" s="222" t="str">
        <f>IFERROR(SUM((SUMIFS('capacity data'!$G:$G,'capacity data'!$E:$E,"PO",'capacity data'!$B:$B,P115))-SUMIFS('capacity data'!$H:$H,'capacity data'!$E:$E,"PO",'capacity data'!$B:$B,P115))/SUMIFS('capacity data'!$G:$G,'capacity data'!$E:$E,"PO",'capacity data'!$B:$B,P115),"")</f>
        <v/>
      </c>
      <c r="R115" s="222" t="str">
        <f>IFERROR(SUM((SUMIFS('capacity data'!$G:$G,'capacity data'!$E:$E,"PSO",'capacity data'!$B:$B,P115))-SUMIFS('capacity data'!$H:$H,'capacity data'!$E:$E,"PSO",'capacity data'!$B:$B,P115))/SUMIFS('capacity data'!$G:$G,'capacity data'!$E:$E,"PSO",'capacity data'!$B:$B,P115),"")</f>
        <v/>
      </c>
      <c r="S115" s="22" t="str">
        <f t="shared" si="1"/>
        <v/>
      </c>
      <c r="T115" s="223" t="str">
        <f>IFERROR(SUMIFS('capacity data'!$L:$L,'capacity data'!$B:$B,P115,'capacity data'!$E:$E,"PSO")/SUMIFS('capacity data'!$G:$G,'capacity data'!$E:$E,"PSO",'capacity data'!$B:$B,P115),"")</f>
        <v/>
      </c>
      <c r="U115" s="223" t="str">
        <f>IFERROR(SUMIFS('capacity data'!$L:$L,'capacity data'!$B:$B,P115,'capacity data'!$E:$E,"TPO")/SUMIFS('capacity data'!$G:$G,'capacity data'!$E:$E,"TPO",'capacity data'!$B:$B,P115),"")</f>
        <v/>
      </c>
    </row>
    <row r="116" spans="15:21" ht="16" x14ac:dyDescent="0.2">
      <c r="O116" s="23" t="s">
        <v>26</v>
      </c>
      <c r="P116" t="s">
        <v>81</v>
      </c>
      <c r="Q116" s="222" t="str">
        <f>IFERROR(SUM((SUMIFS('capacity data'!$G:$G,'capacity data'!$E:$E,"PO",'capacity data'!$B:$B,P116))-SUMIFS('capacity data'!$H:$H,'capacity data'!$E:$E,"PO",'capacity data'!$B:$B,P116))/SUMIFS('capacity data'!$G:$G,'capacity data'!$E:$E,"PO",'capacity data'!$B:$B,P116),"")</f>
        <v/>
      </c>
      <c r="R116" s="222" t="str">
        <f>IFERROR(SUM((SUMIFS('capacity data'!$G:$G,'capacity data'!$E:$E,"PSO",'capacity data'!$B:$B,P116))-SUMIFS('capacity data'!$H:$H,'capacity data'!$E:$E,"PSO",'capacity data'!$B:$B,P116))/SUMIFS('capacity data'!$G:$G,'capacity data'!$E:$E,"PSO",'capacity data'!$B:$B,P116),"")</f>
        <v/>
      </c>
      <c r="S116" s="22" t="str">
        <f t="shared" si="1"/>
        <v/>
      </c>
      <c r="T116" s="223" t="str">
        <f>IFERROR(SUMIFS('capacity data'!$L:$L,'capacity data'!$B:$B,P116,'capacity data'!$E:$E,"PSO")/SUMIFS('capacity data'!$G:$G,'capacity data'!$E:$E,"PSO",'capacity data'!$B:$B,P116),"")</f>
        <v/>
      </c>
      <c r="U116" s="223" t="str">
        <f>IFERROR(SUMIFS('capacity data'!$L:$L,'capacity data'!$B:$B,P116,'capacity data'!$E:$E,"TPO")/SUMIFS('capacity data'!$G:$G,'capacity data'!$E:$E,"TPO",'capacity data'!$B:$B,P116),"")</f>
        <v/>
      </c>
    </row>
    <row r="117" spans="15:21" ht="16" x14ac:dyDescent="0.2">
      <c r="O117" s="23" t="s">
        <v>26</v>
      </c>
      <c r="P117" t="s">
        <v>103</v>
      </c>
      <c r="Q117" s="222" t="str">
        <f>IFERROR(SUM((SUMIFS('capacity data'!$G:$G,'capacity data'!$E:$E,"PO",'capacity data'!$B:$B,P117))-SUMIFS('capacity data'!$H:$H,'capacity data'!$E:$E,"PO",'capacity data'!$B:$B,P117))/SUMIFS('capacity data'!$G:$G,'capacity data'!$E:$E,"PO",'capacity data'!$B:$B,P117),"")</f>
        <v/>
      </c>
      <c r="R117" s="222" t="str">
        <f>IFERROR(SUM((SUMIFS('capacity data'!$G:$G,'capacity data'!$E:$E,"PSO",'capacity data'!$B:$B,P117))-SUMIFS('capacity data'!$H:$H,'capacity data'!$E:$E,"PSO",'capacity data'!$B:$B,P117))/SUMIFS('capacity data'!$G:$G,'capacity data'!$E:$E,"PSO",'capacity data'!$B:$B,P117),"")</f>
        <v/>
      </c>
      <c r="S117" s="22" t="str">
        <f t="shared" si="1"/>
        <v/>
      </c>
      <c r="T117" s="223" t="str">
        <f>IFERROR(SUMIFS('capacity data'!$L:$L,'capacity data'!$B:$B,P117,'capacity data'!$E:$E,"PSO")/SUMIFS('capacity data'!$G:$G,'capacity data'!$E:$E,"PSO",'capacity data'!$B:$B,P117),"")</f>
        <v/>
      </c>
      <c r="U117" s="223" t="str">
        <f>IFERROR(SUMIFS('capacity data'!$L:$L,'capacity data'!$B:$B,P117,'capacity data'!$E:$E,"TPO")/SUMIFS('capacity data'!$G:$G,'capacity data'!$E:$E,"TPO",'capacity data'!$B:$B,P117),"")</f>
        <v/>
      </c>
    </row>
    <row r="118" spans="15:21" ht="16" x14ac:dyDescent="0.2">
      <c r="O118" s="23" t="s">
        <v>26</v>
      </c>
      <c r="P118" t="s">
        <v>125</v>
      </c>
      <c r="Q118" s="222" t="str">
        <f>IFERROR(SUM((SUMIFS('capacity data'!$G:$G,'capacity data'!$E:$E,"PO",'capacity data'!$B:$B,P118))-SUMIFS('capacity data'!$H:$H,'capacity data'!$E:$E,"PO",'capacity data'!$B:$B,P118))/SUMIFS('capacity data'!$G:$G,'capacity data'!$E:$E,"PO",'capacity data'!$B:$B,P118),"")</f>
        <v/>
      </c>
      <c r="R118" s="222" t="str">
        <f>IFERROR(SUM((SUMIFS('capacity data'!$G:$G,'capacity data'!$E:$E,"PSO",'capacity data'!$B:$B,P118))-SUMIFS('capacity data'!$H:$H,'capacity data'!$E:$E,"PSO",'capacity data'!$B:$B,P118))/SUMIFS('capacity data'!$G:$G,'capacity data'!$E:$E,"PSO",'capacity data'!$B:$B,P118),"")</f>
        <v/>
      </c>
      <c r="S118" s="22" t="str">
        <f t="shared" si="1"/>
        <v/>
      </c>
      <c r="T118" s="223" t="str">
        <f>IFERROR(SUMIFS('capacity data'!$L:$L,'capacity data'!$B:$B,P118,'capacity data'!$E:$E,"PSO")/SUMIFS('capacity data'!$G:$G,'capacity data'!$E:$E,"PSO",'capacity data'!$B:$B,P118),"")</f>
        <v/>
      </c>
      <c r="U118" s="223" t="str">
        <f>IFERROR(SUMIFS('capacity data'!$L:$L,'capacity data'!$B:$B,P118,'capacity data'!$E:$E,"TPO")/SUMIFS('capacity data'!$G:$G,'capacity data'!$E:$E,"TPO",'capacity data'!$B:$B,P118),"")</f>
        <v/>
      </c>
    </row>
    <row r="119" spans="15:21" ht="16" x14ac:dyDescent="0.2">
      <c r="O119" s="23" t="s">
        <v>26</v>
      </c>
      <c r="P119" t="s">
        <v>146</v>
      </c>
      <c r="Q119" s="222" t="str">
        <f>IFERROR(SUM((SUMIFS('capacity data'!$G:$G,'capacity data'!$E:$E,"PO",'capacity data'!$B:$B,P119))-SUMIFS('capacity data'!$H:$H,'capacity data'!$E:$E,"PO",'capacity data'!$B:$B,P119))/SUMIFS('capacity data'!$G:$G,'capacity data'!$E:$E,"PO",'capacity data'!$B:$B,P119),"")</f>
        <v/>
      </c>
      <c r="R119" s="222" t="str">
        <f>IFERROR(SUM((SUMIFS('capacity data'!$G:$G,'capacity data'!$E:$E,"PSO",'capacity data'!$B:$B,P119))-SUMIFS('capacity data'!$H:$H,'capacity data'!$E:$E,"PSO",'capacity data'!$B:$B,P119))/SUMIFS('capacity data'!$G:$G,'capacity data'!$E:$E,"PSO",'capacity data'!$B:$B,P119),"")</f>
        <v/>
      </c>
      <c r="S119" s="22" t="str">
        <f t="shared" si="1"/>
        <v/>
      </c>
      <c r="T119" s="223" t="str">
        <f>IFERROR(SUMIFS('capacity data'!$L:$L,'capacity data'!$B:$B,P119,'capacity data'!$E:$E,"PSO")/SUMIFS('capacity data'!$G:$G,'capacity data'!$E:$E,"PSO",'capacity data'!$B:$B,P119),"")</f>
        <v/>
      </c>
      <c r="U119" s="223" t="str">
        <f>IFERROR(SUMIFS('capacity data'!$L:$L,'capacity data'!$B:$B,P119,'capacity data'!$E:$E,"TPO")/SUMIFS('capacity data'!$G:$G,'capacity data'!$E:$E,"TPO",'capacity data'!$B:$B,P119),"")</f>
        <v/>
      </c>
    </row>
    <row r="120" spans="15:21" ht="16" x14ac:dyDescent="0.2">
      <c r="O120" s="23" t="s">
        <v>26</v>
      </c>
      <c r="P120" t="s">
        <v>167</v>
      </c>
      <c r="Q120" s="222" t="str">
        <f>IFERROR(SUM((SUMIFS('capacity data'!$G:$G,'capacity data'!$E:$E,"PO",'capacity data'!$B:$B,P120))-SUMIFS('capacity data'!$H:$H,'capacity data'!$E:$E,"PO",'capacity data'!$B:$B,P120))/SUMIFS('capacity data'!$G:$G,'capacity data'!$E:$E,"PO",'capacity data'!$B:$B,P120),"")</f>
        <v/>
      </c>
      <c r="R120" s="222" t="str">
        <f>IFERROR(SUM((SUMIFS('capacity data'!$G:$G,'capacity data'!$E:$E,"PSO",'capacity data'!$B:$B,P120))-SUMIFS('capacity data'!$H:$H,'capacity data'!$E:$E,"PSO",'capacity data'!$B:$B,P120))/SUMIFS('capacity data'!$G:$G,'capacity data'!$E:$E,"PSO",'capacity data'!$B:$B,P120),"")</f>
        <v/>
      </c>
      <c r="S120" s="22" t="str">
        <f t="shared" si="1"/>
        <v/>
      </c>
      <c r="T120" s="223" t="str">
        <f>IFERROR(SUMIFS('capacity data'!$L:$L,'capacity data'!$B:$B,P120,'capacity data'!$E:$E,"PSO")/SUMIFS('capacity data'!$G:$G,'capacity data'!$E:$E,"PSO",'capacity data'!$B:$B,P120),"")</f>
        <v/>
      </c>
      <c r="U120" s="223" t="str">
        <f>IFERROR(SUMIFS('capacity data'!$L:$L,'capacity data'!$B:$B,P120,'capacity data'!$E:$E,"TPO")/SUMIFS('capacity data'!$G:$G,'capacity data'!$E:$E,"TPO",'capacity data'!$B:$B,P120),"")</f>
        <v/>
      </c>
    </row>
    <row r="121" spans="15:21" ht="16" x14ac:dyDescent="0.2">
      <c r="O121" s="23" t="s">
        <v>26</v>
      </c>
      <c r="P121" t="s">
        <v>187</v>
      </c>
      <c r="Q121" s="222" t="str">
        <f>IFERROR(SUM((SUMIFS('capacity data'!$G:$G,'capacity data'!$E:$E,"PO",'capacity data'!$B:$B,P121))-SUMIFS('capacity data'!$H:$H,'capacity data'!$E:$E,"PO",'capacity data'!$B:$B,P121))/SUMIFS('capacity data'!$G:$G,'capacity data'!$E:$E,"PO",'capacity data'!$B:$B,P121),"")</f>
        <v/>
      </c>
      <c r="R121" s="222" t="str">
        <f>IFERROR(SUM((SUMIFS('capacity data'!$G:$G,'capacity data'!$E:$E,"PSO",'capacity data'!$B:$B,P121))-SUMIFS('capacity data'!$H:$H,'capacity data'!$E:$E,"PSO",'capacity data'!$B:$B,P121))/SUMIFS('capacity data'!$G:$G,'capacity data'!$E:$E,"PSO",'capacity data'!$B:$B,P121),"")</f>
        <v/>
      </c>
      <c r="S121" s="22" t="str">
        <f t="shared" si="1"/>
        <v/>
      </c>
      <c r="T121" s="223" t="str">
        <f>IFERROR(SUMIFS('capacity data'!$L:$L,'capacity data'!$B:$B,P121,'capacity data'!$E:$E,"PSO")/SUMIFS('capacity data'!$G:$G,'capacity data'!$E:$E,"PSO",'capacity data'!$B:$B,P121),"")</f>
        <v/>
      </c>
      <c r="U121" s="223" t="str">
        <f>IFERROR(SUMIFS('capacity data'!$L:$L,'capacity data'!$B:$B,P121,'capacity data'!$E:$E,"TPO")/SUMIFS('capacity data'!$G:$G,'capacity data'!$E:$E,"TPO",'capacity data'!$B:$B,P121),"")</f>
        <v/>
      </c>
    </row>
    <row r="122" spans="15:21" ht="16" x14ac:dyDescent="0.2">
      <c r="O122" s="23" t="s">
        <v>27</v>
      </c>
      <c r="P122" t="s">
        <v>39</v>
      </c>
      <c r="Q122" s="222" t="str">
        <f>IFERROR(SUM((SUMIFS('capacity data'!$G:$G,'capacity data'!$E:$E,"PO",'capacity data'!$B:$B,P122))-SUMIFS('capacity data'!$H:$H,'capacity data'!$E:$E,"PO",'capacity data'!$B:$B,P122))/SUMIFS('capacity data'!$G:$G,'capacity data'!$E:$E,"PO",'capacity data'!$B:$B,P122),"")</f>
        <v/>
      </c>
      <c r="R122" s="222" t="str">
        <f>IFERROR(SUM((SUMIFS('capacity data'!$G:$G,'capacity data'!$E:$E,"PSO",'capacity data'!$B:$B,P122))-SUMIFS('capacity data'!$H:$H,'capacity data'!$E:$E,"PSO",'capacity data'!$B:$B,P122))/SUMIFS('capacity data'!$G:$G,'capacity data'!$E:$E,"PSO",'capacity data'!$B:$B,P122),"")</f>
        <v/>
      </c>
      <c r="S122" s="22" t="str">
        <f t="shared" si="1"/>
        <v/>
      </c>
      <c r="T122" s="223" t="str">
        <f>IFERROR(SUMIFS('capacity data'!$L:$L,'capacity data'!$B:$B,P122,'capacity data'!$E:$E,"PSO")/SUMIFS('capacity data'!$G:$G,'capacity data'!$E:$E,"PSO",'capacity data'!$B:$B,P122),"")</f>
        <v/>
      </c>
      <c r="U122" s="223" t="str">
        <f>IFERROR(SUMIFS('capacity data'!$L:$L,'capacity data'!$B:$B,P122,'capacity data'!$E:$E,"TPO")/SUMIFS('capacity data'!$G:$G,'capacity data'!$E:$E,"TPO",'capacity data'!$B:$B,P122),"")</f>
        <v/>
      </c>
    </row>
    <row r="123" spans="15:21" ht="16" x14ac:dyDescent="0.2">
      <c r="O123" s="23" t="s">
        <v>27</v>
      </c>
      <c r="P123" t="s">
        <v>61</v>
      </c>
      <c r="Q123" s="222" t="str">
        <f>IFERROR(SUM((SUMIFS('capacity data'!$G:$G,'capacity data'!$E:$E,"PO",'capacity data'!$B:$B,P123))-SUMIFS('capacity data'!$H:$H,'capacity data'!$E:$E,"PO",'capacity data'!$B:$B,P123))/SUMIFS('capacity data'!$G:$G,'capacity data'!$E:$E,"PO",'capacity data'!$B:$B,P123),"")</f>
        <v/>
      </c>
      <c r="R123" s="222" t="str">
        <f>IFERROR(SUM((SUMIFS('capacity data'!$G:$G,'capacity data'!$E:$E,"PSO",'capacity data'!$B:$B,P123))-SUMIFS('capacity data'!$H:$H,'capacity data'!$E:$E,"PSO",'capacity data'!$B:$B,P123))/SUMIFS('capacity data'!$G:$G,'capacity data'!$E:$E,"PSO",'capacity data'!$B:$B,P123),"")</f>
        <v/>
      </c>
      <c r="S123" s="22" t="str">
        <f t="shared" si="1"/>
        <v/>
      </c>
      <c r="T123" s="223" t="str">
        <f>IFERROR(SUMIFS('capacity data'!$L:$L,'capacity data'!$B:$B,P123,'capacity data'!$E:$E,"PSO")/SUMIFS('capacity data'!$G:$G,'capacity data'!$E:$E,"PSO",'capacity data'!$B:$B,P123),"")</f>
        <v/>
      </c>
      <c r="U123" s="223" t="str">
        <f>IFERROR(SUMIFS('capacity data'!$L:$L,'capacity data'!$B:$B,P123,'capacity data'!$E:$E,"TPO")/SUMIFS('capacity data'!$G:$G,'capacity data'!$E:$E,"TPO",'capacity data'!$B:$B,P123),"")</f>
        <v/>
      </c>
    </row>
    <row r="124" spans="15:21" ht="16" x14ac:dyDescent="0.2">
      <c r="O124" s="23" t="s">
        <v>27</v>
      </c>
      <c r="P124" t="s">
        <v>82</v>
      </c>
      <c r="Q124" s="222" t="str">
        <f>IFERROR(SUM((SUMIFS('capacity data'!$G:$G,'capacity data'!$E:$E,"PO",'capacity data'!$B:$B,P124))-SUMIFS('capacity data'!$H:$H,'capacity data'!$E:$E,"PO",'capacity data'!$B:$B,P124))/SUMIFS('capacity data'!$G:$G,'capacity data'!$E:$E,"PO",'capacity data'!$B:$B,P124),"")</f>
        <v/>
      </c>
      <c r="R124" s="222" t="str">
        <f>IFERROR(SUM((SUMIFS('capacity data'!$G:$G,'capacity data'!$E:$E,"PSO",'capacity data'!$B:$B,P124))-SUMIFS('capacity data'!$H:$H,'capacity data'!$E:$E,"PSO",'capacity data'!$B:$B,P124))/SUMIFS('capacity data'!$G:$G,'capacity data'!$E:$E,"PSO",'capacity data'!$B:$B,P124),"")</f>
        <v/>
      </c>
      <c r="S124" s="22" t="str">
        <f t="shared" si="1"/>
        <v/>
      </c>
      <c r="T124" s="223" t="str">
        <f>IFERROR(SUMIFS('capacity data'!$L:$L,'capacity data'!$B:$B,P124,'capacity data'!$E:$E,"PSO")/SUMIFS('capacity data'!$G:$G,'capacity data'!$E:$E,"PSO",'capacity data'!$B:$B,P124),"")</f>
        <v/>
      </c>
      <c r="U124" s="223" t="str">
        <f>IFERROR(SUMIFS('capacity data'!$L:$L,'capacity data'!$B:$B,P124,'capacity data'!$E:$E,"TPO")/SUMIFS('capacity data'!$G:$G,'capacity data'!$E:$E,"TPO",'capacity data'!$B:$B,P124),"")</f>
        <v/>
      </c>
    </row>
    <row r="125" spans="15:21" ht="16" x14ac:dyDescent="0.2">
      <c r="O125" s="23" t="s">
        <v>27</v>
      </c>
      <c r="P125" t="s">
        <v>104</v>
      </c>
      <c r="Q125" s="222" t="str">
        <f>IFERROR(SUM((SUMIFS('capacity data'!$G:$G,'capacity data'!$E:$E,"PO",'capacity data'!$B:$B,P125))-SUMIFS('capacity data'!$H:$H,'capacity data'!$E:$E,"PO",'capacity data'!$B:$B,P125))/SUMIFS('capacity data'!$G:$G,'capacity data'!$E:$E,"PO",'capacity data'!$B:$B,P125),"")</f>
        <v/>
      </c>
      <c r="R125" s="222" t="str">
        <f>IFERROR(SUM((SUMIFS('capacity data'!$G:$G,'capacity data'!$E:$E,"PSO",'capacity data'!$B:$B,P125))-SUMIFS('capacity data'!$H:$H,'capacity data'!$E:$E,"PSO",'capacity data'!$B:$B,P125))/SUMIFS('capacity data'!$G:$G,'capacity data'!$E:$E,"PSO",'capacity data'!$B:$B,P125),"")</f>
        <v/>
      </c>
      <c r="S125" s="22" t="str">
        <f t="shared" si="1"/>
        <v/>
      </c>
      <c r="T125" s="223" t="str">
        <f>IFERROR(SUMIFS('capacity data'!$L:$L,'capacity data'!$B:$B,P125,'capacity data'!$E:$E,"PSO")/SUMIFS('capacity data'!$G:$G,'capacity data'!$E:$E,"PSO",'capacity data'!$B:$B,P125),"")</f>
        <v/>
      </c>
      <c r="U125" s="223" t="str">
        <f>IFERROR(SUMIFS('capacity data'!$L:$L,'capacity data'!$B:$B,P125,'capacity data'!$E:$E,"TPO")/SUMIFS('capacity data'!$G:$G,'capacity data'!$E:$E,"TPO",'capacity data'!$B:$B,P125),"")</f>
        <v/>
      </c>
    </row>
    <row r="126" spans="15:21" ht="16" x14ac:dyDescent="0.2">
      <c r="O126" s="23" t="s">
        <v>27</v>
      </c>
      <c r="P126" t="s">
        <v>126</v>
      </c>
      <c r="Q126" s="222" t="str">
        <f>IFERROR(SUM((SUMIFS('capacity data'!$G:$G,'capacity data'!$E:$E,"PO",'capacity data'!$B:$B,P126))-SUMIFS('capacity data'!$H:$H,'capacity data'!$E:$E,"PO",'capacity data'!$B:$B,P126))/SUMIFS('capacity data'!$G:$G,'capacity data'!$E:$E,"PO",'capacity data'!$B:$B,P126),"")</f>
        <v/>
      </c>
      <c r="R126" s="222" t="str">
        <f>IFERROR(SUM((SUMIFS('capacity data'!$G:$G,'capacity data'!$E:$E,"PSO",'capacity data'!$B:$B,P126))-SUMIFS('capacity data'!$H:$H,'capacity data'!$E:$E,"PSO",'capacity data'!$B:$B,P126))/SUMIFS('capacity data'!$G:$G,'capacity data'!$E:$E,"PSO",'capacity data'!$B:$B,P126),"")</f>
        <v/>
      </c>
      <c r="S126" s="22" t="str">
        <f t="shared" si="1"/>
        <v/>
      </c>
      <c r="T126" s="223" t="str">
        <f>IFERROR(SUMIFS('capacity data'!$L:$L,'capacity data'!$B:$B,P126,'capacity data'!$E:$E,"PSO")/SUMIFS('capacity data'!$G:$G,'capacity data'!$E:$E,"PSO",'capacity data'!$B:$B,P126),"")</f>
        <v/>
      </c>
      <c r="U126" s="223" t="str">
        <f>IFERROR(SUMIFS('capacity data'!$L:$L,'capacity data'!$B:$B,P126,'capacity data'!$E:$E,"TPO")/SUMIFS('capacity data'!$G:$G,'capacity data'!$E:$E,"TPO",'capacity data'!$B:$B,P126),"")</f>
        <v/>
      </c>
    </row>
    <row r="127" spans="15:21" ht="16" x14ac:dyDescent="0.2">
      <c r="O127" s="23" t="s">
        <v>27</v>
      </c>
      <c r="P127" t="s">
        <v>147</v>
      </c>
      <c r="Q127" s="222" t="str">
        <f>IFERROR(SUM((SUMIFS('capacity data'!$G:$G,'capacity data'!$E:$E,"PO",'capacity data'!$B:$B,P127))-SUMIFS('capacity data'!$H:$H,'capacity data'!$E:$E,"PO",'capacity data'!$B:$B,P127))/SUMIFS('capacity data'!$G:$G,'capacity data'!$E:$E,"PO",'capacity data'!$B:$B,P127),"")</f>
        <v/>
      </c>
      <c r="R127" s="222" t="str">
        <f>IFERROR(SUM((SUMIFS('capacity data'!$G:$G,'capacity data'!$E:$E,"PSO",'capacity data'!$B:$B,P127))-SUMIFS('capacity data'!$H:$H,'capacity data'!$E:$E,"PSO",'capacity data'!$B:$B,P127))/SUMIFS('capacity data'!$G:$G,'capacity data'!$E:$E,"PSO",'capacity data'!$B:$B,P127),"")</f>
        <v/>
      </c>
      <c r="S127" s="22" t="str">
        <f t="shared" si="1"/>
        <v/>
      </c>
      <c r="T127" s="223" t="str">
        <f>IFERROR(SUMIFS('capacity data'!$L:$L,'capacity data'!$B:$B,P127,'capacity data'!$E:$E,"PSO")/SUMIFS('capacity data'!$G:$G,'capacity data'!$E:$E,"PSO",'capacity data'!$B:$B,P127),"")</f>
        <v/>
      </c>
      <c r="U127" s="223" t="str">
        <f>IFERROR(SUMIFS('capacity data'!$L:$L,'capacity data'!$B:$B,P127,'capacity data'!$E:$E,"TPO")/SUMIFS('capacity data'!$G:$G,'capacity data'!$E:$E,"TPO",'capacity data'!$B:$B,P127),"")</f>
        <v/>
      </c>
    </row>
    <row r="128" spans="15:21" ht="16" x14ac:dyDescent="0.2">
      <c r="O128" s="23" t="s">
        <v>27</v>
      </c>
      <c r="P128" t="s">
        <v>168</v>
      </c>
      <c r="Q128" s="222" t="str">
        <f>IFERROR(SUM((SUMIFS('capacity data'!$G:$G,'capacity data'!$E:$E,"PO",'capacity data'!$B:$B,P128))-SUMIFS('capacity data'!$H:$H,'capacity data'!$E:$E,"PO",'capacity data'!$B:$B,P128))/SUMIFS('capacity data'!$G:$G,'capacity data'!$E:$E,"PO",'capacity data'!$B:$B,P128),"")</f>
        <v/>
      </c>
      <c r="R128" s="222" t="str">
        <f>IFERROR(SUM((SUMIFS('capacity data'!$G:$G,'capacity data'!$E:$E,"PSO",'capacity data'!$B:$B,P128))-SUMIFS('capacity data'!$H:$H,'capacity data'!$E:$E,"PSO",'capacity data'!$B:$B,P128))/SUMIFS('capacity data'!$G:$G,'capacity data'!$E:$E,"PSO",'capacity data'!$B:$B,P128),"")</f>
        <v/>
      </c>
      <c r="S128" s="22" t="str">
        <f t="shared" si="1"/>
        <v/>
      </c>
      <c r="T128" s="223" t="str">
        <f>IFERROR(SUMIFS('capacity data'!$L:$L,'capacity data'!$B:$B,P128,'capacity data'!$E:$E,"PSO")/SUMIFS('capacity data'!$G:$G,'capacity data'!$E:$E,"PSO",'capacity data'!$B:$B,P128),"")</f>
        <v/>
      </c>
      <c r="U128" s="223" t="str">
        <f>IFERROR(SUMIFS('capacity data'!$L:$L,'capacity data'!$B:$B,P128,'capacity data'!$E:$E,"TPO")/SUMIFS('capacity data'!$G:$G,'capacity data'!$E:$E,"TPO",'capacity data'!$B:$B,P128),"")</f>
        <v/>
      </c>
    </row>
    <row r="129" spans="15:21" ht="16" x14ac:dyDescent="0.2">
      <c r="O129" s="23" t="s">
        <v>27</v>
      </c>
      <c r="P129" t="s">
        <v>188</v>
      </c>
      <c r="Q129" s="222" t="str">
        <f>IFERROR(SUM((SUMIFS('capacity data'!$G:$G,'capacity data'!$E:$E,"PO",'capacity data'!$B:$B,P129))-SUMIFS('capacity data'!$H:$H,'capacity data'!$E:$E,"PO",'capacity data'!$B:$B,P129))/SUMIFS('capacity data'!$G:$G,'capacity data'!$E:$E,"PO",'capacity data'!$B:$B,P129),"")</f>
        <v/>
      </c>
      <c r="R129" s="222" t="str">
        <f>IFERROR(SUM((SUMIFS('capacity data'!$G:$G,'capacity data'!$E:$E,"PSO",'capacity data'!$B:$B,P129))-SUMIFS('capacity data'!$H:$H,'capacity data'!$E:$E,"PSO",'capacity data'!$B:$B,P129))/SUMIFS('capacity data'!$G:$G,'capacity data'!$E:$E,"PSO",'capacity data'!$B:$B,P129),"")</f>
        <v/>
      </c>
      <c r="S129" s="22" t="str">
        <f t="shared" si="1"/>
        <v/>
      </c>
      <c r="T129" s="223" t="str">
        <f>IFERROR(SUMIFS('capacity data'!$L:$L,'capacity data'!$B:$B,P129,'capacity data'!$E:$E,"PSO")/SUMIFS('capacity data'!$G:$G,'capacity data'!$E:$E,"PSO",'capacity data'!$B:$B,P129),"")</f>
        <v/>
      </c>
      <c r="U129" s="223" t="str">
        <f>IFERROR(SUMIFS('capacity data'!$L:$L,'capacity data'!$B:$B,P129,'capacity data'!$E:$E,"TPO")/SUMIFS('capacity data'!$G:$G,'capacity data'!$E:$E,"TPO",'capacity data'!$B:$B,P129),"")</f>
        <v/>
      </c>
    </row>
    <row r="130" spans="15:21" ht="16" x14ac:dyDescent="0.2">
      <c r="O130" s="23" t="s">
        <v>27</v>
      </c>
      <c r="P130" t="s">
        <v>207</v>
      </c>
      <c r="Q130" s="222" t="str">
        <f>IFERROR(SUM((SUMIFS('capacity data'!$G:$G,'capacity data'!$E:$E,"PO",'capacity data'!$B:$B,P130))-SUMIFS('capacity data'!$H:$H,'capacity data'!$E:$E,"PO",'capacity data'!$B:$B,P130))/SUMIFS('capacity data'!$G:$G,'capacity data'!$E:$E,"PO",'capacity data'!$B:$B,P130),"")</f>
        <v/>
      </c>
      <c r="R130" s="222" t="str">
        <f>IFERROR(SUM((SUMIFS('capacity data'!$G:$G,'capacity data'!$E:$E,"PSO",'capacity data'!$B:$B,P130))-SUMIFS('capacity data'!$H:$H,'capacity data'!$E:$E,"PSO",'capacity data'!$B:$B,P130))/SUMIFS('capacity data'!$G:$G,'capacity data'!$E:$E,"PSO",'capacity data'!$B:$B,P130),"")</f>
        <v/>
      </c>
      <c r="S130" s="22" t="str">
        <f t="shared" si="1"/>
        <v/>
      </c>
      <c r="T130" s="223" t="str">
        <f>IFERROR(SUMIFS('capacity data'!$L:$L,'capacity data'!$B:$B,P130,'capacity data'!$E:$E,"PSO")/SUMIFS('capacity data'!$G:$G,'capacity data'!$E:$E,"PSO",'capacity data'!$B:$B,P130),"")</f>
        <v/>
      </c>
      <c r="U130" s="223" t="str">
        <f>IFERROR(SUMIFS('capacity data'!$L:$L,'capacity data'!$B:$B,P130,'capacity data'!$E:$E,"TPO")/SUMIFS('capacity data'!$G:$G,'capacity data'!$E:$E,"TPO",'capacity data'!$B:$B,P130),"")</f>
        <v/>
      </c>
    </row>
    <row r="131" spans="15:21" ht="16" x14ac:dyDescent="0.2">
      <c r="O131" s="23" t="s">
        <v>27</v>
      </c>
      <c r="P131" t="s">
        <v>224</v>
      </c>
      <c r="Q131" s="222" t="str">
        <f>IFERROR(SUM((SUMIFS('capacity data'!$G:$G,'capacity data'!$E:$E,"PO",'capacity data'!$B:$B,P131))-SUMIFS('capacity data'!$H:$H,'capacity data'!$E:$E,"PO",'capacity data'!$B:$B,P131))/SUMIFS('capacity data'!$G:$G,'capacity data'!$E:$E,"PO",'capacity data'!$B:$B,P131),"")</f>
        <v/>
      </c>
      <c r="R131" s="222" t="str">
        <f>IFERROR(SUM((SUMIFS('capacity data'!$G:$G,'capacity data'!$E:$E,"PSO",'capacity data'!$B:$B,P131))-SUMIFS('capacity data'!$H:$H,'capacity data'!$E:$E,"PSO",'capacity data'!$B:$B,P131))/SUMIFS('capacity data'!$G:$G,'capacity data'!$E:$E,"PSO",'capacity data'!$B:$B,P131),"")</f>
        <v/>
      </c>
      <c r="S131" s="22" t="str">
        <f t="shared" ref="S131:S153" si="2">IFERROR((Q131-R131),"")</f>
        <v/>
      </c>
      <c r="T131" s="223" t="str">
        <f>IFERROR(SUMIFS('capacity data'!$L:$L,'capacity data'!$B:$B,P131,'capacity data'!$E:$E,"PSO")/SUMIFS('capacity data'!$G:$G,'capacity data'!$E:$E,"PSO",'capacity data'!$B:$B,P131),"")</f>
        <v/>
      </c>
      <c r="U131" s="223" t="str">
        <f>IFERROR(SUMIFS('capacity data'!$L:$L,'capacity data'!$B:$B,P131,'capacity data'!$E:$E,"TPO")/SUMIFS('capacity data'!$G:$G,'capacity data'!$E:$E,"TPO",'capacity data'!$B:$B,P131),"")</f>
        <v/>
      </c>
    </row>
    <row r="132" spans="15:21" ht="16" x14ac:dyDescent="0.2">
      <c r="O132" s="23" t="s">
        <v>27</v>
      </c>
      <c r="P132" t="s">
        <v>242</v>
      </c>
      <c r="Q132" s="222" t="str">
        <f>IFERROR(SUM((SUMIFS('capacity data'!$G:$G,'capacity data'!$E:$E,"PO",'capacity data'!$B:$B,P132))-SUMIFS('capacity data'!$H:$H,'capacity data'!$E:$E,"PO",'capacity data'!$B:$B,P132))/SUMIFS('capacity data'!$G:$G,'capacity data'!$E:$E,"PO",'capacity data'!$B:$B,P132),"")</f>
        <v/>
      </c>
      <c r="R132" s="222" t="str">
        <f>IFERROR(SUM((SUMIFS('capacity data'!$G:$G,'capacity data'!$E:$E,"PSO",'capacity data'!$B:$B,P132))-SUMIFS('capacity data'!$H:$H,'capacity data'!$E:$E,"PSO",'capacity data'!$B:$B,P132))/SUMIFS('capacity data'!$G:$G,'capacity data'!$E:$E,"PSO",'capacity data'!$B:$B,P132),"")</f>
        <v/>
      </c>
      <c r="S132" s="22" t="str">
        <f t="shared" si="2"/>
        <v/>
      </c>
      <c r="T132" s="223" t="str">
        <f>IFERROR(SUMIFS('capacity data'!$L:$L,'capacity data'!$B:$B,P132,'capacity data'!$E:$E,"PSO")/SUMIFS('capacity data'!$G:$G,'capacity data'!$E:$E,"PSO",'capacity data'!$B:$B,P132),"")</f>
        <v/>
      </c>
      <c r="U132" s="223" t="str">
        <f>IFERROR(SUMIFS('capacity data'!$L:$L,'capacity data'!$B:$B,P132,'capacity data'!$E:$E,"TPO")/SUMIFS('capacity data'!$G:$G,'capacity data'!$E:$E,"TPO",'capacity data'!$B:$B,P132),"")</f>
        <v/>
      </c>
    </row>
    <row r="133" spans="15:21" ht="16" x14ac:dyDescent="0.2">
      <c r="O133" s="23" t="s">
        <v>27</v>
      </c>
      <c r="P133" t="s">
        <v>258</v>
      </c>
      <c r="Q133" s="222" t="str">
        <f>IFERROR(SUM((SUMIFS('capacity data'!$G:$G,'capacity data'!$E:$E,"PO",'capacity data'!$B:$B,P133))-SUMIFS('capacity data'!$H:$H,'capacity data'!$E:$E,"PO",'capacity data'!$B:$B,P133))/SUMIFS('capacity data'!$G:$G,'capacity data'!$E:$E,"PO",'capacity data'!$B:$B,P133),"")</f>
        <v/>
      </c>
      <c r="R133" s="222" t="str">
        <f>IFERROR(SUM((SUMIFS('capacity data'!$G:$G,'capacity data'!$E:$E,"PSO",'capacity data'!$B:$B,P133))-SUMIFS('capacity data'!$H:$H,'capacity data'!$E:$E,"PSO",'capacity data'!$B:$B,P133))/SUMIFS('capacity data'!$G:$G,'capacity data'!$E:$E,"PSO",'capacity data'!$B:$B,P133),"")</f>
        <v/>
      </c>
      <c r="S133" s="22" t="str">
        <f t="shared" si="2"/>
        <v/>
      </c>
      <c r="T133" s="223" t="str">
        <f>IFERROR(SUMIFS('capacity data'!$L:$L,'capacity data'!$B:$B,P133,'capacity data'!$E:$E,"PSO")/SUMIFS('capacity data'!$G:$G,'capacity data'!$E:$E,"PSO",'capacity data'!$B:$B,P133),"")</f>
        <v/>
      </c>
      <c r="U133" s="223" t="str">
        <f>IFERROR(SUMIFS('capacity data'!$L:$L,'capacity data'!$B:$B,P133,'capacity data'!$E:$E,"TPO")/SUMIFS('capacity data'!$G:$G,'capacity data'!$E:$E,"TPO",'capacity data'!$B:$B,P133),"")</f>
        <v/>
      </c>
    </row>
    <row r="134" spans="15:21" ht="16" x14ac:dyDescent="0.2">
      <c r="O134" s="23" t="s">
        <v>28</v>
      </c>
      <c r="P134" t="s">
        <v>40</v>
      </c>
      <c r="Q134" s="222" t="str">
        <f>IFERROR(SUM((SUMIFS('capacity data'!$G:$G,'capacity data'!$E:$E,"PO",'capacity data'!$B:$B,P134))-SUMIFS('capacity data'!$H:$H,'capacity data'!$E:$E,"PO",'capacity data'!$B:$B,P134))/SUMIFS('capacity data'!$G:$G,'capacity data'!$E:$E,"PO",'capacity data'!$B:$B,P134),"")</f>
        <v/>
      </c>
      <c r="R134" s="222" t="str">
        <f>IFERROR(SUM((SUMIFS('capacity data'!$G:$G,'capacity data'!$E:$E,"PSO",'capacity data'!$B:$B,P134))-SUMIFS('capacity data'!$H:$H,'capacity data'!$E:$E,"PSO",'capacity data'!$B:$B,P134))/SUMIFS('capacity data'!$G:$G,'capacity data'!$E:$E,"PSO",'capacity data'!$B:$B,P134),"")</f>
        <v/>
      </c>
      <c r="S134" s="22" t="str">
        <f t="shared" si="2"/>
        <v/>
      </c>
      <c r="T134" s="223" t="str">
        <f>IFERROR(SUMIFS('capacity data'!$L:$L,'capacity data'!$B:$B,P134,'capacity data'!$E:$E,"PSO")/SUMIFS('capacity data'!$G:$G,'capacity data'!$E:$E,"PSO",'capacity data'!$B:$B,P134),"")</f>
        <v/>
      </c>
      <c r="U134" s="223" t="str">
        <f>IFERROR(SUMIFS('capacity data'!$L:$L,'capacity data'!$B:$B,P134,'capacity data'!$E:$E,"TPO")/SUMIFS('capacity data'!$G:$G,'capacity data'!$E:$E,"TPO",'capacity data'!$B:$B,P134),"")</f>
        <v/>
      </c>
    </row>
    <row r="135" spans="15:21" ht="16" x14ac:dyDescent="0.2">
      <c r="O135" s="23" t="s">
        <v>28</v>
      </c>
      <c r="P135" t="s">
        <v>858</v>
      </c>
      <c r="Q135" s="222" t="str">
        <f>IFERROR(SUM((SUMIFS('capacity data'!$G:$G,'capacity data'!$E:$E,"PO",'capacity data'!$B:$B,P135))-SUMIFS('capacity data'!$H:$H,'capacity data'!$E:$E,"PO",'capacity data'!$B:$B,P135))/SUMIFS('capacity data'!$G:$G,'capacity data'!$E:$E,"PO",'capacity data'!$B:$B,P135),"")</f>
        <v/>
      </c>
      <c r="R135" s="222" t="str">
        <f>IFERROR(SUM((SUMIFS('capacity data'!$G:$G,'capacity data'!$E:$E,"PSO",'capacity data'!$B:$B,P135))-SUMIFS('capacity data'!$H:$H,'capacity data'!$E:$E,"PSO",'capacity data'!$B:$B,P135))/SUMIFS('capacity data'!$G:$G,'capacity data'!$E:$E,"PSO",'capacity data'!$B:$B,P135),"")</f>
        <v/>
      </c>
      <c r="S135" s="22" t="str">
        <f t="shared" si="2"/>
        <v/>
      </c>
      <c r="T135" s="223" t="str">
        <f>IFERROR(SUMIFS('capacity data'!$L:$L,'capacity data'!$B:$B,P135,'capacity data'!$E:$E,"PSO")/SUMIFS('capacity data'!$G:$G,'capacity data'!$E:$E,"PSO",'capacity data'!$B:$B,P135),"")</f>
        <v/>
      </c>
      <c r="U135" s="223" t="str">
        <f>IFERROR(SUMIFS('capacity data'!$L:$L,'capacity data'!$B:$B,P135,'capacity data'!$E:$E,"TPO")/SUMIFS('capacity data'!$G:$G,'capacity data'!$E:$E,"TPO",'capacity data'!$B:$B,P135),"")</f>
        <v/>
      </c>
    </row>
    <row r="136" spans="15:21" ht="16" x14ac:dyDescent="0.2">
      <c r="O136" s="23" t="s">
        <v>28</v>
      </c>
      <c r="P136" t="s">
        <v>62</v>
      </c>
      <c r="Q136" s="222" t="str">
        <f>IFERROR(SUM((SUMIFS('capacity data'!$G:$G,'capacity data'!$E:$E,"PO",'capacity data'!$B:$B,P136))-SUMIFS('capacity data'!$H:$H,'capacity data'!$E:$E,"PO",'capacity data'!$B:$B,P136))/SUMIFS('capacity data'!$G:$G,'capacity data'!$E:$E,"PO",'capacity data'!$B:$B,P136),"")</f>
        <v/>
      </c>
      <c r="R136" s="222" t="str">
        <f>IFERROR(SUM((SUMIFS('capacity data'!$G:$G,'capacity data'!$E:$E,"PSO",'capacity data'!$B:$B,P136))-SUMIFS('capacity data'!$H:$H,'capacity data'!$E:$E,"PSO",'capacity data'!$B:$B,P136))/SUMIFS('capacity data'!$G:$G,'capacity data'!$E:$E,"PSO",'capacity data'!$B:$B,P136),"")</f>
        <v/>
      </c>
      <c r="S136" s="22" t="str">
        <f t="shared" si="2"/>
        <v/>
      </c>
      <c r="T136" s="223" t="str">
        <f>IFERROR(SUMIFS('capacity data'!$L:$L,'capacity data'!$B:$B,P136,'capacity data'!$E:$E,"PSO")/SUMIFS('capacity data'!$G:$G,'capacity data'!$E:$E,"PSO",'capacity data'!$B:$B,P136),"")</f>
        <v/>
      </c>
      <c r="U136" s="223" t="str">
        <f>IFERROR(SUMIFS('capacity data'!$L:$L,'capacity data'!$B:$B,P136,'capacity data'!$E:$E,"TPO")/SUMIFS('capacity data'!$G:$G,'capacity data'!$E:$E,"TPO",'capacity data'!$B:$B,P136),"")</f>
        <v/>
      </c>
    </row>
    <row r="137" spans="15:21" ht="16" x14ac:dyDescent="0.2">
      <c r="O137" s="23" t="s">
        <v>28</v>
      </c>
      <c r="P137" t="s">
        <v>83</v>
      </c>
      <c r="Q137" s="222" t="str">
        <f>IFERROR(SUM((SUMIFS('capacity data'!$G:$G,'capacity data'!$E:$E,"PO",'capacity data'!$B:$B,P137))-SUMIFS('capacity data'!$H:$H,'capacity data'!$E:$E,"PO",'capacity data'!$B:$B,P137))/SUMIFS('capacity data'!$G:$G,'capacity data'!$E:$E,"PO",'capacity data'!$B:$B,P137),"")</f>
        <v/>
      </c>
      <c r="R137" s="222" t="str">
        <f>IFERROR(SUM((SUMIFS('capacity data'!$G:$G,'capacity data'!$E:$E,"PSO",'capacity data'!$B:$B,P137))-SUMIFS('capacity data'!$H:$H,'capacity data'!$E:$E,"PSO",'capacity data'!$B:$B,P137))/SUMIFS('capacity data'!$G:$G,'capacity data'!$E:$E,"PSO",'capacity data'!$B:$B,P137),"")</f>
        <v/>
      </c>
      <c r="S137" s="22" t="str">
        <f t="shared" si="2"/>
        <v/>
      </c>
      <c r="T137" s="223" t="str">
        <f>IFERROR(SUMIFS('capacity data'!$L:$L,'capacity data'!$B:$B,P137,'capacity data'!$E:$E,"PSO")/SUMIFS('capacity data'!$G:$G,'capacity data'!$E:$E,"PSO",'capacity data'!$B:$B,P137),"")</f>
        <v/>
      </c>
      <c r="U137" s="223" t="str">
        <f>IFERROR(SUMIFS('capacity data'!$L:$L,'capacity data'!$B:$B,P137,'capacity data'!$E:$E,"TPO")/SUMIFS('capacity data'!$G:$G,'capacity data'!$E:$E,"TPO",'capacity data'!$B:$B,P137),"")</f>
        <v/>
      </c>
    </row>
    <row r="138" spans="15:21" ht="16" x14ac:dyDescent="0.2">
      <c r="O138" s="23" t="s">
        <v>28</v>
      </c>
      <c r="P138" t="s">
        <v>105</v>
      </c>
      <c r="Q138" s="222" t="str">
        <f>IFERROR(SUM((SUMIFS('capacity data'!$G:$G,'capacity data'!$E:$E,"PO",'capacity data'!$B:$B,P138))-SUMIFS('capacity data'!$H:$H,'capacity data'!$E:$E,"PO",'capacity data'!$B:$B,P138))/SUMIFS('capacity data'!$G:$G,'capacity data'!$E:$E,"PO",'capacity data'!$B:$B,P138),"")</f>
        <v/>
      </c>
      <c r="R138" s="222" t="str">
        <f>IFERROR(SUM((SUMIFS('capacity data'!$G:$G,'capacity data'!$E:$E,"PSO",'capacity data'!$B:$B,P138))-SUMIFS('capacity data'!$H:$H,'capacity data'!$E:$E,"PSO",'capacity data'!$B:$B,P138))/SUMIFS('capacity data'!$G:$G,'capacity data'!$E:$E,"PSO",'capacity data'!$B:$B,P138),"")</f>
        <v/>
      </c>
      <c r="S138" s="22" t="str">
        <f t="shared" si="2"/>
        <v/>
      </c>
      <c r="T138" s="223" t="str">
        <f>IFERROR(SUMIFS('capacity data'!$L:$L,'capacity data'!$B:$B,P138,'capacity data'!$E:$E,"PSO")/SUMIFS('capacity data'!$G:$G,'capacity data'!$E:$E,"PSO",'capacity data'!$B:$B,P138),"")</f>
        <v/>
      </c>
      <c r="U138" s="223" t="str">
        <f>IFERROR(SUMIFS('capacity data'!$L:$L,'capacity data'!$B:$B,P138,'capacity data'!$E:$E,"TPO")/SUMIFS('capacity data'!$G:$G,'capacity data'!$E:$E,"TPO",'capacity data'!$B:$B,P138),"")</f>
        <v/>
      </c>
    </row>
    <row r="139" spans="15:21" ht="16" x14ac:dyDescent="0.2">
      <c r="O139" s="23" t="s">
        <v>28</v>
      </c>
      <c r="P139" t="s">
        <v>859</v>
      </c>
      <c r="Q139" s="222" t="str">
        <f>IFERROR(SUM((SUMIFS('capacity data'!$G:$G,'capacity data'!$E:$E,"PO",'capacity data'!$B:$B,P139))-SUMIFS('capacity data'!$H:$H,'capacity data'!$E:$E,"PO",'capacity data'!$B:$B,P139))/SUMIFS('capacity data'!$G:$G,'capacity data'!$E:$E,"PO",'capacity data'!$B:$B,P139),"")</f>
        <v/>
      </c>
      <c r="R139" s="222" t="str">
        <f>IFERROR(SUM((SUMIFS('capacity data'!$G:$G,'capacity data'!$E:$E,"PSO",'capacity data'!$B:$B,P139))-SUMIFS('capacity data'!$H:$H,'capacity data'!$E:$E,"PSO",'capacity data'!$B:$B,P139))/SUMIFS('capacity data'!$G:$G,'capacity data'!$E:$E,"PSO",'capacity data'!$B:$B,P139),"")</f>
        <v/>
      </c>
      <c r="S139" s="22" t="str">
        <f t="shared" si="2"/>
        <v/>
      </c>
      <c r="T139" s="223" t="str">
        <f>IFERROR(SUMIFS('capacity data'!$L:$L,'capacity data'!$B:$B,P139,'capacity data'!$E:$E,"PSO")/SUMIFS('capacity data'!$G:$G,'capacity data'!$E:$E,"PSO",'capacity data'!$B:$B,P139),"")</f>
        <v/>
      </c>
      <c r="U139" s="223" t="str">
        <f>IFERROR(SUMIFS('capacity data'!$L:$L,'capacity data'!$B:$B,P139,'capacity data'!$E:$E,"TPO")/SUMIFS('capacity data'!$G:$G,'capacity data'!$E:$E,"TPO",'capacity data'!$B:$B,P139),"")</f>
        <v/>
      </c>
    </row>
    <row r="140" spans="15:21" ht="16" x14ac:dyDescent="0.2">
      <c r="O140" s="23" t="s">
        <v>28</v>
      </c>
      <c r="P140" t="s">
        <v>127</v>
      </c>
      <c r="Q140" s="222" t="str">
        <f>IFERROR(SUM((SUMIFS('capacity data'!$G:$G,'capacity data'!$E:$E,"PO",'capacity data'!$B:$B,P140))-SUMIFS('capacity data'!$H:$H,'capacity data'!$E:$E,"PO",'capacity data'!$B:$B,P140))/SUMIFS('capacity data'!$G:$G,'capacity data'!$E:$E,"PO",'capacity data'!$B:$B,P140),"")</f>
        <v/>
      </c>
      <c r="R140" s="222" t="str">
        <f>IFERROR(SUM((SUMIFS('capacity data'!$G:$G,'capacity data'!$E:$E,"PSO",'capacity data'!$B:$B,P140))-SUMIFS('capacity data'!$H:$H,'capacity data'!$E:$E,"PSO",'capacity data'!$B:$B,P140))/SUMIFS('capacity data'!$G:$G,'capacity data'!$E:$E,"PSO",'capacity data'!$B:$B,P140),"")</f>
        <v/>
      </c>
      <c r="S140" s="22" t="str">
        <f t="shared" si="2"/>
        <v/>
      </c>
      <c r="T140" s="223" t="str">
        <f>IFERROR(SUMIFS('capacity data'!$L:$L,'capacity data'!$B:$B,P140,'capacity data'!$E:$E,"PSO")/SUMIFS('capacity data'!$G:$G,'capacity data'!$E:$E,"PSO",'capacity data'!$B:$B,P140),"")</f>
        <v/>
      </c>
      <c r="U140" s="223" t="str">
        <f>IFERROR(SUMIFS('capacity data'!$L:$L,'capacity data'!$B:$B,P140,'capacity data'!$E:$E,"TPO")/SUMIFS('capacity data'!$G:$G,'capacity data'!$E:$E,"TPO",'capacity data'!$B:$B,P140),"")</f>
        <v/>
      </c>
    </row>
    <row r="141" spans="15:21" ht="16" x14ac:dyDescent="0.2">
      <c r="O141" s="23" t="s">
        <v>28</v>
      </c>
      <c r="P141" t="s">
        <v>148</v>
      </c>
      <c r="Q141" s="222" t="str">
        <f>IFERROR(SUM((SUMIFS('capacity data'!$G:$G,'capacity data'!$E:$E,"PO",'capacity data'!$B:$B,P141))-SUMIFS('capacity data'!$H:$H,'capacity data'!$E:$E,"PO",'capacity data'!$B:$B,P141))/SUMIFS('capacity data'!$G:$G,'capacity data'!$E:$E,"PO",'capacity data'!$B:$B,P141),"")</f>
        <v/>
      </c>
      <c r="R141" s="222" t="str">
        <f>IFERROR(SUM((SUMIFS('capacity data'!$G:$G,'capacity data'!$E:$E,"PSO",'capacity data'!$B:$B,P141))-SUMIFS('capacity data'!$H:$H,'capacity data'!$E:$E,"PSO",'capacity data'!$B:$B,P141))/SUMIFS('capacity data'!$G:$G,'capacity data'!$E:$E,"PSO",'capacity data'!$B:$B,P141),"")</f>
        <v/>
      </c>
      <c r="S141" s="22" t="str">
        <f t="shared" si="2"/>
        <v/>
      </c>
      <c r="T141" s="223" t="str">
        <f>IFERROR(SUMIFS('capacity data'!$L:$L,'capacity data'!$B:$B,P141,'capacity data'!$E:$E,"PSO")/SUMIFS('capacity data'!$G:$G,'capacity data'!$E:$E,"PSO",'capacity data'!$B:$B,P141),"")</f>
        <v/>
      </c>
      <c r="U141" s="223" t="str">
        <f>IFERROR(SUMIFS('capacity data'!$L:$L,'capacity data'!$B:$B,P141,'capacity data'!$E:$E,"TPO")/SUMIFS('capacity data'!$G:$G,'capacity data'!$E:$E,"TPO",'capacity data'!$B:$B,P141),"")</f>
        <v/>
      </c>
    </row>
    <row r="142" spans="15:21" ht="16" x14ac:dyDescent="0.2">
      <c r="O142" s="23" t="s">
        <v>28</v>
      </c>
      <c r="P142" t="s">
        <v>169</v>
      </c>
      <c r="Q142" s="222" t="str">
        <f>IFERROR(SUM((SUMIFS('capacity data'!$G:$G,'capacity data'!$E:$E,"PO",'capacity data'!$B:$B,P142))-SUMIFS('capacity data'!$H:$H,'capacity data'!$E:$E,"PO",'capacity data'!$B:$B,P142))/SUMIFS('capacity data'!$G:$G,'capacity data'!$E:$E,"PO",'capacity data'!$B:$B,P142),"")</f>
        <v/>
      </c>
      <c r="R142" s="222" t="str">
        <f>IFERROR(SUM((SUMIFS('capacity data'!$G:$G,'capacity data'!$E:$E,"PSO",'capacity data'!$B:$B,P142))-SUMIFS('capacity data'!$H:$H,'capacity data'!$E:$E,"PSO",'capacity data'!$B:$B,P142))/SUMIFS('capacity data'!$G:$G,'capacity data'!$E:$E,"PSO",'capacity data'!$B:$B,P142),"")</f>
        <v/>
      </c>
      <c r="S142" s="22" t="str">
        <f t="shared" si="2"/>
        <v/>
      </c>
      <c r="T142" s="223" t="str">
        <f>IFERROR(SUMIFS('capacity data'!$L:$L,'capacity data'!$B:$B,P142,'capacity data'!$E:$E,"PSO")/SUMIFS('capacity data'!$G:$G,'capacity data'!$E:$E,"PSO",'capacity data'!$B:$B,P142),"")</f>
        <v/>
      </c>
      <c r="U142" s="223" t="str">
        <f>IFERROR(SUMIFS('capacity data'!$L:$L,'capacity data'!$B:$B,P142,'capacity data'!$E:$E,"TPO")/SUMIFS('capacity data'!$G:$G,'capacity data'!$E:$E,"TPO",'capacity data'!$B:$B,P142),"")</f>
        <v/>
      </c>
    </row>
    <row r="143" spans="15:21" ht="16" x14ac:dyDescent="0.2">
      <c r="O143" s="23" t="s">
        <v>28</v>
      </c>
      <c r="P143" t="s">
        <v>189</v>
      </c>
      <c r="Q143" s="222" t="str">
        <f>IFERROR(SUM((SUMIFS('capacity data'!$G:$G,'capacity data'!$E:$E,"PO",'capacity data'!$B:$B,P143))-SUMIFS('capacity data'!$H:$H,'capacity data'!$E:$E,"PO",'capacity data'!$B:$B,P143))/SUMIFS('capacity data'!$G:$G,'capacity data'!$E:$E,"PO",'capacity data'!$B:$B,P143),"")</f>
        <v/>
      </c>
      <c r="R143" s="222" t="str">
        <f>IFERROR(SUM((SUMIFS('capacity data'!$G:$G,'capacity data'!$E:$E,"PSO",'capacity data'!$B:$B,P143))-SUMIFS('capacity data'!$H:$H,'capacity data'!$E:$E,"PSO",'capacity data'!$B:$B,P143))/SUMIFS('capacity data'!$G:$G,'capacity data'!$E:$E,"PSO",'capacity data'!$B:$B,P143),"")</f>
        <v/>
      </c>
      <c r="S143" s="22" t="str">
        <f t="shared" si="2"/>
        <v/>
      </c>
      <c r="T143" s="223" t="str">
        <f>IFERROR(SUMIFS('capacity data'!$L:$L,'capacity data'!$B:$B,P143,'capacity data'!$E:$E,"PSO")/SUMIFS('capacity data'!$G:$G,'capacity data'!$E:$E,"PSO",'capacity data'!$B:$B,P143),"")</f>
        <v/>
      </c>
      <c r="U143" s="223" t="str">
        <f>IFERROR(SUMIFS('capacity data'!$L:$L,'capacity data'!$B:$B,P143,'capacity data'!$E:$E,"TPO")/SUMIFS('capacity data'!$G:$G,'capacity data'!$E:$E,"TPO",'capacity data'!$B:$B,P143),"")</f>
        <v/>
      </c>
    </row>
    <row r="144" spans="15:21" ht="16" x14ac:dyDescent="0.2">
      <c r="O144" s="23" t="s">
        <v>28</v>
      </c>
      <c r="P144" t="s">
        <v>208</v>
      </c>
      <c r="Q144" s="222" t="str">
        <f>IFERROR(SUM((SUMIFS('capacity data'!$G:$G,'capacity data'!$E:$E,"PO",'capacity data'!$B:$B,P144))-SUMIFS('capacity data'!$H:$H,'capacity data'!$E:$E,"PO",'capacity data'!$B:$B,P144))/SUMIFS('capacity data'!$G:$G,'capacity data'!$E:$E,"PO",'capacity data'!$B:$B,P144),"")</f>
        <v/>
      </c>
      <c r="R144" s="222" t="str">
        <f>IFERROR(SUM((SUMIFS('capacity data'!$G:$G,'capacity data'!$E:$E,"PSO",'capacity data'!$B:$B,P144))-SUMIFS('capacity data'!$H:$H,'capacity data'!$E:$E,"PSO",'capacity data'!$B:$B,P144))/SUMIFS('capacity data'!$G:$G,'capacity data'!$E:$E,"PSO",'capacity data'!$B:$B,P144),"")</f>
        <v/>
      </c>
      <c r="S144" s="22" t="str">
        <f t="shared" si="2"/>
        <v/>
      </c>
      <c r="T144" s="223" t="str">
        <f>IFERROR(SUMIFS('capacity data'!$L:$L,'capacity data'!$B:$B,P144,'capacity data'!$E:$E,"PSO")/SUMIFS('capacity data'!$G:$G,'capacity data'!$E:$E,"PSO",'capacity data'!$B:$B,P144),"")</f>
        <v/>
      </c>
      <c r="U144" s="223" t="str">
        <f>IFERROR(SUMIFS('capacity data'!$L:$L,'capacity data'!$B:$B,P144,'capacity data'!$E:$E,"TPO")/SUMIFS('capacity data'!$G:$G,'capacity data'!$E:$E,"TPO",'capacity data'!$B:$B,P144),"")</f>
        <v/>
      </c>
    </row>
    <row r="145" spans="15:21" ht="16" x14ac:dyDescent="0.2">
      <c r="O145" s="23" t="s">
        <v>28</v>
      </c>
      <c r="P145" t="s">
        <v>225</v>
      </c>
      <c r="Q145" s="222" t="str">
        <f>IFERROR(SUM((SUMIFS('capacity data'!$G:$G,'capacity data'!$E:$E,"PO",'capacity data'!$B:$B,P145))-SUMIFS('capacity data'!$H:$H,'capacity data'!$E:$E,"PO",'capacity data'!$B:$B,P145))/SUMIFS('capacity data'!$G:$G,'capacity data'!$E:$E,"PO",'capacity data'!$B:$B,P145),"")</f>
        <v/>
      </c>
      <c r="R145" s="222" t="str">
        <f>IFERROR(SUM((SUMIFS('capacity data'!$G:$G,'capacity data'!$E:$E,"PSO",'capacity data'!$B:$B,P145))-SUMIFS('capacity data'!$H:$H,'capacity data'!$E:$E,"PSO",'capacity data'!$B:$B,P145))/SUMIFS('capacity data'!$G:$G,'capacity data'!$E:$E,"PSO",'capacity data'!$B:$B,P145),"")</f>
        <v/>
      </c>
      <c r="S145" s="22" t="str">
        <f t="shared" si="2"/>
        <v/>
      </c>
      <c r="T145" s="223" t="str">
        <f>IFERROR(SUMIFS('capacity data'!$L:$L,'capacity data'!$B:$B,P145,'capacity data'!$E:$E,"PSO")/SUMIFS('capacity data'!$G:$G,'capacity data'!$E:$E,"PSO",'capacity data'!$B:$B,P145),"")</f>
        <v/>
      </c>
      <c r="U145" s="223" t="str">
        <f>IFERROR(SUMIFS('capacity data'!$L:$L,'capacity data'!$B:$B,P145,'capacity data'!$E:$E,"TPO")/SUMIFS('capacity data'!$G:$G,'capacity data'!$E:$E,"TPO",'capacity data'!$B:$B,P145),"")</f>
        <v/>
      </c>
    </row>
    <row r="146" spans="15:21" ht="16" x14ac:dyDescent="0.2">
      <c r="O146" s="23" t="s">
        <v>28</v>
      </c>
      <c r="P146" t="s">
        <v>243</v>
      </c>
      <c r="Q146" s="222" t="str">
        <f>IFERROR(SUM((SUMIFS('capacity data'!$G:$G,'capacity data'!$E:$E,"PO",'capacity data'!$B:$B,P146))-SUMIFS('capacity data'!$H:$H,'capacity data'!$E:$E,"PO",'capacity data'!$B:$B,P146))/SUMIFS('capacity data'!$G:$G,'capacity data'!$E:$E,"PO",'capacity data'!$B:$B,P146),"")</f>
        <v/>
      </c>
      <c r="R146" s="222" t="str">
        <f>IFERROR(SUM((SUMIFS('capacity data'!$G:$G,'capacity data'!$E:$E,"PSO",'capacity data'!$B:$B,P146))-SUMIFS('capacity data'!$H:$H,'capacity data'!$E:$E,"PSO",'capacity data'!$B:$B,P146))/SUMIFS('capacity data'!$G:$G,'capacity data'!$E:$E,"PSO",'capacity data'!$B:$B,P146),"")</f>
        <v/>
      </c>
      <c r="S146" s="22" t="str">
        <f t="shared" si="2"/>
        <v/>
      </c>
      <c r="T146" s="223" t="str">
        <f>IFERROR(SUMIFS('capacity data'!$L:$L,'capacity data'!$B:$B,P146,'capacity data'!$E:$E,"PSO")/SUMIFS('capacity data'!$G:$G,'capacity data'!$E:$E,"PSO",'capacity data'!$B:$B,P146),"")</f>
        <v/>
      </c>
      <c r="U146" s="223" t="str">
        <f>IFERROR(SUMIFS('capacity data'!$L:$L,'capacity data'!$B:$B,P146,'capacity data'!$E:$E,"TPO")/SUMIFS('capacity data'!$G:$G,'capacity data'!$E:$E,"TPO",'capacity data'!$B:$B,P146),"")</f>
        <v/>
      </c>
    </row>
    <row r="147" spans="15:21" ht="16" x14ac:dyDescent="0.2">
      <c r="O147" s="23" t="s">
        <v>28</v>
      </c>
      <c r="P147" t="s">
        <v>860</v>
      </c>
      <c r="Q147" s="222" t="str">
        <f>IFERROR(SUM((SUMIFS('capacity data'!$G:$G,'capacity data'!$E:$E,"PO",'capacity data'!$B:$B,P147))-SUMIFS('capacity data'!$H:$H,'capacity data'!$E:$E,"PO",'capacity data'!$B:$B,P147))/SUMIFS('capacity data'!$G:$G,'capacity data'!$E:$E,"PO",'capacity data'!$B:$B,P147),"")</f>
        <v/>
      </c>
      <c r="R147" s="222" t="str">
        <f>IFERROR(SUM((SUMIFS('capacity data'!$G:$G,'capacity data'!$E:$E,"PSO",'capacity data'!$B:$B,P147))-SUMIFS('capacity data'!$H:$H,'capacity data'!$E:$E,"PSO",'capacity data'!$B:$B,P147))/SUMIFS('capacity data'!$G:$G,'capacity data'!$E:$E,"PSO",'capacity data'!$B:$B,P147),"")</f>
        <v/>
      </c>
      <c r="S147" s="22" t="str">
        <f t="shared" si="2"/>
        <v/>
      </c>
      <c r="T147" s="223" t="str">
        <f>IFERROR(SUMIFS('capacity data'!$L:$L,'capacity data'!$B:$B,P147,'capacity data'!$E:$E,"PSO")/SUMIFS('capacity data'!$G:$G,'capacity data'!$E:$E,"PSO",'capacity data'!$B:$B,P147),"")</f>
        <v/>
      </c>
      <c r="U147" s="223" t="str">
        <f>IFERROR(SUMIFS('capacity data'!$L:$L,'capacity data'!$B:$B,P147,'capacity data'!$E:$E,"TPO")/SUMIFS('capacity data'!$G:$G,'capacity data'!$E:$E,"TPO",'capacity data'!$B:$B,P147),"")</f>
        <v/>
      </c>
    </row>
    <row r="148" spans="15:21" ht="16" x14ac:dyDescent="0.2">
      <c r="O148" s="23" t="s">
        <v>28</v>
      </c>
      <c r="P148" t="s">
        <v>259</v>
      </c>
      <c r="Q148" s="222" t="str">
        <f>IFERROR(SUM((SUMIFS('capacity data'!$G:$G,'capacity data'!$E:$E,"PO",'capacity data'!$B:$B,P148))-SUMIFS('capacity data'!$H:$H,'capacity data'!$E:$E,"PO",'capacity data'!$B:$B,P148))/SUMIFS('capacity data'!$G:$G,'capacity data'!$E:$E,"PO",'capacity data'!$B:$B,P148),"")</f>
        <v/>
      </c>
      <c r="R148" s="222" t="str">
        <f>IFERROR(SUM((SUMIFS('capacity data'!$G:$G,'capacity data'!$E:$E,"PSO",'capacity data'!$B:$B,P148))-SUMIFS('capacity data'!$H:$H,'capacity data'!$E:$E,"PSO",'capacity data'!$B:$B,P148))/SUMIFS('capacity data'!$G:$G,'capacity data'!$E:$E,"PSO",'capacity data'!$B:$B,P148),"")</f>
        <v/>
      </c>
      <c r="S148" s="22" t="str">
        <f t="shared" si="2"/>
        <v/>
      </c>
      <c r="T148" s="223" t="str">
        <f>IFERROR(SUMIFS('capacity data'!$L:$L,'capacity data'!$B:$B,P148,'capacity data'!$E:$E,"PSO")/SUMIFS('capacity data'!$G:$G,'capacity data'!$E:$E,"PSO",'capacity data'!$B:$B,P148),"")</f>
        <v/>
      </c>
      <c r="U148" s="223" t="str">
        <f>IFERROR(SUMIFS('capacity data'!$L:$L,'capacity data'!$B:$B,P148,'capacity data'!$E:$E,"TPO")/SUMIFS('capacity data'!$G:$G,'capacity data'!$E:$E,"TPO",'capacity data'!$B:$B,P148),"")</f>
        <v/>
      </c>
    </row>
    <row r="149" spans="15:21" ht="16" x14ac:dyDescent="0.2">
      <c r="O149" s="23" t="s">
        <v>28</v>
      </c>
      <c r="P149" t="s">
        <v>272</v>
      </c>
      <c r="Q149" s="222" t="str">
        <f>IFERROR(SUM((SUMIFS('capacity data'!$G:$G,'capacity data'!$E:$E,"PO",'capacity data'!$B:$B,P149))-SUMIFS('capacity data'!$H:$H,'capacity data'!$E:$E,"PO",'capacity data'!$B:$B,P149))/SUMIFS('capacity data'!$G:$G,'capacity data'!$E:$E,"PO",'capacity data'!$B:$B,P149),"")</f>
        <v/>
      </c>
      <c r="R149" s="222" t="str">
        <f>IFERROR(SUM((SUMIFS('capacity data'!$G:$G,'capacity data'!$E:$E,"PSO",'capacity data'!$B:$B,P149))-SUMIFS('capacity data'!$H:$H,'capacity data'!$E:$E,"PSO",'capacity data'!$B:$B,P149))/SUMIFS('capacity data'!$G:$G,'capacity data'!$E:$E,"PSO",'capacity data'!$B:$B,P149),"")</f>
        <v/>
      </c>
      <c r="S149" s="22" t="str">
        <f t="shared" si="2"/>
        <v/>
      </c>
      <c r="T149" s="223" t="str">
        <f>IFERROR(SUMIFS('capacity data'!$L:$L,'capacity data'!$B:$B,P149,'capacity data'!$E:$E,"PSO")/SUMIFS('capacity data'!$G:$G,'capacity data'!$E:$E,"PSO",'capacity data'!$B:$B,P149),"")</f>
        <v/>
      </c>
      <c r="U149" s="223" t="str">
        <f>IFERROR(SUMIFS('capacity data'!$L:$L,'capacity data'!$B:$B,P149,'capacity data'!$E:$E,"TPO")/SUMIFS('capacity data'!$G:$G,'capacity data'!$E:$E,"TPO",'capacity data'!$B:$B,P149),"")</f>
        <v/>
      </c>
    </row>
    <row r="150" spans="15:21" ht="16" x14ac:dyDescent="0.2">
      <c r="O150" s="23" t="s">
        <v>28</v>
      </c>
      <c r="P150" t="s">
        <v>287</v>
      </c>
      <c r="Q150" s="222" t="str">
        <f>IFERROR(SUM((SUMIFS('capacity data'!$G:$G,'capacity data'!$E:$E,"PO",'capacity data'!$B:$B,P150))-SUMIFS('capacity data'!$H:$H,'capacity data'!$E:$E,"PO",'capacity data'!$B:$B,P150))/SUMIFS('capacity data'!$G:$G,'capacity data'!$E:$E,"PO",'capacity data'!$B:$B,P150),"")</f>
        <v/>
      </c>
      <c r="R150" s="222" t="str">
        <f>IFERROR(SUM((SUMIFS('capacity data'!$G:$G,'capacity data'!$E:$E,"PSO",'capacity data'!$B:$B,P150))-SUMIFS('capacity data'!$H:$H,'capacity data'!$E:$E,"PSO",'capacity data'!$B:$B,P150))/SUMIFS('capacity data'!$G:$G,'capacity data'!$E:$E,"PSO",'capacity data'!$B:$B,P150),"")</f>
        <v/>
      </c>
      <c r="S150" s="22" t="str">
        <f t="shared" si="2"/>
        <v/>
      </c>
      <c r="T150" s="223" t="str">
        <f>IFERROR(SUMIFS('capacity data'!$L:$L,'capacity data'!$B:$B,P150,'capacity data'!$E:$E,"PSO")/SUMIFS('capacity data'!$G:$G,'capacity data'!$E:$E,"PSO",'capacity data'!$B:$B,P150),"")</f>
        <v/>
      </c>
      <c r="U150" s="223" t="str">
        <f>IFERROR(SUMIFS('capacity data'!$L:$L,'capacity data'!$B:$B,P150,'capacity data'!$E:$E,"TPO")/SUMIFS('capacity data'!$G:$G,'capacity data'!$E:$E,"TPO",'capacity data'!$B:$B,P150),"")</f>
        <v/>
      </c>
    </row>
    <row r="151" spans="15:21" ht="16" x14ac:dyDescent="0.2">
      <c r="O151" s="23" t="s">
        <v>28</v>
      </c>
      <c r="P151" t="s">
        <v>302</v>
      </c>
      <c r="Q151" s="222" t="str">
        <f>IFERROR(SUM((SUMIFS('capacity data'!$G:$G,'capacity data'!$E:$E,"PO",'capacity data'!$B:$B,P151))-SUMIFS('capacity data'!$H:$H,'capacity data'!$E:$E,"PO",'capacity data'!$B:$B,P151))/SUMIFS('capacity data'!$G:$G,'capacity data'!$E:$E,"PO",'capacity data'!$B:$B,P151),"")</f>
        <v/>
      </c>
      <c r="R151" s="222" t="str">
        <f>IFERROR(SUM((SUMIFS('capacity data'!$G:$G,'capacity data'!$E:$E,"PSO",'capacity data'!$B:$B,P151))-SUMIFS('capacity data'!$H:$H,'capacity data'!$E:$E,"PSO",'capacity data'!$B:$B,P151))/SUMIFS('capacity data'!$G:$G,'capacity data'!$E:$E,"PSO",'capacity data'!$B:$B,P151),"")</f>
        <v/>
      </c>
      <c r="S151" s="22" t="str">
        <f t="shared" si="2"/>
        <v/>
      </c>
      <c r="T151" s="223" t="str">
        <f>IFERROR(SUMIFS('capacity data'!$L:$L,'capacity data'!$B:$B,P151,'capacity data'!$E:$E,"PSO")/SUMIFS('capacity data'!$G:$G,'capacity data'!$E:$E,"PSO",'capacity data'!$B:$B,P151),"")</f>
        <v/>
      </c>
      <c r="U151" s="223" t="str">
        <f>IFERROR(SUMIFS('capacity data'!$L:$L,'capacity data'!$B:$B,P151,'capacity data'!$E:$E,"TPO")/SUMIFS('capacity data'!$G:$G,'capacity data'!$E:$E,"TPO",'capacity data'!$B:$B,P151),"")</f>
        <v/>
      </c>
    </row>
    <row r="152" spans="15:21" ht="16" x14ac:dyDescent="0.2">
      <c r="O152" s="23" t="s">
        <v>28</v>
      </c>
      <c r="P152" t="s">
        <v>315</v>
      </c>
      <c r="Q152" s="222" t="str">
        <f>IFERROR(SUM((SUMIFS('capacity data'!$G:$G,'capacity data'!$E:$E,"PO",'capacity data'!$B:$B,P152))-SUMIFS('capacity data'!$H:$H,'capacity data'!$E:$E,"PO",'capacity data'!$B:$B,P152))/SUMIFS('capacity data'!$G:$G,'capacity data'!$E:$E,"PO",'capacity data'!$B:$B,P152),"")</f>
        <v/>
      </c>
      <c r="R152" s="222" t="str">
        <f>IFERROR(SUM((SUMIFS('capacity data'!$G:$G,'capacity data'!$E:$E,"PSO",'capacity data'!$B:$B,P152))-SUMIFS('capacity data'!$H:$H,'capacity data'!$E:$E,"PSO",'capacity data'!$B:$B,P152))/SUMIFS('capacity data'!$G:$G,'capacity data'!$E:$E,"PSO",'capacity data'!$B:$B,P152),"")</f>
        <v/>
      </c>
      <c r="S152" s="22" t="str">
        <f t="shared" si="2"/>
        <v/>
      </c>
      <c r="T152" s="223" t="str">
        <f>IFERROR(SUMIFS('capacity data'!$L:$L,'capacity data'!$B:$B,P152,'capacity data'!$E:$E,"PSO")/SUMIFS('capacity data'!$G:$G,'capacity data'!$E:$E,"PSO",'capacity data'!$B:$B,P152),"")</f>
        <v/>
      </c>
      <c r="U152" s="223" t="str">
        <f>IFERROR(SUMIFS('capacity data'!$L:$L,'capacity data'!$B:$B,P152,'capacity data'!$E:$E,"TPO")/SUMIFS('capacity data'!$G:$G,'capacity data'!$E:$E,"TPO",'capacity data'!$B:$B,P152),"")</f>
        <v/>
      </c>
    </row>
    <row r="153" spans="15:21" ht="16" x14ac:dyDescent="0.2">
      <c r="O153" s="23" t="s">
        <v>28</v>
      </c>
      <c r="P153" t="s">
        <v>329</v>
      </c>
      <c r="Q153" s="222" t="str">
        <f>IFERROR(SUM((SUMIFS('capacity data'!$G:$G,'capacity data'!$E:$E,"PO",'capacity data'!$B:$B,P153))-SUMIFS('capacity data'!$H:$H,'capacity data'!$E:$E,"PO",'capacity data'!$B:$B,P153))/SUMIFS('capacity data'!$G:$G,'capacity data'!$E:$E,"PO",'capacity data'!$B:$B,P153),"")</f>
        <v/>
      </c>
      <c r="R153" s="222" t="str">
        <f>IFERROR(SUM((SUMIFS('capacity data'!$G:$G,'capacity data'!$E:$E,"PSO",'capacity data'!$B:$B,P153))-SUMIFS('capacity data'!$H:$H,'capacity data'!$E:$E,"PSO",'capacity data'!$B:$B,P153))/SUMIFS('capacity data'!$G:$G,'capacity data'!$E:$E,"PSO",'capacity data'!$B:$B,P153),"")</f>
        <v/>
      </c>
      <c r="S153" s="22" t="str">
        <f t="shared" si="2"/>
        <v/>
      </c>
      <c r="T153" s="223" t="str">
        <f>IFERROR(SUMIFS('capacity data'!$L:$L,'capacity data'!$B:$B,P153,'capacity data'!$E:$E,"PSO")/SUMIFS('capacity data'!$G:$G,'capacity data'!$E:$E,"PSO",'capacity data'!$B:$B,P153),"")</f>
        <v/>
      </c>
      <c r="U153" s="223" t="str">
        <f>IFERROR(SUMIFS('capacity data'!$L:$L,'capacity data'!$B:$B,P153,'capacity data'!$E:$E,"TPO")/SUMIFS('capacity data'!$G:$G,'capacity data'!$E:$E,"TPO",'capacity data'!$B:$B,P153),"")</f>
        <v/>
      </c>
    </row>
  </sheetData>
  <sheetProtection selectLockedCells="1" selectUnlockedCells="1"/>
  <autoFilter ref="A1:U3732" xr:uid="{FB14D664-1DC0-4031-91B2-C77D3171EFF4}"/>
  <conditionalFormatting sqref="P94:P101">
    <cfRule type="duplicateValues" dxfId="6338" priority="3"/>
  </conditionalFormatting>
  <conditionalFormatting sqref="P114:P119 P121">
    <cfRule type="duplicateValues" dxfId="6337" priority="2"/>
  </conditionalFormatting>
  <conditionalFormatting sqref="P134:P146">
    <cfRule type="duplicateValues" dxfId="6336"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tabColor rgb="FFE27070"/>
  </sheetPr>
  <dimension ref="A1:V1"/>
  <sheetViews>
    <sheetView zoomScale="80" zoomScaleNormal="80" workbookViewId="0">
      <selection activeCell="A2" sqref="A2"/>
    </sheetView>
  </sheetViews>
  <sheetFormatPr baseColWidth="10" defaultColWidth="8.83203125" defaultRowHeight="14" x14ac:dyDescent="0.15"/>
  <cols>
    <col min="1" max="1" width="31.5" bestFit="1" customWidth="1"/>
    <col min="2" max="2" width="17.1640625" customWidth="1"/>
    <col min="3" max="3" width="31.5" bestFit="1" customWidth="1"/>
  </cols>
  <sheetData>
    <row r="1" spans="1:22" x14ac:dyDescent="0.15">
      <c r="A1" s="38" t="s">
        <v>838</v>
      </c>
      <c r="B1" s="38" t="s">
        <v>861</v>
      </c>
      <c r="C1" s="38" t="s">
        <v>862</v>
      </c>
      <c r="D1" s="38" t="s">
        <v>863</v>
      </c>
      <c r="E1" s="38" t="s">
        <v>864</v>
      </c>
      <c r="F1" s="38" t="s">
        <v>865</v>
      </c>
      <c r="G1" s="38" t="s">
        <v>866</v>
      </c>
      <c r="H1" s="38" t="s">
        <v>867</v>
      </c>
      <c r="I1" s="38" t="s">
        <v>868</v>
      </c>
      <c r="J1" s="38" t="s">
        <v>869</v>
      </c>
      <c r="K1" s="38" t="s">
        <v>870</v>
      </c>
      <c r="L1" s="38" t="s">
        <v>871</v>
      </c>
      <c r="M1" s="38" t="s">
        <v>872</v>
      </c>
      <c r="N1" s="38" t="s">
        <v>873</v>
      </c>
      <c r="O1" s="38" t="s">
        <v>874</v>
      </c>
      <c r="P1" s="38" t="s">
        <v>875</v>
      </c>
      <c r="Q1" s="38" t="s">
        <v>876</v>
      </c>
      <c r="R1" s="38" t="s">
        <v>877</v>
      </c>
      <c r="S1" s="38" t="s">
        <v>878</v>
      </c>
      <c r="T1" s="38" t="s">
        <v>879</v>
      </c>
      <c r="U1" s="38" t="s">
        <v>880</v>
      </c>
      <c r="V1" s="38" t="s">
        <v>881</v>
      </c>
    </row>
  </sheetData>
  <autoFilter ref="A1:X1636" xr:uid="{C6EF8DC2-A903-4871-892C-37BFFE8ED2D6}"/>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9">
    <tabColor rgb="FFE27070"/>
  </sheetPr>
  <dimension ref="A1:L1"/>
  <sheetViews>
    <sheetView zoomScale="70" zoomScaleNormal="70" workbookViewId="0">
      <pane ySplit="1" topLeftCell="A2" activePane="bottomLeft" state="frozen"/>
      <selection pane="bottomLeft" activeCell="A17" sqref="A17"/>
    </sheetView>
  </sheetViews>
  <sheetFormatPr baseColWidth="10" defaultColWidth="9.1640625" defaultRowHeight="14" x14ac:dyDescent="0.15"/>
  <cols>
    <col min="1" max="1" width="17.5" customWidth="1"/>
    <col min="2" max="2" width="26.1640625" customWidth="1"/>
    <col min="4" max="4" width="17.5" customWidth="1"/>
    <col min="5" max="5" width="12" customWidth="1"/>
    <col min="6" max="6" width="13.5" customWidth="1"/>
    <col min="7" max="7" width="43.5" bestFit="1" customWidth="1"/>
    <col min="8" max="9" width="9.1640625" customWidth="1"/>
    <col min="10" max="10" width="13.33203125" customWidth="1"/>
    <col min="11" max="11" width="9.1640625" customWidth="1"/>
    <col min="12" max="12" width="255.5" bestFit="1" customWidth="1"/>
    <col min="13" max="16384" width="9.1640625" style="3"/>
  </cols>
  <sheetData>
    <row r="1" spans="1:12" ht="30" x14ac:dyDescent="0.15">
      <c r="A1" s="20" t="s">
        <v>838</v>
      </c>
      <c r="B1" s="20" t="s">
        <v>839</v>
      </c>
      <c r="C1" s="20" t="s">
        <v>840</v>
      </c>
      <c r="D1" s="20" t="s">
        <v>841</v>
      </c>
      <c r="E1" s="20" t="s">
        <v>863</v>
      </c>
      <c r="F1" s="20" t="s">
        <v>846</v>
      </c>
      <c r="G1" s="20" t="s">
        <v>882</v>
      </c>
      <c r="H1" s="20" t="s">
        <v>883</v>
      </c>
      <c r="I1" s="20" t="s">
        <v>884</v>
      </c>
      <c r="J1" s="20" t="s">
        <v>885</v>
      </c>
      <c r="K1" s="20" t="s">
        <v>886</v>
      </c>
      <c r="L1" s="20" t="s">
        <v>887</v>
      </c>
    </row>
  </sheetData>
  <sheetProtection selectLockedCells="1" selectUnlockedCells="1"/>
  <autoFilter ref="A1:L5156" xr:uid="{00000000-0009-0000-0000-000004000000}"/>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E27070"/>
  </sheetPr>
  <dimension ref="A4:K131"/>
  <sheetViews>
    <sheetView zoomScaleNormal="100" workbookViewId="0">
      <selection activeCell="C51" sqref="C51"/>
    </sheetView>
  </sheetViews>
  <sheetFormatPr baseColWidth="10" defaultColWidth="8.83203125" defaultRowHeight="14" x14ac:dyDescent="0.15"/>
  <cols>
    <col min="1" max="1" width="43.5" style="8" customWidth="1"/>
    <col min="2" max="2" width="9.1640625" style="8"/>
    <col min="3" max="3" width="64.5" style="8" customWidth="1"/>
    <col min="4" max="4" width="5.5" style="27" customWidth="1"/>
    <col min="5" max="5" width="10" style="27" customWidth="1"/>
    <col min="6" max="6" width="9.1640625" style="8"/>
    <col min="7" max="7" width="51.1640625" style="8" customWidth="1"/>
    <col min="8" max="8" width="33.1640625" style="27" customWidth="1"/>
    <col min="9" max="9" width="32.83203125" style="27" customWidth="1"/>
    <col min="10" max="10" width="32.83203125" style="8" customWidth="1"/>
    <col min="11" max="11" width="9.1640625" style="8"/>
  </cols>
  <sheetData>
    <row r="4" spans="1:9" ht="16" x14ac:dyDescent="0.2">
      <c r="C4" s="13" t="s">
        <v>888</v>
      </c>
      <c r="D4" s="24"/>
      <c r="E4" s="32"/>
      <c r="G4" s="25" t="s">
        <v>889</v>
      </c>
      <c r="H4" s="212" t="s">
        <v>890</v>
      </c>
      <c r="I4" s="212" t="s">
        <v>891</v>
      </c>
    </row>
    <row r="5" spans="1:9" ht="16" x14ac:dyDescent="0.2">
      <c r="C5" s="13"/>
      <c r="D5" s="24"/>
      <c r="E5" s="32"/>
      <c r="G5" s="25"/>
      <c r="H5" s="212"/>
      <c r="I5" s="212"/>
    </row>
    <row r="6" spans="1:9" ht="16" x14ac:dyDescent="0.2">
      <c r="A6" s="23" t="s">
        <v>892</v>
      </c>
      <c r="C6" s="15" t="s">
        <v>892</v>
      </c>
      <c r="D6" s="35">
        <f>COUNTIF('reductions data'!G:G,'reductions workings'!C6)</f>
        <v>0</v>
      </c>
      <c r="E6" s="35">
        <f>D6+0.0001</f>
        <v>1E-4</v>
      </c>
      <c r="G6" s="15" t="s">
        <v>892</v>
      </c>
      <c r="H6" s="28">
        <f>SUMIF('reductions data'!$G:$G,'reductions workings'!$G6,'reductions data'!$H:$H)</f>
        <v>0</v>
      </c>
      <c r="I6" s="22" t="e">
        <f>H6/H55</f>
        <v>#DIV/0!</v>
      </c>
    </row>
    <row r="7" spans="1:9" ht="16" x14ac:dyDescent="0.2">
      <c r="A7" s="23" t="s">
        <v>894</v>
      </c>
      <c r="C7" s="15" t="s">
        <v>894</v>
      </c>
      <c r="D7" s="35">
        <f>COUNTIF('reductions data'!G:G,'reductions workings'!C8)</f>
        <v>0</v>
      </c>
      <c r="E7" s="35">
        <f>D7+0.0003</f>
        <v>2.9999999999999997E-4</v>
      </c>
      <c r="G7" s="15" t="s">
        <v>894</v>
      </c>
      <c r="H7" s="28">
        <f>SUMIF('reductions data'!$G:$G,'reductions workings'!$G7,'reductions data'!$H:$H)</f>
        <v>0</v>
      </c>
      <c r="I7" s="22" t="e">
        <f>H7/H55</f>
        <v>#DIV/0!</v>
      </c>
    </row>
    <row r="8" spans="1:9" ht="16" x14ac:dyDescent="0.2">
      <c r="A8" s="23" t="s">
        <v>893</v>
      </c>
      <c r="C8" s="15" t="s">
        <v>893</v>
      </c>
      <c r="D8" s="35">
        <f>COUNTIF('reductions data'!G:G,'reductions workings'!C7)</f>
        <v>0</v>
      </c>
      <c r="E8" s="35">
        <f>D8+0.0002</f>
        <v>2.0000000000000001E-4</v>
      </c>
      <c r="G8" s="15" t="s">
        <v>893</v>
      </c>
      <c r="H8" s="28">
        <f>SUMIF('reductions data'!$G:$G,'reductions workings'!$G8,'reductions data'!$H:$H)</f>
        <v>0</v>
      </c>
      <c r="I8" s="22" t="e">
        <f>H8/H55</f>
        <v>#DIV/0!</v>
      </c>
    </row>
    <row r="9" spans="1:9" ht="16" x14ac:dyDescent="0.2">
      <c r="A9" s="23" t="s">
        <v>895</v>
      </c>
      <c r="C9" s="15" t="s">
        <v>895</v>
      </c>
      <c r="D9" s="35">
        <f>COUNTIF('reductions data'!G:G,'reductions workings'!C9)</f>
        <v>0</v>
      </c>
      <c r="E9" s="35">
        <f>D9+0.0004</f>
        <v>4.0000000000000002E-4</v>
      </c>
      <c r="G9" s="15" t="s">
        <v>895</v>
      </c>
      <c r="H9" s="28">
        <f>SUMIF('reductions data'!$G:$G,'reductions workings'!$G9,'reductions data'!$H:$H)</f>
        <v>0</v>
      </c>
      <c r="I9" s="22" t="e">
        <f>H9/H55</f>
        <v>#DIV/0!</v>
      </c>
    </row>
    <row r="10" spans="1:9" ht="16" x14ac:dyDescent="0.2">
      <c r="A10" s="23" t="s">
        <v>896</v>
      </c>
      <c r="C10" s="15" t="s">
        <v>896</v>
      </c>
      <c r="D10" s="35">
        <f>COUNTIF('reductions data'!G:G,'reductions workings'!C10)</f>
        <v>0</v>
      </c>
      <c r="E10" s="35">
        <f>D10+0.0005</f>
        <v>5.0000000000000001E-4</v>
      </c>
      <c r="G10" s="15" t="s">
        <v>896</v>
      </c>
      <c r="H10" s="28">
        <f>SUMIF('reductions data'!$G:$G,'reductions workings'!$G10,'reductions data'!$H:$H)</f>
        <v>0</v>
      </c>
      <c r="I10" s="22" t="e">
        <f>H10/H55</f>
        <v>#DIV/0!</v>
      </c>
    </row>
    <row r="11" spans="1:9" ht="16" x14ac:dyDescent="0.2">
      <c r="A11" s="23" t="s">
        <v>897</v>
      </c>
      <c r="C11" s="15" t="s">
        <v>897</v>
      </c>
      <c r="D11" s="35">
        <f>COUNTIF('reductions data'!G:G,'reductions workings'!C11)</f>
        <v>0</v>
      </c>
      <c r="E11" s="35">
        <f>D11+0.0006</f>
        <v>5.9999999999999995E-4</v>
      </c>
      <c r="G11" s="15" t="s">
        <v>897</v>
      </c>
      <c r="H11" s="28">
        <f>SUMIF('reductions data'!$G:$G,'reductions workings'!$G11,'reductions data'!$H:$H)</f>
        <v>0</v>
      </c>
      <c r="I11" s="22" t="e">
        <f>H11/H55</f>
        <v>#DIV/0!</v>
      </c>
    </row>
    <row r="12" spans="1:9" ht="16" x14ac:dyDescent="0.2">
      <c r="A12" s="23" t="s">
        <v>898</v>
      </c>
      <c r="C12" s="15" t="s">
        <v>898</v>
      </c>
      <c r="D12" s="35">
        <f>COUNTIF('reductions data'!G:G,'reductions workings'!C12)</f>
        <v>0</v>
      </c>
      <c r="E12" s="35">
        <f>D12+0.0006</f>
        <v>5.9999999999999995E-4</v>
      </c>
      <c r="G12" s="15" t="s">
        <v>898</v>
      </c>
      <c r="H12" s="28">
        <f>SUMIF('reductions data'!$G:$G,'reductions workings'!$G12,'reductions data'!$H:$H)</f>
        <v>0</v>
      </c>
      <c r="I12" s="22" t="e">
        <f>H12/H55</f>
        <v>#DIV/0!</v>
      </c>
    </row>
    <row r="13" spans="1:9" ht="16" x14ac:dyDescent="0.2">
      <c r="A13" s="23" t="s">
        <v>1257</v>
      </c>
      <c r="C13" s="15" t="s">
        <v>1257</v>
      </c>
      <c r="D13" s="35">
        <f>COUNTIF('reductions data'!G:G,'reductions workings'!C14)</f>
        <v>0</v>
      </c>
      <c r="E13" s="35">
        <f>D13+0.0008</f>
        <v>8.0000000000000004E-4</v>
      </c>
      <c r="G13" s="15" t="s">
        <v>1257</v>
      </c>
      <c r="H13" s="28">
        <f>SUMIF('reductions data'!$G:$G,'reductions workings'!$G14,'reductions data'!$H:$H)</f>
        <v>0</v>
      </c>
      <c r="I13" s="22" t="e">
        <f>H13/H54</f>
        <v>#DIV/0!</v>
      </c>
    </row>
    <row r="14" spans="1:9" ht="16" x14ac:dyDescent="0.2">
      <c r="A14" s="23" t="s">
        <v>899</v>
      </c>
      <c r="C14" s="15" t="s">
        <v>899</v>
      </c>
      <c r="D14" s="318">
        <f>COUNTIF('reductions data'!G:G,'reductions workings'!C13)</f>
        <v>0</v>
      </c>
      <c r="E14" s="318">
        <f>D14+0.0008</f>
        <v>8.0000000000000004E-4</v>
      </c>
      <c r="G14" s="15" t="s">
        <v>899</v>
      </c>
      <c r="H14" s="28">
        <f>SUMIF('reductions data'!$G:$G,'reductions workings'!$G13,'reductions data'!$H:$H)</f>
        <v>0</v>
      </c>
      <c r="I14" s="22" t="e">
        <f>H14/H56</f>
        <v>#DIV/0!</v>
      </c>
    </row>
    <row r="15" spans="1:9" ht="16" x14ac:dyDescent="0.2">
      <c r="A15" s="23" t="s">
        <v>900</v>
      </c>
      <c r="C15" s="15" t="s">
        <v>900</v>
      </c>
      <c r="D15" s="35">
        <f>COUNTIF('reductions data'!G:G,'reductions workings'!C15)</f>
        <v>0</v>
      </c>
      <c r="E15" s="35">
        <f>D15+0.0009</f>
        <v>8.9999999999999998E-4</v>
      </c>
      <c r="G15" s="15" t="s">
        <v>900</v>
      </c>
      <c r="H15" s="28">
        <f>SUMIF('reductions data'!$G:$G,'reductions workings'!$G15,'reductions data'!$H:$H)</f>
        <v>0</v>
      </c>
      <c r="I15" s="22" t="e">
        <f>H15/H55</f>
        <v>#DIV/0!</v>
      </c>
    </row>
    <row r="16" spans="1:9" ht="16" x14ac:dyDescent="0.2">
      <c r="A16" s="23" t="s">
        <v>901</v>
      </c>
      <c r="C16" s="15" t="s">
        <v>901</v>
      </c>
      <c r="D16" s="35">
        <f>COUNTIF('reductions data'!G:G,'reductions workings'!C16)</f>
        <v>0</v>
      </c>
      <c r="E16" s="35">
        <f>D16+0.0009</f>
        <v>8.9999999999999998E-4</v>
      </c>
      <c r="G16" s="15" t="s">
        <v>901</v>
      </c>
      <c r="H16" s="28">
        <f>SUMIF('reductions data'!$G:$G,'reductions workings'!$G16,'reductions data'!$H:$H)</f>
        <v>0</v>
      </c>
      <c r="I16" s="22" t="e">
        <f>H16/H55</f>
        <v>#DIV/0!</v>
      </c>
    </row>
    <row r="17" spans="1:9" ht="16" x14ac:dyDescent="0.2">
      <c r="A17" s="23" t="s">
        <v>902</v>
      </c>
      <c r="C17" s="15" t="s">
        <v>902</v>
      </c>
      <c r="D17" s="35">
        <f>COUNTIF('reductions data'!G:G,'reductions workings'!C17)</f>
        <v>0</v>
      </c>
      <c r="E17" s="35">
        <f>D17+0.00011</f>
        <v>1.1E-4</v>
      </c>
      <c r="G17" s="15" t="s">
        <v>902</v>
      </c>
      <c r="H17" s="28">
        <f>SUMIF('reductions data'!$G:$G,'reductions workings'!$G17,'reductions data'!$H:$H)</f>
        <v>0</v>
      </c>
      <c r="I17" s="22" t="e">
        <f>H17/H55</f>
        <v>#DIV/0!</v>
      </c>
    </row>
    <row r="18" spans="1:9" ht="16" x14ac:dyDescent="0.2">
      <c r="A18" s="23" t="s">
        <v>906</v>
      </c>
      <c r="C18" s="15" t="s">
        <v>903</v>
      </c>
      <c r="D18" s="35">
        <f>COUNTIF('reductions data'!G:G,'reductions workings'!C18)</f>
        <v>0</v>
      </c>
      <c r="E18" s="35">
        <f>D18+0.00012</f>
        <v>1.2E-4</v>
      </c>
      <c r="G18" s="15" t="s">
        <v>903</v>
      </c>
      <c r="H18" s="28">
        <f>SUMIF('reductions data'!$G:$G,'reductions workings'!$G18,'reductions data'!$H:$H)</f>
        <v>0</v>
      </c>
      <c r="I18" s="22" t="e">
        <f>H18/H55</f>
        <v>#DIV/0!</v>
      </c>
    </row>
    <row r="19" spans="1:9" ht="16" x14ac:dyDescent="0.2">
      <c r="A19" s="23" t="s">
        <v>903</v>
      </c>
      <c r="C19" s="15" t="s">
        <v>905</v>
      </c>
      <c r="D19" s="35">
        <f>COUNTIF('reductions data'!G:G,'reductions workings'!C20)</f>
        <v>0</v>
      </c>
      <c r="E19" s="35">
        <f>D19+0.00014</f>
        <v>1.3999999999999999E-4</v>
      </c>
      <c r="G19" s="15" t="s">
        <v>905</v>
      </c>
      <c r="H19" s="28">
        <f>SUMIF('reductions data'!$G:$G,'reductions workings'!$G19,'reductions data'!$H:$H)</f>
        <v>0</v>
      </c>
      <c r="I19" s="22" t="e">
        <f>H19/H55</f>
        <v>#DIV/0!</v>
      </c>
    </row>
    <row r="20" spans="1:9" ht="16" x14ac:dyDescent="0.2">
      <c r="A20" s="23" t="s">
        <v>905</v>
      </c>
      <c r="C20" s="15" t="s">
        <v>908</v>
      </c>
      <c r="D20" s="35">
        <f>COUNTIF('reductions data'!G:G,'reductions workings'!C22)</f>
        <v>0</v>
      </c>
      <c r="E20" s="35">
        <f>D20+0.00016</f>
        <v>1.6000000000000001E-4</v>
      </c>
      <c r="G20" s="15" t="s">
        <v>908</v>
      </c>
      <c r="H20" s="28">
        <f>SUMIF('reductions data'!$G:$G,'reductions workings'!$G20,'reductions data'!$H:$H)</f>
        <v>0</v>
      </c>
      <c r="I20" s="22" t="e">
        <f>H20/H55</f>
        <v>#DIV/0!</v>
      </c>
    </row>
    <row r="21" spans="1:9" ht="16" x14ac:dyDescent="0.2">
      <c r="A21" s="23" t="s">
        <v>908</v>
      </c>
      <c r="C21" s="15" t="s">
        <v>904</v>
      </c>
      <c r="D21" s="35">
        <f>COUNTIF('reductions data'!G:G,'reductions workings'!C19)</f>
        <v>0</v>
      </c>
      <c r="E21" s="35">
        <f>D21+0.00013</f>
        <v>1.2999999999999999E-4</v>
      </c>
      <c r="G21" s="15" t="s">
        <v>904</v>
      </c>
      <c r="H21" s="28">
        <f>SUMIF('reductions data'!$G:$G,'reductions workings'!$G21,'reductions data'!$H:$H)</f>
        <v>0</v>
      </c>
      <c r="I21" s="22" t="e">
        <f>H21/H55</f>
        <v>#DIV/0!</v>
      </c>
    </row>
    <row r="22" spans="1:9" ht="16" x14ac:dyDescent="0.2">
      <c r="A22" s="23" t="s">
        <v>904</v>
      </c>
      <c r="C22" s="15" t="s">
        <v>907</v>
      </c>
      <c r="D22" s="35">
        <f>COUNTIF('reductions data'!G:G,'reductions workings'!C21)</f>
        <v>0</v>
      </c>
      <c r="E22" s="35">
        <f>D22+0.00015</f>
        <v>1.4999999999999999E-4</v>
      </c>
      <c r="G22" s="15" t="s">
        <v>907</v>
      </c>
      <c r="H22" s="28">
        <f>SUMIF('reductions data'!$G:$G,'reductions workings'!$G22,'reductions data'!$H:$H)</f>
        <v>0</v>
      </c>
      <c r="I22" s="22" t="e">
        <f>H22/H55</f>
        <v>#DIV/0!</v>
      </c>
    </row>
    <row r="23" spans="1:9" ht="16" x14ac:dyDescent="0.2">
      <c r="A23" s="23" t="s">
        <v>909</v>
      </c>
      <c r="C23" s="15" t="s">
        <v>909</v>
      </c>
      <c r="D23" s="35">
        <f>COUNTIF('reductions data'!G:G,'reductions workings'!C23)</f>
        <v>0</v>
      </c>
      <c r="E23" s="35">
        <f>D23+0.00017</f>
        <v>1.7000000000000001E-4</v>
      </c>
      <c r="G23" s="15" t="s">
        <v>909</v>
      </c>
      <c r="H23" s="28">
        <f>SUMIF('reductions data'!$G:$G,'reductions workings'!$G23,'reductions data'!$H:$H)</f>
        <v>0</v>
      </c>
      <c r="I23" s="22" t="e">
        <f>H23/H55</f>
        <v>#DIV/0!</v>
      </c>
    </row>
    <row r="24" spans="1:9" ht="16" x14ac:dyDescent="0.2">
      <c r="A24" s="23" t="s">
        <v>910</v>
      </c>
      <c r="C24" s="15" t="s">
        <v>910</v>
      </c>
      <c r="D24" s="35">
        <f>COUNTIF('reductions data'!G:G,'reductions workings'!C24)</f>
        <v>0</v>
      </c>
      <c r="E24" s="35">
        <f>D24+0.00018</f>
        <v>1.8000000000000001E-4</v>
      </c>
      <c r="G24" s="15" t="s">
        <v>910</v>
      </c>
      <c r="H24" s="28">
        <f>SUMIF('reductions data'!$G:$G,'reductions workings'!$G24,'reductions data'!$H:$H)</f>
        <v>0</v>
      </c>
      <c r="I24" s="22" t="e">
        <f>H24/H55</f>
        <v>#DIV/0!</v>
      </c>
    </row>
    <row r="25" spans="1:9" ht="16" x14ac:dyDescent="0.2">
      <c r="A25" s="23" t="s">
        <v>911</v>
      </c>
      <c r="C25" s="15" t="s">
        <v>911</v>
      </c>
      <c r="D25" s="35">
        <f>COUNTIF('reductions data'!G:G,'reductions workings'!C25)</f>
        <v>0</v>
      </c>
      <c r="E25" s="35">
        <f>D25+0.00019</f>
        <v>1.9000000000000001E-4</v>
      </c>
      <c r="G25" s="15" t="s">
        <v>911</v>
      </c>
      <c r="H25" s="28">
        <f>SUMIF('reductions data'!$G:$G,'reductions workings'!$G25,'reductions data'!$H:$H)</f>
        <v>0</v>
      </c>
      <c r="I25" s="22" t="e">
        <f>H25/H55</f>
        <v>#DIV/0!</v>
      </c>
    </row>
    <row r="26" spans="1:9" ht="16" x14ac:dyDescent="0.2">
      <c r="A26" s="23" t="s">
        <v>912</v>
      </c>
      <c r="C26" s="15" t="s">
        <v>912</v>
      </c>
      <c r="D26" s="35">
        <f>COUNTIF('reductions data'!G:G,'reductions workings'!C26)</f>
        <v>0</v>
      </c>
      <c r="E26" s="35">
        <f>D26+0.00021</f>
        <v>2.1000000000000001E-4</v>
      </c>
      <c r="G26" s="15" t="s">
        <v>912</v>
      </c>
      <c r="H26" s="28">
        <f>SUMIF('reductions data'!$G:$G,'reductions workings'!$G26,'reductions data'!$H:$H)</f>
        <v>0</v>
      </c>
      <c r="I26" s="22" t="e">
        <f>H26/H55</f>
        <v>#DIV/0!</v>
      </c>
    </row>
    <row r="27" spans="1:9" ht="16" x14ac:dyDescent="0.2">
      <c r="A27" s="23" t="s">
        <v>913</v>
      </c>
      <c r="C27" s="15" t="s">
        <v>913</v>
      </c>
      <c r="D27" s="35">
        <f>COUNTIF('reductions data'!G:G,'reductions workings'!C27)</f>
        <v>0</v>
      </c>
      <c r="E27" s="35">
        <f>D27+0.00022</f>
        <v>2.2000000000000001E-4</v>
      </c>
      <c r="G27" s="15" t="s">
        <v>913</v>
      </c>
      <c r="H27" s="28">
        <f>SUMIF('reductions data'!$G:$G,'reductions workings'!$G27,'reductions data'!$H:$H)</f>
        <v>0</v>
      </c>
      <c r="I27" s="22" t="e">
        <f>H27/H55</f>
        <v>#DIV/0!</v>
      </c>
    </row>
    <row r="28" spans="1:9" ht="16" x14ac:dyDescent="0.2">
      <c r="A28" s="23" t="s">
        <v>914</v>
      </c>
      <c r="C28" s="15" t="s">
        <v>914</v>
      </c>
      <c r="D28" s="35">
        <f>COUNTIF('reductions data'!G:G,'reductions workings'!C28)</f>
        <v>0</v>
      </c>
      <c r="E28" s="35">
        <f>D28+0.00023</f>
        <v>2.3000000000000001E-4</v>
      </c>
      <c r="G28" s="15" t="s">
        <v>914</v>
      </c>
      <c r="H28" s="28">
        <f>SUMIF('reductions data'!$G:$G,'reductions workings'!$G28,'reductions data'!$H:$H)</f>
        <v>0</v>
      </c>
      <c r="I28" s="22" t="e">
        <f>H28/H55</f>
        <v>#DIV/0!</v>
      </c>
    </row>
    <row r="29" spans="1:9" ht="16" x14ac:dyDescent="0.2">
      <c r="A29" s="23" t="s">
        <v>915</v>
      </c>
      <c r="C29" s="15" t="s">
        <v>915</v>
      </c>
      <c r="D29" s="35">
        <f>COUNTIF('reductions data'!G:G,'reductions workings'!C29)</f>
        <v>0</v>
      </c>
      <c r="E29" s="35">
        <f>D29+0.00024</f>
        <v>2.4000000000000001E-4</v>
      </c>
      <c r="G29" s="15" t="s">
        <v>915</v>
      </c>
      <c r="H29" s="28">
        <f>SUMIF('reductions data'!$G:$G,'reductions workings'!$G29,'reductions data'!$H:$H)</f>
        <v>0</v>
      </c>
      <c r="I29" s="22" t="e">
        <f>H29/H55</f>
        <v>#DIV/0!</v>
      </c>
    </row>
    <row r="30" spans="1:9" ht="16" x14ac:dyDescent="0.2">
      <c r="A30" s="23" t="s">
        <v>1250</v>
      </c>
      <c r="C30" s="320" t="s">
        <v>1250</v>
      </c>
      <c r="D30" s="396">
        <f>COUNTIF('reductions data'!G:G,'reductions workings'!C34)</f>
        <v>0</v>
      </c>
      <c r="E30" s="35">
        <f t="shared" ref="E30:E36" si="0">D30+0.00032</f>
        <v>3.2000000000000003E-4</v>
      </c>
      <c r="G30" s="320" t="s">
        <v>1250</v>
      </c>
      <c r="H30" s="28">
        <f>SUMIF('reductions data'!$G:$G,'reductions workings'!$G30,'reductions data'!$H:$H)</f>
        <v>0</v>
      </c>
      <c r="I30" s="22" t="e">
        <f>H30/H55</f>
        <v>#DIV/0!</v>
      </c>
    </row>
    <row r="31" spans="1:9" ht="16" x14ac:dyDescent="0.2">
      <c r="A31" s="23" t="s">
        <v>1251</v>
      </c>
      <c r="C31" s="320" t="s">
        <v>1251</v>
      </c>
      <c r="D31" s="321">
        <f>COUNTIF('reductions data'!G:G,'reductions workings'!C35)</f>
        <v>0</v>
      </c>
      <c r="E31" s="315">
        <f t="shared" si="0"/>
        <v>3.2000000000000003E-4</v>
      </c>
      <c r="G31" s="320" t="s">
        <v>1251</v>
      </c>
      <c r="H31" s="28">
        <f>SUMIF('reductions data'!$G:$G,'reductions workings'!$G31,'reductions data'!$H:$H)</f>
        <v>0</v>
      </c>
      <c r="I31" s="22" t="e">
        <f>H31/H55</f>
        <v>#DIV/0!</v>
      </c>
    </row>
    <row r="32" spans="1:9" ht="16" x14ac:dyDescent="0.2">
      <c r="A32" s="23" t="s">
        <v>1248</v>
      </c>
      <c r="C32" s="320" t="s">
        <v>1248</v>
      </c>
      <c r="D32" s="321">
        <f>COUNTIF('reductions data'!G:G,'reductions workings'!C31)</f>
        <v>0</v>
      </c>
      <c r="E32" s="315">
        <f t="shared" si="0"/>
        <v>3.2000000000000003E-4</v>
      </c>
      <c r="G32" s="320" t="s">
        <v>1248</v>
      </c>
      <c r="H32" s="28">
        <f>SUMIF('reductions data'!$G:$G,'reductions workings'!$G32,'reductions data'!$H:$H)</f>
        <v>0</v>
      </c>
      <c r="I32" s="22" t="e">
        <f>H32/H55</f>
        <v>#DIV/0!</v>
      </c>
    </row>
    <row r="33" spans="1:9" ht="16" x14ac:dyDescent="0.2">
      <c r="A33" s="23" t="s">
        <v>1249</v>
      </c>
      <c r="C33" s="320" t="s">
        <v>1249</v>
      </c>
      <c r="D33" s="321">
        <f>COUNTIF('reductions data'!G:G,'reductions workings'!C32)</f>
        <v>0</v>
      </c>
      <c r="E33" s="315">
        <f t="shared" si="0"/>
        <v>3.2000000000000003E-4</v>
      </c>
      <c r="G33" s="320" t="s">
        <v>1249</v>
      </c>
      <c r="H33" s="28">
        <f>SUMIF('reductions data'!$G:$G,'reductions workings'!$G33,'reductions data'!$H:$H)</f>
        <v>0</v>
      </c>
      <c r="I33" s="22" t="e">
        <f>H33/H55</f>
        <v>#DIV/0!</v>
      </c>
    </row>
    <row r="34" spans="1:9" ht="16" x14ac:dyDescent="0.2">
      <c r="A34" s="23" t="s">
        <v>1258</v>
      </c>
      <c r="C34" s="320" t="s">
        <v>1258</v>
      </c>
      <c r="D34" s="321">
        <f>COUNTIF('reductions data'!G:G,'reductions workings'!C33)</f>
        <v>0</v>
      </c>
      <c r="E34" s="315">
        <f t="shared" si="0"/>
        <v>3.2000000000000003E-4</v>
      </c>
      <c r="G34" s="320" t="s">
        <v>1258</v>
      </c>
      <c r="H34" s="28">
        <f>SUMIF('reductions data'!$G:$G,'reductions workings'!$G34,'reductions data'!$H:$H)</f>
        <v>0</v>
      </c>
      <c r="I34" s="22" t="e">
        <f>H34/H55</f>
        <v>#DIV/0!</v>
      </c>
    </row>
    <row r="35" spans="1:9" ht="16" x14ac:dyDescent="0.2">
      <c r="A35" s="23" t="s">
        <v>1252</v>
      </c>
      <c r="C35" s="320" t="s">
        <v>1252</v>
      </c>
      <c r="D35" s="321">
        <f>COUNTIF('reductions data'!G:G,'reductions workings'!C39)</f>
        <v>0</v>
      </c>
      <c r="E35" s="315">
        <f t="shared" si="0"/>
        <v>3.2000000000000003E-4</v>
      </c>
      <c r="G35" s="320" t="s">
        <v>1252</v>
      </c>
      <c r="H35" s="28">
        <f>SUMIF('reductions data'!$G:$G,'reductions workings'!$G35,'reductions data'!$H:$H)</f>
        <v>0</v>
      </c>
      <c r="I35" s="22" t="e">
        <f>H35/H55</f>
        <v>#DIV/0!</v>
      </c>
    </row>
    <row r="36" spans="1:9" ht="16" x14ac:dyDescent="0.2">
      <c r="A36" s="23" t="s">
        <v>1253</v>
      </c>
      <c r="C36" s="320" t="s">
        <v>1253</v>
      </c>
      <c r="D36" s="321">
        <f>COUNTIF('reductions data'!G:G,'reductions workings'!C40)</f>
        <v>0</v>
      </c>
      <c r="E36" s="315">
        <f t="shared" si="0"/>
        <v>3.2000000000000003E-4</v>
      </c>
      <c r="G36" s="320" t="s">
        <v>1253</v>
      </c>
      <c r="H36" s="28">
        <f>SUMIF('reductions data'!$G:$G,'reductions workings'!$G36,'reductions data'!$H:$H)</f>
        <v>0</v>
      </c>
      <c r="I36" s="22" t="e">
        <f>H36/H55</f>
        <v>#DIV/0!</v>
      </c>
    </row>
    <row r="37" spans="1:9" ht="16" x14ac:dyDescent="0.2">
      <c r="A37" s="23" t="s">
        <v>917</v>
      </c>
      <c r="C37" s="15" t="s">
        <v>917</v>
      </c>
      <c r="D37" s="321">
        <f>COUNTIF('reductions data'!G:G,'reductions workings'!C41)</f>
        <v>0</v>
      </c>
      <c r="E37" s="315">
        <f>D37+0.00033</f>
        <v>3.3E-4</v>
      </c>
      <c r="G37" s="15" t="s">
        <v>917</v>
      </c>
      <c r="H37" s="28">
        <f>SUMIF('reductions data'!$G:$G,'reductions workings'!$G37,'reductions data'!$H:$H)</f>
        <v>0</v>
      </c>
      <c r="I37" s="22" t="e">
        <f>H37/H55</f>
        <v>#DIV/0!</v>
      </c>
    </row>
    <row r="38" spans="1:9" ht="16" x14ac:dyDescent="0.2">
      <c r="A38" s="23" t="s">
        <v>918</v>
      </c>
      <c r="C38" s="15" t="s">
        <v>918</v>
      </c>
      <c r="D38" s="321">
        <f>COUNTIF('reductions data'!G:G,'reductions workings'!C42)</f>
        <v>0</v>
      </c>
      <c r="E38" s="315">
        <f>D38+0.00033</f>
        <v>3.3E-4</v>
      </c>
      <c r="G38" s="15" t="s">
        <v>918</v>
      </c>
      <c r="H38" s="28">
        <f>SUMIF('reductions data'!$G:$G,'reductions workings'!$G38,'reductions data'!$H:$H)</f>
        <v>0</v>
      </c>
      <c r="I38" s="22" t="e">
        <f>H38/H55</f>
        <v>#DIV/0!</v>
      </c>
    </row>
    <row r="39" spans="1:9" ht="16" x14ac:dyDescent="0.2">
      <c r="A39" s="23" t="s">
        <v>919</v>
      </c>
      <c r="C39" s="15" t="s">
        <v>919</v>
      </c>
      <c r="D39" s="321">
        <f>COUNTIF('reductions data'!G:G,'reductions workings'!C43)</f>
        <v>0</v>
      </c>
      <c r="E39" s="315">
        <f>D39+0.00033</f>
        <v>3.3E-4</v>
      </c>
      <c r="G39" s="15" t="s">
        <v>919</v>
      </c>
      <c r="H39" s="28">
        <f>SUMIF('reductions data'!$G:$G,'reductions workings'!$G39,'reductions data'!$H:$H)</f>
        <v>0</v>
      </c>
      <c r="I39" s="22" t="e">
        <f>H39/H55</f>
        <v>#DIV/0!</v>
      </c>
    </row>
    <row r="40" spans="1:9" ht="16" x14ac:dyDescent="0.2">
      <c r="A40" s="23" t="s">
        <v>1254</v>
      </c>
      <c r="C40" s="320" t="s">
        <v>1254</v>
      </c>
      <c r="D40" s="321">
        <f>COUNTIF('reductions data'!G:G,'reductions workings'!C36)</f>
        <v>0</v>
      </c>
      <c r="E40" s="315">
        <f>D40+0.00032</f>
        <v>3.2000000000000003E-4</v>
      </c>
      <c r="G40" s="320" t="s">
        <v>1254</v>
      </c>
      <c r="H40" s="28">
        <f>SUMIF('reductions data'!$G:$G,'reductions workings'!$G43,'reductions data'!$H:$H)</f>
        <v>0</v>
      </c>
      <c r="I40" s="22" t="e">
        <f>H40/H52</f>
        <v>#DIV/0!</v>
      </c>
    </row>
    <row r="41" spans="1:9" ht="16" x14ac:dyDescent="0.2">
      <c r="A41" s="23" t="s">
        <v>1255</v>
      </c>
      <c r="C41" s="320" t="s">
        <v>1255</v>
      </c>
      <c r="D41" s="396">
        <f>COUNTIF('reductions data'!G:G,'reductions workings'!C37)</f>
        <v>0</v>
      </c>
      <c r="E41" s="35">
        <f>D41+0.00032</f>
        <v>3.2000000000000003E-4</v>
      </c>
      <c r="G41" s="320" t="s">
        <v>1255</v>
      </c>
      <c r="H41" s="28">
        <f>SUMIF('reductions data'!$G:$G,'reductions workings'!$G44,'reductions data'!$H:$H)</f>
        <v>0</v>
      </c>
      <c r="I41" s="22" t="e">
        <f>H41/H52</f>
        <v>#DIV/0!</v>
      </c>
    </row>
    <row r="42" spans="1:9" ht="16" x14ac:dyDescent="0.2">
      <c r="A42" s="23" t="s">
        <v>1256</v>
      </c>
      <c r="C42" s="320" t="s">
        <v>1259</v>
      </c>
      <c r="D42" s="396">
        <f>COUNTIF('reductions data'!G:G,'reductions workings'!C38)</f>
        <v>0</v>
      </c>
      <c r="E42" s="35">
        <f>D42+0.00032</f>
        <v>3.2000000000000003E-4</v>
      </c>
      <c r="G42" s="320" t="s">
        <v>1259</v>
      </c>
      <c r="H42" s="28">
        <f>SUMIF('reductions data'!$G:$G,'reductions workings'!$G45,'reductions data'!$H:$H)</f>
        <v>0</v>
      </c>
      <c r="I42" s="22" t="e">
        <f>H42/H52</f>
        <v>#DIV/0!</v>
      </c>
    </row>
    <row r="43" spans="1:9" ht="16" x14ac:dyDescent="0.2">
      <c r="A43" s="23" t="s">
        <v>920</v>
      </c>
      <c r="C43" s="15" t="s">
        <v>920</v>
      </c>
      <c r="D43" s="35">
        <f>COUNTIF('reductions data'!G:G,'reductions workings'!C44)</f>
        <v>0</v>
      </c>
      <c r="E43" s="35">
        <f>D43+0.00033</f>
        <v>3.3E-4</v>
      </c>
      <c r="G43" s="15" t="s">
        <v>920</v>
      </c>
      <c r="H43" s="28">
        <f>SUMIF('reductions data'!$G:$G,'reductions workings'!$G40,'reductions data'!$H:$H)</f>
        <v>0</v>
      </c>
      <c r="I43" s="22" t="e">
        <f>H43/H58</f>
        <v>#DIV/0!</v>
      </c>
    </row>
    <row r="44" spans="1:9" ht="16" x14ac:dyDescent="0.2">
      <c r="A44" s="23" t="s">
        <v>921</v>
      </c>
      <c r="C44" s="15" t="s">
        <v>921</v>
      </c>
      <c r="D44" s="35">
        <f>COUNTIF('reductions data'!G:G,'reductions workings'!C45)</f>
        <v>0</v>
      </c>
      <c r="E44" s="35">
        <f>D44+0.00033</f>
        <v>3.3E-4</v>
      </c>
      <c r="G44" s="15" t="s">
        <v>921</v>
      </c>
      <c r="H44" s="28">
        <f>SUMIF('reductions data'!$G:$G,'reductions workings'!$G41,'reductions data'!$H:$H)</f>
        <v>0</v>
      </c>
      <c r="I44" s="22" t="e">
        <f>H44/H58</f>
        <v>#DIV/0!</v>
      </c>
    </row>
    <row r="45" spans="1:9" ht="16" x14ac:dyDescent="0.2">
      <c r="A45" s="23" t="s">
        <v>922</v>
      </c>
      <c r="C45" s="15" t="s">
        <v>922</v>
      </c>
      <c r="D45" s="35">
        <f>COUNTIF('reductions data'!G:G,'reductions workings'!C46)</f>
        <v>0</v>
      </c>
      <c r="E45" s="35">
        <f>D45+0.00033</f>
        <v>3.3E-4</v>
      </c>
      <c r="G45" s="15" t="s">
        <v>922</v>
      </c>
      <c r="H45" s="28">
        <f>SUMIF('reductions data'!$G:$G,'reductions workings'!$G42,'reductions data'!$H:$H)</f>
        <v>0</v>
      </c>
      <c r="I45" s="22" t="e">
        <f>H45/H58</f>
        <v>#DIV/0!</v>
      </c>
    </row>
    <row r="46" spans="1:9" ht="16" x14ac:dyDescent="0.2">
      <c r="A46" s="23" t="s">
        <v>916</v>
      </c>
      <c r="C46" s="15" t="s">
        <v>916</v>
      </c>
      <c r="D46" s="35">
        <f>COUNTIF('reductions data'!G:G,'reductions workings'!C30)</f>
        <v>0</v>
      </c>
      <c r="E46" s="35">
        <f>D46+0.00026</f>
        <v>2.5999999999999998E-4</v>
      </c>
      <c r="G46" s="15" t="s">
        <v>916</v>
      </c>
      <c r="H46" s="28">
        <f>SUMIF('reductions data'!$G:$G,'reductions workings'!$G46,'reductions data'!$H:$H)</f>
        <v>0</v>
      </c>
      <c r="I46" s="22" t="e">
        <f>H46/H55</f>
        <v>#DIV/0!</v>
      </c>
    </row>
    <row r="47" spans="1:9" ht="16" x14ac:dyDescent="0.2">
      <c r="A47" s="23" t="s">
        <v>923</v>
      </c>
      <c r="C47" s="15" t="s">
        <v>923</v>
      </c>
      <c r="D47" s="35">
        <f>COUNTIF('reductions data'!G:G,'reductions workings'!C47)</f>
        <v>0</v>
      </c>
      <c r="E47" s="35">
        <f>D47+0.00034</f>
        <v>3.4000000000000002E-4</v>
      </c>
      <c r="G47" s="15" t="s">
        <v>923</v>
      </c>
      <c r="H47" s="28">
        <f>SUMIF('reductions data'!$G:$G,'reductions workings'!$G47,'reductions data'!$H:$H)</f>
        <v>0</v>
      </c>
      <c r="I47" s="22" t="e">
        <f>H47/H55</f>
        <v>#DIV/0!</v>
      </c>
    </row>
    <row r="48" spans="1:9" ht="16" x14ac:dyDescent="0.2">
      <c r="A48" s="23" t="s">
        <v>924</v>
      </c>
      <c r="C48" s="15" t="s">
        <v>924</v>
      </c>
      <c r="D48" s="35">
        <f>COUNTIF('reductions data'!G:G,'reductions workings'!C48)</f>
        <v>0</v>
      </c>
      <c r="E48" s="35">
        <f>D48+0.00035</f>
        <v>3.5E-4</v>
      </c>
      <c r="G48" s="15" t="s">
        <v>924</v>
      </c>
      <c r="H48" s="28">
        <f>SUMIF('reductions data'!$G:$G,'reductions workings'!$G48,'reductions data'!$H:$H)</f>
        <v>0</v>
      </c>
      <c r="I48" s="22" t="e">
        <f>H48/H55</f>
        <v>#DIV/0!</v>
      </c>
    </row>
    <row r="49" spans="1:9" ht="16" x14ac:dyDescent="0.2">
      <c r="A49" s="23" t="s">
        <v>925</v>
      </c>
      <c r="C49" s="15" t="s">
        <v>925</v>
      </c>
      <c r="D49" s="35">
        <f>COUNTIF('reductions data'!G:G,'reductions workings'!C49)</f>
        <v>0</v>
      </c>
      <c r="E49" s="35">
        <f>D49+0.00036</f>
        <v>3.6000000000000002E-4</v>
      </c>
      <c r="G49" s="15" t="s">
        <v>925</v>
      </c>
      <c r="H49" s="28">
        <f>SUMIF('reductions data'!$G:$G,'reductions workings'!$G49,'reductions data'!$H:$H)</f>
        <v>0</v>
      </c>
      <c r="I49" s="22" t="e">
        <f>H49/H55</f>
        <v>#DIV/0!</v>
      </c>
    </row>
    <row r="50" spans="1:9" ht="16" x14ac:dyDescent="0.2">
      <c r="A50" s="23" t="s">
        <v>926</v>
      </c>
      <c r="C50" s="15" t="s">
        <v>926</v>
      </c>
      <c r="D50" s="35">
        <f>COUNTIF('reductions data'!G:G,'reductions workings'!C50)</f>
        <v>0</v>
      </c>
      <c r="E50" s="35">
        <f>D50+0.00037</f>
        <v>3.6999999999999999E-4</v>
      </c>
      <c r="G50" s="15" t="s">
        <v>926</v>
      </c>
      <c r="H50" s="28">
        <f>SUMIF('reductions data'!$G:$G,'reductions workings'!$G50,'reductions data'!$H:$H)</f>
        <v>0</v>
      </c>
      <c r="I50" s="22" t="e">
        <f>H50/H55</f>
        <v>#DIV/0!</v>
      </c>
    </row>
    <row r="51" spans="1:9" ht="16" x14ac:dyDescent="0.2">
      <c r="A51" s="23" t="s">
        <v>927</v>
      </c>
      <c r="C51" s="15" t="s">
        <v>927</v>
      </c>
      <c r="D51" s="35">
        <f>COUNTIF('reductions data'!G:G,'reductions workings'!C51)</f>
        <v>0</v>
      </c>
      <c r="E51" s="35">
        <f>D51+0.00038</f>
        <v>3.8000000000000002E-4</v>
      </c>
      <c r="G51" s="15" t="s">
        <v>927</v>
      </c>
      <c r="H51" s="28">
        <f>SUMIF('reductions data'!$G:$G,'reductions workings'!$G51,'reductions data'!$H:$H)</f>
        <v>0</v>
      </c>
      <c r="I51" s="22" t="e">
        <f>H51/H55</f>
        <v>#DIV/0!</v>
      </c>
    </row>
    <row r="52" spans="1:9" ht="16" x14ac:dyDescent="0.2">
      <c r="A52" s="23" t="s">
        <v>928</v>
      </c>
      <c r="C52" s="15" t="s">
        <v>928</v>
      </c>
      <c r="D52" s="35">
        <f>COUNTIF('reductions data'!G:G,'reductions workings'!C52)</f>
        <v>0</v>
      </c>
      <c r="E52" s="35">
        <f>D52+0.00039</f>
        <v>3.8999999999999999E-4</v>
      </c>
      <c r="G52" s="15" t="s">
        <v>928</v>
      </c>
      <c r="H52" s="28">
        <f>SUMIF('reductions data'!$G:$G,'reductions workings'!$G52,'reductions data'!$H:$H)</f>
        <v>0</v>
      </c>
      <c r="I52" s="22" t="e">
        <f>H52/H55</f>
        <v>#DIV/0!</v>
      </c>
    </row>
    <row r="53" spans="1:9" ht="16" x14ac:dyDescent="0.2">
      <c r="A53" s="23" t="s">
        <v>929</v>
      </c>
      <c r="C53" s="15" t="s">
        <v>929</v>
      </c>
      <c r="D53" s="35">
        <f>COUNTIF('reductions data'!G:G,'reductions workings'!C53)</f>
        <v>0</v>
      </c>
      <c r="E53" s="35">
        <f>D53+0.00039</f>
        <v>3.8999999999999999E-4</v>
      </c>
      <c r="G53" s="15" t="s">
        <v>929</v>
      </c>
      <c r="H53" s="28">
        <f>SUMIF('reductions data'!$G:$G,'reductions workings'!$G53,'reductions data'!$H:$H)</f>
        <v>0</v>
      </c>
      <c r="I53" s="22" t="e">
        <f>H53/H55</f>
        <v>#DIV/0!</v>
      </c>
    </row>
    <row r="54" spans="1:9" ht="16" x14ac:dyDescent="0.2">
      <c r="A54" s="23" t="s">
        <v>930</v>
      </c>
      <c r="C54" s="15" t="s">
        <v>930</v>
      </c>
      <c r="D54" s="35">
        <f>COUNTIF('reductions data'!G:G,'reductions workings'!C54)</f>
        <v>0</v>
      </c>
      <c r="E54" s="35">
        <f>D54+0.00041</f>
        <v>4.0999999999999999E-4</v>
      </c>
      <c r="G54" s="15" t="s">
        <v>930</v>
      </c>
      <c r="H54" s="28">
        <f>SUMIF('reductions data'!$G:$G,'reductions workings'!$G54,'reductions data'!$H:$H)</f>
        <v>0</v>
      </c>
      <c r="I54" s="22" t="e">
        <f>H54/H55</f>
        <v>#DIV/0!</v>
      </c>
    </row>
    <row r="55" spans="1:9" ht="18" x14ac:dyDescent="0.2">
      <c r="C55" s="26" t="s">
        <v>931</v>
      </c>
      <c r="D55" s="404">
        <f>SUM(D6:D54)</f>
        <v>0</v>
      </c>
      <c r="E55" s="405"/>
      <c r="G55" s="26" t="s">
        <v>932</v>
      </c>
      <c r="H55" s="406">
        <f>SUM(H6:H54)</f>
        <v>0</v>
      </c>
      <c r="I55" s="407"/>
    </row>
    <row r="93" spans="4:9" x14ac:dyDescent="0.15">
      <c r="D93" s="8"/>
      <c r="E93" s="8"/>
      <c r="H93" s="8"/>
      <c r="I93" s="8"/>
    </row>
    <row r="94" spans="4:9" x14ac:dyDescent="0.15">
      <c r="D94" s="8"/>
      <c r="E94" s="8"/>
      <c r="H94" s="8"/>
      <c r="I94" s="8"/>
    </row>
    <row r="95" spans="4:9" x14ac:dyDescent="0.15">
      <c r="D95" s="8"/>
      <c r="E95" s="8"/>
      <c r="H95" s="8"/>
      <c r="I95" s="8"/>
    </row>
    <row r="96" spans="4:9" x14ac:dyDescent="0.15">
      <c r="D96" s="8"/>
      <c r="E96" s="8"/>
      <c r="H96" s="8"/>
      <c r="I96" s="8"/>
    </row>
    <row r="97" spans="4:9" x14ac:dyDescent="0.15">
      <c r="D97" s="8"/>
      <c r="E97" s="8"/>
      <c r="H97" s="8"/>
      <c r="I97" s="8"/>
    </row>
    <row r="98" spans="4:9" x14ac:dyDescent="0.15">
      <c r="D98" s="8"/>
      <c r="E98" s="8"/>
      <c r="H98" s="8"/>
      <c r="I98" s="8"/>
    </row>
    <row r="99" spans="4:9" x14ac:dyDescent="0.15">
      <c r="D99" s="8"/>
      <c r="E99" s="8"/>
      <c r="H99" s="8"/>
      <c r="I99" s="8"/>
    </row>
    <row r="100" spans="4:9" x14ac:dyDescent="0.15">
      <c r="D100" s="8"/>
      <c r="E100" s="8"/>
      <c r="H100" s="8"/>
      <c r="I100" s="8"/>
    </row>
    <row r="101" spans="4:9" x14ac:dyDescent="0.15">
      <c r="D101" s="8"/>
      <c r="E101" s="8"/>
      <c r="H101" s="8"/>
      <c r="I101" s="8"/>
    </row>
    <row r="102" spans="4:9" x14ac:dyDescent="0.15">
      <c r="D102" s="8"/>
      <c r="E102" s="8"/>
      <c r="H102" s="8"/>
      <c r="I102" s="8"/>
    </row>
    <row r="103" spans="4:9" x14ac:dyDescent="0.15">
      <c r="D103" s="8"/>
      <c r="E103" s="8"/>
      <c r="H103" s="8"/>
      <c r="I103" s="8"/>
    </row>
    <row r="104" spans="4:9" x14ac:dyDescent="0.15">
      <c r="D104" s="8"/>
      <c r="E104" s="8"/>
      <c r="H104" s="8"/>
      <c r="I104" s="8"/>
    </row>
    <row r="105" spans="4:9" x14ac:dyDescent="0.15">
      <c r="D105" s="8"/>
      <c r="E105" s="8"/>
      <c r="H105" s="8"/>
      <c r="I105" s="8"/>
    </row>
    <row r="106" spans="4:9" x14ac:dyDescent="0.15">
      <c r="D106" s="8"/>
      <c r="E106" s="8"/>
      <c r="H106" s="8"/>
      <c r="I106" s="8"/>
    </row>
    <row r="121" spans="1:9" x14ac:dyDescent="0.15">
      <c r="A121" s="29"/>
      <c r="C121" s="29"/>
      <c r="D121" s="30"/>
      <c r="E121" s="30"/>
      <c r="G121" s="29"/>
      <c r="H121" s="30"/>
      <c r="I121" s="30"/>
    </row>
    <row r="131" spans="2:11" x14ac:dyDescent="0.15">
      <c r="B131" s="29"/>
      <c r="F131" s="29"/>
      <c r="J131" s="29"/>
      <c r="K131" s="29"/>
    </row>
  </sheetData>
  <sheetProtection selectLockedCells="1" selectUnlockedCells="1"/>
  <sortState xmlns:xlrd2="http://schemas.microsoft.com/office/spreadsheetml/2017/richdata2" ref="G6:I54">
    <sortCondition ref="G6"/>
  </sortState>
  <mergeCells count="2">
    <mergeCell ref="D55:E55"/>
    <mergeCell ref="H55:I5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30"/>
  <sheetViews>
    <sheetView showGridLines="0" showRowColHeaders="0" workbookViewId="0">
      <selection sqref="A1:Q1"/>
    </sheetView>
  </sheetViews>
  <sheetFormatPr baseColWidth="10" defaultColWidth="8.83203125" defaultRowHeight="14" x14ac:dyDescent="0.15"/>
  <sheetData>
    <row r="1" spans="1:19" ht="40.5" customHeight="1" x14ac:dyDescent="0.3">
      <c r="A1" s="408" t="s">
        <v>933</v>
      </c>
      <c r="B1" s="408"/>
      <c r="C1" s="408"/>
      <c r="D1" s="408"/>
      <c r="E1" s="408"/>
      <c r="F1" s="408"/>
      <c r="G1" s="408"/>
      <c r="H1" s="408"/>
      <c r="I1" s="408"/>
      <c r="J1" s="408"/>
      <c r="K1" s="408"/>
      <c r="L1" s="408"/>
      <c r="M1" s="408"/>
      <c r="N1" s="408"/>
      <c r="O1" s="408"/>
      <c r="P1" s="408"/>
      <c r="Q1" s="408"/>
      <c r="R1" s="278"/>
      <c r="S1" s="278"/>
    </row>
    <row r="30" spans="1:1" x14ac:dyDescent="0.15">
      <c r="A30" t="s">
        <v>1198</v>
      </c>
    </row>
  </sheetData>
  <mergeCells count="1">
    <mergeCell ref="A1:Q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K125"/>
  <sheetViews>
    <sheetView showGridLines="0" topLeftCell="A94" zoomScale="70" zoomScaleNormal="70" workbookViewId="0">
      <selection activeCell="F33" sqref="F33"/>
    </sheetView>
  </sheetViews>
  <sheetFormatPr baseColWidth="10" defaultColWidth="9.1640625" defaultRowHeight="14" x14ac:dyDescent="0.15"/>
  <cols>
    <col min="2" max="2" width="46.5" customWidth="1"/>
    <col min="3" max="3" width="14.5" bestFit="1" customWidth="1"/>
    <col min="4" max="4" width="17.5" customWidth="1"/>
    <col min="5" max="5" width="14.83203125" customWidth="1"/>
    <col min="6" max="6" width="20.1640625" customWidth="1"/>
    <col min="7" max="7" width="17.5" customWidth="1"/>
    <col min="8" max="8" width="19.5" customWidth="1"/>
    <col min="9" max="9" width="16.5" customWidth="1"/>
    <col min="10" max="10" width="15.5" customWidth="1"/>
    <col min="11" max="11" width="18" customWidth="1"/>
    <col min="12" max="12" width="16" customWidth="1"/>
    <col min="13" max="13" width="15.5" customWidth="1"/>
    <col min="21" max="21" width="43.5" bestFit="1" customWidth="1"/>
  </cols>
  <sheetData>
    <row r="1" spans="1:19" ht="52.5" customHeight="1" x14ac:dyDescent="0.15">
      <c r="A1" s="415" t="s">
        <v>934</v>
      </c>
      <c r="B1" s="415"/>
      <c r="C1" s="415"/>
      <c r="D1" s="415"/>
      <c r="E1" s="415"/>
      <c r="F1" s="415"/>
      <c r="G1" s="415"/>
      <c r="H1" s="415"/>
      <c r="I1" s="415"/>
      <c r="J1" s="415"/>
      <c r="K1" s="415"/>
      <c r="L1" s="415"/>
      <c r="M1" s="415"/>
      <c r="N1" s="240"/>
      <c r="O1" s="240"/>
      <c r="P1" s="240"/>
      <c r="Q1" s="240"/>
      <c r="R1" s="240"/>
      <c r="S1" s="240"/>
    </row>
    <row r="2" spans="1:19" ht="28.5" customHeight="1" x14ac:dyDescent="0.15">
      <c r="A2" s="426"/>
      <c r="B2" s="426"/>
      <c r="C2" s="426"/>
      <c r="D2" s="426"/>
      <c r="E2" s="426"/>
      <c r="F2" s="426"/>
      <c r="G2" s="426"/>
      <c r="H2" s="426"/>
      <c r="I2" s="426"/>
      <c r="J2" s="426"/>
      <c r="K2" s="426"/>
      <c r="L2" s="426"/>
      <c r="M2" s="259"/>
      <c r="N2" s="241"/>
      <c r="O2" s="241"/>
      <c r="P2" s="241"/>
      <c r="Q2" s="241"/>
      <c r="R2" s="241"/>
      <c r="S2" s="241"/>
    </row>
    <row r="4" spans="1:19" ht="36" customHeight="1" x14ac:dyDescent="0.15">
      <c r="B4" s="36" t="s">
        <v>935</v>
      </c>
    </row>
    <row r="5" spans="1:19" ht="39" customHeight="1" x14ac:dyDescent="0.15">
      <c r="B5" s="243" t="s">
        <v>17</v>
      </c>
      <c r="C5" s="40"/>
    </row>
    <row r="6" spans="1:19" x14ac:dyDescent="0.15">
      <c r="H6" s="49"/>
    </row>
    <row r="7" spans="1:19" ht="25" x14ac:dyDescent="0.15">
      <c r="B7" s="280" t="s">
        <v>936</v>
      </c>
      <c r="C7" s="281"/>
      <c r="D7" s="281"/>
      <c r="E7" s="281"/>
      <c r="F7" s="282"/>
    </row>
    <row r="8" spans="1:19" ht="78.75" customHeight="1" x14ac:dyDescent="0.15">
      <c r="B8" s="62"/>
      <c r="C8" s="219" t="s">
        <v>937</v>
      </c>
      <c r="D8" s="63" t="s">
        <v>938</v>
      </c>
      <c r="E8" s="63" t="s">
        <v>939</v>
      </c>
      <c r="F8" s="63" t="s">
        <v>940</v>
      </c>
      <c r="G8" s="64"/>
      <c r="H8" s="219" t="s">
        <v>941</v>
      </c>
      <c r="I8" s="219" t="s">
        <v>942</v>
      </c>
      <c r="J8" s="64"/>
      <c r="K8" s="219" t="s">
        <v>943</v>
      </c>
      <c r="L8" s="219" t="s">
        <v>944</v>
      </c>
    </row>
    <row r="9" spans="1:19" x14ac:dyDescent="0.15">
      <c r="B9" s="65" t="str">
        <f>B5</f>
        <v>East Midlands Region</v>
      </c>
      <c r="C9" s="66" t="e">
        <f>SUM((SUMIFS('capacity data'!$G:$G,'capacity data'!$E:$E,"PO",'capacity data'!$A:$A,B5))-SUMIFS('capacity data'!$H:$H,'capacity data'!$E:$E,"PO",'capacity data'!$A:$A,B5))/SUMIFS('capacity data'!$G:$G,'capacity data'!$E:$E,"PO",'capacity data'!$A:$A,B5)</f>
        <v>#DIV/0!</v>
      </c>
      <c r="D9" s="67" t="e">
        <f>SUM((SUMIFS('capacity data'!$G:$G,'capacity data'!$E:$E,"PSO",'capacity data'!$A:$A,B5))-SUMIFS('capacity data'!$H:$H,'capacity data'!$E:$E,"PSO",'capacity data'!$A:$A,B5))/SUMIFS('capacity data'!$G:$G,'capacity data'!$E:$E,"PSO",'capacity data'!$A:$A,B5)</f>
        <v>#DIV/0!</v>
      </c>
      <c r="E9" s="67" t="e">
        <f>SUM((SUMIFS('capacity data'!$G:$G,'capacity data'!$E:$E,"TPO",'capacity data'!$A:$A,B5))-SUMIFS('capacity data'!$H:$H,'capacity data'!$E:$E,"TPO",'capacity data'!$A:$A,B5))/SUMIFS('capacity data'!$G:$G,'capacity data'!$E:$E,"TPO",'capacity data'!$A:$A,B5)</f>
        <v>#DIV/0!</v>
      </c>
      <c r="F9" s="66" t="e">
        <f>SUM((SUMIFS('capacity data'!G:G,'capacity data'!A:A,B5))-SUMIFS('capacity data'!H:H,'capacity data'!A:A,B5))/SUMIFS('capacity data'!G:G,'capacity data'!A:A,B5)</f>
        <v>#DIV/0!</v>
      </c>
      <c r="G9" s="64"/>
      <c r="H9" s="66" t="e">
        <f>SUMIFS('capacity data'!$L:$L,'capacity data'!$A:$A,$B$5,'capacity data'!$E:$E,"PSO")/SUM((SUMIFS('capacity data'!$G:$G,'capacity data'!$E:$E,"PSO",'capacity data'!$A:$A,$B$5))-SUMIFS('capacity data'!$H:$H,'capacity data'!$E:$E,"PSO",'capacity data'!$A:$A,$B$5))</f>
        <v>#DIV/0!</v>
      </c>
      <c r="I9" s="66" t="e">
        <f>SUMIFS('capacity data'!$L:$L,'capacity data'!$A:$A,$B$5,'capacity data'!$E:$E,"PSO")/SUMIFS('capacity data'!$G:$G,'capacity data'!$E:$E,"PSO",'capacity data'!$A:$A,$B$5)</f>
        <v>#DIV/0!</v>
      </c>
      <c r="J9" s="64"/>
      <c r="K9" s="66" t="e">
        <f>SUMIFS('capacity data'!$L:$L,'capacity data'!$A:$A,$B$5,'capacity data'!$E:$E,"TPO")/SUM((SUMIFS('capacity data'!$G:$G,'capacity data'!$E:$E,"TPO",'capacity data'!$A:$A,$B$5))-SUMIFS('capacity data'!$H:$H,'capacity data'!$E:$E,"TPO",'capacity data'!$A:$A,$B$5))</f>
        <v>#DIV/0!</v>
      </c>
      <c r="L9" s="66" t="e">
        <f>SUMIFS('capacity data'!$L:$L,'capacity data'!$A:$A,$B$5,'capacity data'!$E:$E,"TPO")/SUMIFS('capacity data'!$G:$G,'capacity data'!$E:$E,"TPO",'capacity data'!$A:$A,$B$5)</f>
        <v>#DIV/0!</v>
      </c>
    </row>
    <row r="10" spans="1:19" x14ac:dyDescent="0.15">
      <c r="B10" s="229" t="s">
        <v>945</v>
      </c>
      <c r="C10" s="82" t="e">
        <f>SUM((SUMIF('capacity data'!E:E,"PO",'capacity data'!G:G))-SUMIF('capacity data'!E:E,"PO",'capacity data'!H:H))/SUMIF('capacity data'!E:E,"PO",'capacity data'!G:G)</f>
        <v>#DIV/0!</v>
      </c>
      <c r="D10" s="107" t="e">
        <f>SUM((SUMIF('capacity data'!E:E,"PSO",'capacity data'!G:G))-SUMIF('capacity data'!E:E,"PSO",'capacity data'!H:H))/SUMIF('capacity data'!E:E,"PSO",'capacity data'!G:G)</f>
        <v>#DIV/0!</v>
      </c>
      <c r="E10" s="107" t="e">
        <f>SUM((SUMIF('capacity data'!E:E,"TPO",'capacity data'!G:G))-SUMIF('capacity data'!E:E,"TPO",'capacity data'!H:H))/SUMIF('capacity data'!E:E,"TPO",'capacity data'!G:G)</f>
        <v>#DIV/0!</v>
      </c>
      <c r="F10" s="82" t="e">
        <f>SUM((SUM('capacity data'!G:G)-SUM('capacity data'!H:H))/SUM('capacity data'!G:G))</f>
        <v>#DIV/0!</v>
      </c>
      <c r="G10" s="64"/>
      <c r="H10" s="82" t="e">
        <f>SUMIF('capacity data'!$E:$E,"PSO",'capacity data'!$L:$L)/SUM(SUMIF('capacity data'!$E:$E,"PSO",'capacity data'!$G:$G)-SUMIF('capacity data'!$E:$E,"PSO",'capacity data'!$H:$H))</f>
        <v>#DIV/0!</v>
      </c>
      <c r="I10" s="82" t="e">
        <f>SUMIF('capacity data'!$E:$E,"PSO",'capacity data'!$L:$L)/SUMIF('capacity data'!$E:$E,"PSO",'capacity data'!$G:$G)</f>
        <v>#DIV/0!</v>
      </c>
      <c r="J10" s="64"/>
      <c r="K10" s="82" t="e">
        <f>SUMIF('capacity data'!$E:$E,"TPO",'capacity data'!$L:$L)/SUM(SUMIF('capacity data'!$E:$E,"TPO",'capacity data'!$G:$G)-SUMIF('capacity data'!$E:$E,"TPO",'capacity data'!$H:$H))</f>
        <v>#DIV/0!</v>
      </c>
      <c r="L10" s="82" t="e">
        <f>SUMIF('capacity data'!$E:$E,"TPO",'capacity data'!$L:$L)/SUMIF('capacity data'!$E:$E,"TPO",'capacity data'!$G:$G)</f>
        <v>#DIV/0!</v>
      </c>
    </row>
    <row r="11" spans="1:19" x14ac:dyDescent="0.15">
      <c r="B11" s="68" t="s">
        <v>946</v>
      </c>
      <c r="C11" s="102" t="e">
        <f>+C9-C10</f>
        <v>#DIV/0!</v>
      </c>
      <c r="D11" s="103" t="e">
        <f>+D9-D10</f>
        <v>#DIV/0!</v>
      </c>
      <c r="E11" s="103" t="e">
        <f>+E9-E10</f>
        <v>#DIV/0!</v>
      </c>
      <c r="F11" s="102" t="e">
        <f>+F9-F10</f>
        <v>#DIV/0!</v>
      </c>
      <c r="G11" s="64"/>
      <c r="H11" s="102" t="e">
        <f>+H9-H10</f>
        <v>#DIV/0!</v>
      </c>
      <c r="I11" s="99" t="e">
        <f>+I9-I10</f>
        <v>#DIV/0!</v>
      </c>
      <c r="J11" s="64"/>
      <c r="K11" s="102" t="e">
        <f>+K9-K10</f>
        <v>#DIV/0!</v>
      </c>
      <c r="L11" s="99" t="e">
        <f>+L9-L10</f>
        <v>#DIV/0!</v>
      </c>
    </row>
    <row r="13" spans="1:19" ht="23" x14ac:dyDescent="0.15">
      <c r="B13" s="413" t="s">
        <v>947</v>
      </c>
      <c r="C13" s="414"/>
      <c r="D13" s="414"/>
      <c r="E13" s="414"/>
      <c r="F13" s="414"/>
      <c r="G13" s="414"/>
      <c r="H13" s="414"/>
      <c r="I13" s="414"/>
      <c r="J13" s="414"/>
      <c r="K13" s="414"/>
      <c r="L13" s="414"/>
      <c r="M13" s="414"/>
    </row>
    <row r="14" spans="1:19" ht="63.75" customHeight="1" x14ac:dyDescent="0.15">
      <c r="B14" s="69"/>
      <c r="C14" s="70" t="s">
        <v>948</v>
      </c>
      <c r="D14" s="70" t="s">
        <v>949</v>
      </c>
      <c r="E14" s="70" t="s">
        <v>950</v>
      </c>
      <c r="F14" s="70" t="s">
        <v>951</v>
      </c>
      <c r="G14" s="70" t="s">
        <v>952</v>
      </c>
      <c r="H14" s="70" t="s">
        <v>953</v>
      </c>
      <c r="I14" s="70" t="s">
        <v>954</v>
      </c>
      <c r="J14" s="71" t="s">
        <v>955</v>
      </c>
      <c r="K14" s="70" t="s">
        <v>956</v>
      </c>
      <c r="L14" s="70" t="s">
        <v>957</v>
      </c>
      <c r="M14" s="70" t="s">
        <v>958</v>
      </c>
    </row>
    <row r="15" spans="1:19" ht="20.25" customHeight="1" x14ac:dyDescent="0.15">
      <c r="B15" s="72" t="str">
        <f>B5</f>
        <v>East Midlands Region</v>
      </c>
      <c r="C15" s="213">
        <f>COUNTIFS('capacity data'!A:A,B5,'capacity data'!E:E,"PO")</f>
        <v>0</v>
      </c>
      <c r="D15" s="213">
        <f>COUNTIFS('capacity data'!A:A,B5,'capacity data'!E:E,"PO",'capacity data'!F:F,"&gt;110%")</f>
        <v>0</v>
      </c>
      <c r="E15" s="73" t="e">
        <f>D15/C15</f>
        <v>#DIV/0!</v>
      </c>
      <c r="F15" s="213">
        <f>COUNTIFS('capacity data'!A:A,'divisional &amp; regional overview'!B5,'capacity data'!E:E,"PSO")</f>
        <v>0</v>
      </c>
      <c r="G15" s="213">
        <f>COUNTIFS('capacity data'!A:A,B5,'capacity data'!E:E,"PSO",'capacity data'!F:F,"&gt;110%")</f>
        <v>0</v>
      </c>
      <c r="H15" s="74" t="e">
        <f>G15/F15</f>
        <v>#DIV/0!</v>
      </c>
      <c r="I15" s="213">
        <f>COUNTIFS('capacity data'!A:A,B5,'capacity data'!E:E,"PSO",'capacity data'!F:F,"&lt;90%")</f>
        <v>0</v>
      </c>
      <c r="J15" s="74" t="e">
        <f>I15/F15</f>
        <v>#DIV/0!</v>
      </c>
      <c r="K15" s="213">
        <f>COUNTIFS('capacity data'!A:A,'divisional &amp; regional overview'!B5,'capacity data'!E:E,"TPO")</f>
        <v>0</v>
      </c>
      <c r="L15" s="213">
        <f>COUNTIFS('capacity data'!A:A,B5,'capacity data'!E:E,"TPO",'capacity data'!F:F,"&gt;110%")</f>
        <v>0</v>
      </c>
      <c r="M15" s="67" t="e">
        <f>L15/K15</f>
        <v>#DIV/0!</v>
      </c>
    </row>
    <row r="16" spans="1:19" x14ac:dyDescent="0.15">
      <c r="B16" s="229" t="s">
        <v>959</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62" t="s">
        <v>946</v>
      </c>
      <c r="C17" s="100" t="s">
        <v>960</v>
      </c>
      <c r="D17" s="100" t="s">
        <v>960</v>
      </c>
      <c r="E17" s="101" t="e">
        <f>+E15-E16</f>
        <v>#DIV/0!</v>
      </c>
      <c r="F17" s="100" t="s">
        <v>960</v>
      </c>
      <c r="G17" s="100" t="s">
        <v>960</v>
      </c>
      <c r="H17" s="101" t="e">
        <f>+H15-H16</f>
        <v>#DIV/0!</v>
      </c>
      <c r="I17" s="100" t="s">
        <v>960</v>
      </c>
      <c r="J17" s="101" t="e">
        <f>+J15-J16</f>
        <v>#DIV/0!</v>
      </c>
      <c r="K17" s="100" t="s">
        <v>960</v>
      </c>
      <c r="L17" s="100" t="s">
        <v>960</v>
      </c>
      <c r="M17" s="101" t="e">
        <f>+M15-M16</f>
        <v>#DIV/0!</v>
      </c>
    </row>
    <row r="19" spans="2:13" ht="23" x14ac:dyDescent="0.25">
      <c r="B19" s="409" t="s">
        <v>961</v>
      </c>
      <c r="C19" s="410"/>
      <c r="D19" s="410"/>
      <c r="E19" s="410"/>
      <c r="F19" s="410"/>
      <c r="G19" s="411"/>
      <c r="H19" s="412"/>
    </row>
    <row r="20" spans="2:13" ht="42" x14ac:dyDescent="0.15">
      <c r="B20" s="76"/>
      <c r="C20" s="63" t="s">
        <v>962</v>
      </c>
      <c r="D20" s="63" t="s">
        <v>963</v>
      </c>
      <c r="E20" s="63" t="s">
        <v>964</v>
      </c>
      <c r="F20" s="63" t="s">
        <v>965</v>
      </c>
      <c r="G20" s="219" t="s">
        <v>966</v>
      </c>
      <c r="H20" s="219" t="s">
        <v>967</v>
      </c>
    </row>
    <row r="21" spans="2:13" x14ac:dyDescent="0.15">
      <c r="B21" s="62" t="str">
        <f>B5</f>
        <v>East Midlands Region</v>
      </c>
      <c r="C21" s="75">
        <f>SUMIFS('capacity data'!K:K,'capacity data'!A:A,'divisional &amp; regional overview'!B5,'capacity data'!E:E,"SPO")</f>
        <v>0</v>
      </c>
      <c r="D21" s="75">
        <f>SUMIFS('capacity data'!K:K,'capacity data'!A:A,'divisional &amp; regional overview'!B21,'capacity data'!E:E,"DMY")</f>
        <v>0</v>
      </c>
      <c r="E21" s="75">
        <f>SUM(C21:D21)</f>
        <v>0</v>
      </c>
      <c r="F21" s="77">
        <f>SUMIF('capacity data'!A:A,B21,'capacity data'!K:K)</f>
        <v>0</v>
      </c>
      <c r="G21" s="66" t="e">
        <f>E21/F21</f>
        <v>#DIV/0!</v>
      </c>
      <c r="H21" s="78">
        <f>SUMIF('caseload data'!A:A,'divisional &amp; regional overview'!B99,'caseload data'!U:U)</f>
        <v>0</v>
      </c>
    </row>
    <row r="22" spans="2:13" x14ac:dyDescent="0.15">
      <c r="B22" s="230" t="s">
        <v>959</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83" t="s">
        <v>946</v>
      </c>
      <c r="C23" s="100" t="s">
        <v>960</v>
      </c>
      <c r="D23" s="100" t="s">
        <v>960</v>
      </c>
      <c r="E23" s="100" t="s">
        <v>960</v>
      </c>
      <c r="F23" s="104" t="s">
        <v>960</v>
      </c>
      <c r="G23" s="104" t="e">
        <f>+G21-G22</f>
        <v>#DIV/0!</v>
      </c>
      <c r="H23" s="100" t="s">
        <v>960</v>
      </c>
    </row>
    <row r="26" spans="2:13" ht="23" x14ac:dyDescent="0.25">
      <c r="B26" s="422" t="s">
        <v>968</v>
      </c>
      <c r="C26" s="422"/>
      <c r="D26" s="422"/>
      <c r="E26" s="422"/>
      <c r="F26" s="422"/>
      <c r="G26" s="422"/>
      <c r="H26" s="422"/>
      <c r="I26" s="422"/>
      <c r="J26" s="422"/>
      <c r="K26" s="422"/>
    </row>
    <row r="27" spans="2:13" ht="83.25" customHeight="1" x14ac:dyDescent="0.15">
      <c r="B27" s="84"/>
      <c r="C27" s="219" t="s">
        <v>969</v>
      </c>
      <c r="D27" s="219" t="s">
        <v>970</v>
      </c>
      <c r="E27" s="219" t="s">
        <v>971</v>
      </c>
      <c r="F27" s="219" t="s">
        <v>972</v>
      </c>
      <c r="G27" s="219" t="s">
        <v>973</v>
      </c>
      <c r="H27" s="219" t="s">
        <v>974</v>
      </c>
      <c r="I27" s="219" t="s">
        <v>975</v>
      </c>
      <c r="J27" s="219" t="s">
        <v>976</v>
      </c>
      <c r="K27" s="219" t="s">
        <v>977</v>
      </c>
    </row>
    <row r="28" spans="2:13" x14ac:dyDescent="0.15">
      <c r="B28" s="62" t="str">
        <f>B5</f>
        <v>East Midlands Region</v>
      </c>
      <c r="C28" s="85">
        <f>SUMIFS('capacity data'!I:I,'capacity data'!A:A,B28,'capacity data'!E:E,"PO")</f>
        <v>0</v>
      </c>
      <c r="D28" s="86">
        <f>SUMIFS('capacity data'!J:J,'capacity data'!A:A,B28,'capacity data'!E:E,"PO")</f>
        <v>0</v>
      </c>
      <c r="E28" s="87" t="e">
        <f>D28/C28</f>
        <v>#DIV/0!</v>
      </c>
      <c r="F28" s="86">
        <f>SUMIFS('capacity data'!I:I,'capacity data'!A:A,B28,'capacity data'!E:E,"PSO")</f>
        <v>0</v>
      </c>
      <c r="G28" s="86">
        <f>SUMIFS('capacity data'!J:J,'capacity data'!A:A,B28,'capacity data'!E:E,"PSO")</f>
        <v>0</v>
      </c>
      <c r="H28" s="87" t="e">
        <f>G28/F28</f>
        <v>#DIV/0!</v>
      </c>
      <c r="I28" s="86">
        <f>SUMIFS('capacity data'!I:I,'capacity data'!A:A,B28,'capacity data'!E:E,"TPO")</f>
        <v>0</v>
      </c>
      <c r="J28" s="88">
        <f>SUMIFS('capacity data'!J:J,'capacity data'!A:A,B28,'capacity data'!E:E,"TPO")</f>
        <v>0</v>
      </c>
      <c r="K28" s="87" t="e">
        <f>J28/I28</f>
        <v>#DIV/0!</v>
      </c>
    </row>
    <row r="29" spans="2:13" x14ac:dyDescent="0.15">
      <c r="B29" s="229" t="s">
        <v>978</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946</v>
      </c>
      <c r="C30" s="100" t="s">
        <v>960</v>
      </c>
      <c r="D30" s="100" t="s">
        <v>960</v>
      </c>
      <c r="E30" s="99" t="e">
        <f>+E28-E29</f>
        <v>#DIV/0!</v>
      </c>
      <c r="F30" s="100" t="s">
        <v>960</v>
      </c>
      <c r="G30" s="100" t="s">
        <v>960</v>
      </c>
      <c r="H30" s="99" t="e">
        <f>+H28-H29</f>
        <v>#DIV/0!</v>
      </c>
      <c r="I30" s="100" t="s">
        <v>960</v>
      </c>
      <c r="J30" s="100" t="s">
        <v>960</v>
      </c>
      <c r="K30" s="99" t="e">
        <f>+K28-K29</f>
        <v>#DIV/0!</v>
      </c>
    </row>
    <row r="32" spans="2:13" ht="37.5" customHeight="1" x14ac:dyDescent="0.2">
      <c r="B32" s="423" t="s">
        <v>979</v>
      </c>
      <c r="C32" s="424"/>
      <c r="D32" s="424"/>
      <c r="F32" s="425" t="s">
        <v>980</v>
      </c>
      <c r="G32" s="425"/>
    </row>
    <row r="33" spans="2:7" ht="88.5" customHeight="1" x14ac:dyDescent="0.15">
      <c r="B33" s="76" t="s">
        <v>981</v>
      </c>
      <c r="C33" s="219" t="s">
        <v>982</v>
      </c>
      <c r="D33" s="219" t="s">
        <v>983</v>
      </c>
      <c r="E33" s="64"/>
      <c r="F33" s="215" t="s">
        <v>984</v>
      </c>
      <c r="G33" s="214">
        <f>COUNTIF('reductions data'!A:A,'divisional &amp; regional overview'!B5)</f>
        <v>0</v>
      </c>
    </row>
    <row r="34" spans="2:7" ht="28" x14ac:dyDescent="0.15">
      <c r="B34" s="112" t="s">
        <v>892</v>
      </c>
      <c r="C34" s="89">
        <f>COUNTIFS('reductions data'!$A:$A,'divisional &amp; regional overview'!$B$5,'reductions data'!$G:$G,'divisional &amp; regional overview'!B34)</f>
        <v>0</v>
      </c>
      <c r="D34" s="90">
        <f>SUMIFS('reductions data'!$H:$H,'reductions data'!$A:$A,$B$5,'reductions data'!$G:$G,'divisional &amp; regional overview'!B34)</f>
        <v>0</v>
      </c>
      <c r="E34" s="64"/>
      <c r="F34" s="215" t="s">
        <v>985</v>
      </c>
      <c r="G34" s="214">
        <f>SUMIF('reductions data'!A:A,B5,'reductions data'!H:H)</f>
        <v>0</v>
      </c>
    </row>
    <row r="35" spans="2:7" ht="28" x14ac:dyDescent="0.15">
      <c r="B35" s="113" t="s">
        <v>894</v>
      </c>
      <c r="C35" s="89">
        <f>COUNTIFS('reductions data'!$A:$A,'divisional &amp; regional overview'!$B$5,'reductions data'!$G:$G,'divisional &amp; regional overview'!B35)</f>
        <v>0</v>
      </c>
      <c r="D35" s="90">
        <f>SUMIFS('reductions data'!$H:$H,'reductions data'!$A:$A,$B$5,'reductions data'!$G:$G,'divisional &amp; regional overview'!B35)</f>
        <v>0</v>
      </c>
      <c r="E35" s="64"/>
      <c r="F35" s="213" t="s">
        <v>986</v>
      </c>
      <c r="G35" s="214">
        <f>SUMIF('capacity data'!A:A,B5,'capacity data'!I:I)</f>
        <v>0</v>
      </c>
    </row>
    <row r="36" spans="2:7" ht="28" x14ac:dyDescent="0.15">
      <c r="B36" s="113" t="s">
        <v>893</v>
      </c>
      <c r="C36" s="89">
        <f>COUNTIFS('reductions data'!$A:$A,'divisional &amp; regional overview'!$B$5,'reductions data'!$G:$G,'divisional &amp; regional overview'!B36)</f>
        <v>0</v>
      </c>
      <c r="D36" s="90">
        <f>SUMIFS('reductions data'!$H:$H,'reductions data'!$A:$A,$B$5,'reductions data'!$G:$G,'divisional &amp; regional overview'!B36)</f>
        <v>0</v>
      </c>
      <c r="E36" s="91"/>
      <c r="F36" s="213" t="s">
        <v>987</v>
      </c>
      <c r="G36" s="92" t="e">
        <f>G34/G35</f>
        <v>#DIV/0!</v>
      </c>
    </row>
    <row r="37" spans="2:7" x14ac:dyDescent="0.15">
      <c r="B37" s="113" t="s">
        <v>895</v>
      </c>
      <c r="C37" s="89">
        <f>COUNTIFS('reductions data'!$A:$A,'divisional &amp; regional overview'!$B$5,'reductions data'!$G:$G,'divisional &amp; regional overview'!B37)</f>
        <v>0</v>
      </c>
      <c r="D37" s="90">
        <f>SUMIFS('reductions data'!$H:$H,'reductions data'!$A:$A,$B$5,'reductions data'!$G:$G,'divisional &amp; regional overview'!B37)</f>
        <v>0</v>
      </c>
      <c r="E37" s="91"/>
      <c r="F37" s="418" t="s">
        <v>988</v>
      </c>
      <c r="G37" s="421" t="e">
        <f>+G36-'div &amp; regional reduction hours'!N18</f>
        <v>#DIV/0!</v>
      </c>
    </row>
    <row r="38" spans="2:7" ht="24" customHeight="1" x14ac:dyDescent="0.15">
      <c r="B38" s="113" t="s">
        <v>896</v>
      </c>
      <c r="C38" s="89">
        <f>COUNTIFS('reductions data'!$A:$A,'divisional &amp; regional overview'!$B$5,'reductions data'!$G:$G,'divisional &amp; regional overview'!B38)</f>
        <v>0</v>
      </c>
      <c r="D38" s="90">
        <f>SUMIFS('reductions data'!$H:$H,'reductions data'!$A:$A,$B$5,'reductions data'!$G:$G,'divisional &amp; regional overview'!B38)</f>
        <v>0</v>
      </c>
      <c r="E38" s="91"/>
      <c r="F38" s="419"/>
      <c r="G38" s="420"/>
    </row>
    <row r="39" spans="2:7" x14ac:dyDescent="0.15">
      <c r="B39" s="113" t="s">
        <v>897</v>
      </c>
      <c r="C39" s="89">
        <f>COUNTIFS('reductions data'!$A:$A,'divisional &amp; regional overview'!$B$5,'reductions data'!$G:$G,'divisional &amp; regional overview'!B39)</f>
        <v>0</v>
      </c>
      <c r="D39" s="90">
        <f>SUMIFS('reductions data'!$H:$H,'reductions data'!$A:$A,$B$5,'reductions data'!$G:$G,'divisional &amp; regional overview'!B39)</f>
        <v>0</v>
      </c>
      <c r="E39" s="91"/>
      <c r="F39" s="420"/>
      <c r="G39" s="420"/>
    </row>
    <row r="40" spans="2:7" x14ac:dyDescent="0.15">
      <c r="B40" s="113" t="s">
        <v>898</v>
      </c>
      <c r="C40" s="89">
        <f>COUNTIFS('reductions data'!$A:$A,'divisional &amp; regional overview'!$B$5,'reductions data'!$G:$G,'divisional &amp; regional overview'!B40)</f>
        <v>0</v>
      </c>
      <c r="D40" s="90">
        <f>SUMIFS('reductions data'!$H:$H,'reductions data'!$A:$A,$B$5,'reductions data'!$G:$G,'divisional &amp; regional overview'!B40)</f>
        <v>0</v>
      </c>
      <c r="E40" s="91"/>
      <c r="F40" s="420"/>
      <c r="G40" s="420"/>
    </row>
    <row r="41" spans="2:7" x14ac:dyDescent="0.15">
      <c r="B41" s="113" t="s">
        <v>899</v>
      </c>
      <c r="C41" s="89">
        <f>COUNTIFS('reductions data'!$A:$A,'divisional &amp; regional overview'!$B$5,'reductions data'!$G:$G,'divisional &amp; regional overview'!B41)</f>
        <v>0</v>
      </c>
      <c r="D41" s="90">
        <f>SUMIFS('reductions data'!$H:$H,'reductions data'!$A:$A,$B$5,'reductions data'!$G:$G,'divisional &amp; regional overview'!B41)</f>
        <v>0</v>
      </c>
      <c r="E41" s="91"/>
      <c r="F41" s="91"/>
      <c r="G41" s="64"/>
    </row>
    <row r="42" spans="2:7" x14ac:dyDescent="0.15">
      <c r="B42" s="113" t="s">
        <v>1257</v>
      </c>
      <c r="C42" s="89">
        <f>COUNTIFS('reductions data'!$A:$A,'divisional &amp; regional overview'!$B$5,'reductions data'!$G:$G,'divisional &amp; regional overview'!B42)</f>
        <v>0</v>
      </c>
      <c r="D42" s="90">
        <f>SUMIFS('reductions data'!$H:$H,'reductions data'!$A:$A,$B$5,'reductions data'!$G:$G,'divisional &amp; regional overview'!B42)</f>
        <v>0</v>
      </c>
      <c r="E42" s="91"/>
      <c r="F42" s="91"/>
      <c r="G42" s="64"/>
    </row>
    <row r="43" spans="2:7" x14ac:dyDescent="0.15">
      <c r="B43" s="113" t="s">
        <v>900</v>
      </c>
      <c r="C43" s="89">
        <f>COUNTIFS('reductions data'!$A:$A,'divisional &amp; regional overview'!$B$5,'reductions data'!$G:$G,'divisional &amp; regional overview'!B43)</f>
        <v>0</v>
      </c>
      <c r="D43" s="90">
        <f>SUMIFS('reductions data'!$H:$H,'reductions data'!$A:$A,$B$5,'reductions data'!$G:$G,'divisional &amp; regional overview'!B43)</f>
        <v>0</v>
      </c>
      <c r="E43" s="91"/>
      <c r="F43" s="91"/>
      <c r="G43" s="64"/>
    </row>
    <row r="44" spans="2:7" x14ac:dyDescent="0.15">
      <c r="B44" s="113" t="s">
        <v>901</v>
      </c>
      <c r="C44" s="89">
        <f>COUNTIFS('reductions data'!$A:$A,'divisional &amp; regional overview'!$B$5,'reductions data'!$G:$G,'divisional &amp; regional overview'!B44)</f>
        <v>0</v>
      </c>
      <c r="D44" s="90">
        <f>SUMIFS('reductions data'!$H:$H,'reductions data'!$A:$A,$B$5,'reductions data'!$G:$G,'divisional &amp; regional overview'!B44)</f>
        <v>0</v>
      </c>
      <c r="E44" s="91"/>
      <c r="F44" s="91"/>
      <c r="G44" s="64"/>
    </row>
    <row r="45" spans="2:7" x14ac:dyDescent="0.15">
      <c r="B45" s="113" t="s">
        <v>902</v>
      </c>
      <c r="C45" s="89">
        <f>COUNTIFS('reductions data'!$A:$A,'divisional &amp; regional overview'!$B$5,'reductions data'!$G:$G,'divisional &amp; regional overview'!B45)</f>
        <v>0</v>
      </c>
      <c r="D45" s="90">
        <f>SUMIFS('reductions data'!$H:$H,'reductions data'!$A:$A,$B$5,'reductions data'!$G:$G,'divisional &amp; regional overview'!B45)</f>
        <v>0</v>
      </c>
      <c r="E45" s="91"/>
      <c r="F45" s="91"/>
      <c r="G45" s="64"/>
    </row>
    <row r="46" spans="2:7" x14ac:dyDescent="0.15">
      <c r="B46" s="113" t="s">
        <v>903</v>
      </c>
      <c r="C46" s="89">
        <f>COUNTIFS('reductions data'!$A:$A,'divisional &amp; regional overview'!$B$5,'reductions data'!$G:$G,'divisional &amp; regional overview'!B46)</f>
        <v>0</v>
      </c>
      <c r="D46" s="90">
        <f>SUMIFS('reductions data'!$H:$H,'reductions data'!$A:$A,$B$5,'reductions data'!$G:$G,'divisional &amp; regional overview'!B46)</f>
        <v>0</v>
      </c>
      <c r="E46" s="91"/>
      <c r="F46" s="91"/>
      <c r="G46" s="64"/>
    </row>
    <row r="47" spans="2:7" x14ac:dyDescent="0.15">
      <c r="B47" s="113" t="s">
        <v>905</v>
      </c>
      <c r="C47" s="89">
        <f>COUNTIFS('reductions data'!$A:$A,'divisional &amp; regional overview'!$B$5,'reductions data'!$G:$G,'divisional &amp; regional overview'!B47)</f>
        <v>0</v>
      </c>
      <c r="D47" s="90">
        <f>SUMIFS('reductions data'!$H:$H,'reductions data'!$A:$A,$B$5,'reductions data'!$G:$G,'divisional &amp; regional overview'!B47)</f>
        <v>0</v>
      </c>
      <c r="E47" s="91"/>
      <c r="F47" s="91"/>
      <c r="G47" s="64"/>
    </row>
    <row r="48" spans="2:7" x14ac:dyDescent="0.15">
      <c r="B48" s="113" t="s">
        <v>908</v>
      </c>
      <c r="C48" s="89">
        <f>COUNTIFS('reductions data'!$A:$A,'divisional &amp; regional overview'!$B$5,'reductions data'!$G:$G,'divisional &amp; regional overview'!B48)</f>
        <v>0</v>
      </c>
      <c r="D48" s="90">
        <f>SUMIFS('reductions data'!$H:$H,'reductions data'!$A:$A,$B$5,'reductions data'!$G:$G,'divisional &amp; regional overview'!B48)</f>
        <v>0</v>
      </c>
      <c r="E48" s="91"/>
      <c r="F48" s="91"/>
      <c r="G48" s="64"/>
    </row>
    <row r="49" spans="2:7" x14ac:dyDescent="0.15">
      <c r="B49" s="113" t="s">
        <v>904</v>
      </c>
      <c r="C49" s="89">
        <f>COUNTIFS('reductions data'!$A:$A,'divisional &amp; regional overview'!$B$5,'reductions data'!$G:$G,'divisional &amp; regional overview'!B49)</f>
        <v>0</v>
      </c>
      <c r="D49" s="90">
        <f>SUMIFS('reductions data'!$H:$H,'reductions data'!$A:$A,$B$5,'reductions data'!$G:$G,'divisional &amp; regional overview'!B49)</f>
        <v>0</v>
      </c>
      <c r="E49" s="91"/>
      <c r="F49" s="91"/>
      <c r="G49" s="64"/>
    </row>
    <row r="50" spans="2:7" x14ac:dyDescent="0.15">
      <c r="B50" s="113" t="s">
        <v>989</v>
      </c>
      <c r="C50" s="89">
        <f>COUNTIFS('reductions data'!$A:$A,'divisional &amp; regional overview'!$B$5,'reductions data'!$G:$G,'divisional &amp; regional overview'!B50)</f>
        <v>0</v>
      </c>
      <c r="D50" s="90">
        <f>SUMIFS('reductions data'!$H:$H,'reductions data'!$A:$A,$B$5,'reductions data'!$G:$G,'divisional &amp; regional overview'!B50)</f>
        <v>0</v>
      </c>
      <c r="E50" s="91"/>
      <c r="F50" s="91"/>
      <c r="G50" s="64"/>
    </row>
    <row r="51" spans="2:7" x14ac:dyDescent="0.15">
      <c r="B51" s="113" t="s">
        <v>909</v>
      </c>
      <c r="C51" s="89">
        <f>COUNTIFS('reductions data'!$A:$A,'divisional &amp; regional overview'!$B$5,'reductions data'!$G:$G,'divisional &amp; regional overview'!B51)</f>
        <v>0</v>
      </c>
      <c r="D51" s="90">
        <f>SUMIFS('reductions data'!$H:$H,'reductions data'!$A:$A,$B$5,'reductions data'!$G:$G,'divisional &amp; regional overview'!B51)</f>
        <v>0</v>
      </c>
      <c r="E51" s="91"/>
      <c r="F51" s="91"/>
      <c r="G51" s="64"/>
    </row>
    <row r="52" spans="2:7" x14ac:dyDescent="0.15">
      <c r="B52" s="113" t="s">
        <v>910</v>
      </c>
      <c r="C52" s="89">
        <f>COUNTIFS('reductions data'!$A:$A,'divisional &amp; regional overview'!$B$5,'reductions data'!$G:$G,'divisional &amp; regional overview'!B52)</f>
        <v>0</v>
      </c>
      <c r="D52" s="90">
        <f>SUMIFS('reductions data'!$H:$H,'reductions data'!$A:$A,$B$5,'reductions data'!$G:$G,'divisional &amp; regional overview'!B52)</f>
        <v>0</v>
      </c>
      <c r="E52" s="91"/>
      <c r="F52" s="91"/>
      <c r="G52" s="64"/>
    </row>
    <row r="53" spans="2:7" x14ac:dyDescent="0.15">
      <c r="B53" s="113" t="s">
        <v>911</v>
      </c>
      <c r="C53" s="89">
        <f>COUNTIFS('reductions data'!$A:$A,'divisional &amp; regional overview'!$B$5,'reductions data'!$G:$G,'divisional &amp; regional overview'!B53)</f>
        <v>0</v>
      </c>
      <c r="D53" s="90">
        <f>SUMIFS('reductions data'!$H:$H,'reductions data'!$A:$A,$B$5,'reductions data'!$G:$G,'divisional &amp; regional overview'!B53)</f>
        <v>0</v>
      </c>
      <c r="E53" s="91"/>
      <c r="F53" s="91"/>
      <c r="G53" s="64"/>
    </row>
    <row r="54" spans="2:7" x14ac:dyDescent="0.15">
      <c r="B54" s="113" t="s">
        <v>912</v>
      </c>
      <c r="C54" s="89">
        <f>COUNTIFS('reductions data'!$A:$A,'divisional &amp; regional overview'!$B$5,'reductions data'!$G:$G,'divisional &amp; regional overview'!B54)</f>
        <v>0</v>
      </c>
      <c r="D54" s="90">
        <f>SUMIFS('reductions data'!$H:$H,'reductions data'!$A:$A,$B$5,'reductions data'!$G:$G,'divisional &amp; regional overview'!B54)</f>
        <v>0</v>
      </c>
      <c r="E54" s="91"/>
      <c r="F54" s="91"/>
      <c r="G54" s="64"/>
    </row>
    <row r="55" spans="2:7" x14ac:dyDescent="0.15">
      <c r="B55" s="113" t="s">
        <v>913</v>
      </c>
      <c r="C55" s="89">
        <f>COUNTIFS('reductions data'!$A:$A,'divisional &amp; regional overview'!$B$5,'reductions data'!$G:$G,'divisional &amp; regional overview'!B55)</f>
        <v>0</v>
      </c>
      <c r="D55" s="90">
        <f>SUMIFS('reductions data'!$H:$H,'reductions data'!$A:$A,$B$5,'reductions data'!$G:$G,'divisional &amp; regional overview'!B55)</f>
        <v>0</v>
      </c>
      <c r="E55" s="91"/>
      <c r="F55" s="91"/>
      <c r="G55" s="64"/>
    </row>
    <row r="56" spans="2:7" x14ac:dyDescent="0.15">
      <c r="B56" s="113" t="s">
        <v>914</v>
      </c>
      <c r="C56" s="89">
        <f>COUNTIFS('reductions data'!$A:$A,'divisional &amp; regional overview'!$B$5,'reductions data'!$G:$G,'divisional &amp; regional overview'!B56)</f>
        <v>0</v>
      </c>
      <c r="D56" s="90">
        <f>SUMIFS('reductions data'!$H:$H,'reductions data'!$A:$A,$B$5,'reductions data'!$G:$G,'divisional &amp; regional overview'!B56)</f>
        <v>0</v>
      </c>
      <c r="E56" s="91"/>
      <c r="F56" s="91"/>
      <c r="G56" s="64"/>
    </row>
    <row r="57" spans="2:7" x14ac:dyDescent="0.15">
      <c r="B57" s="113" t="s">
        <v>915</v>
      </c>
      <c r="C57" s="89">
        <f>COUNTIFS('reductions data'!$A:$A,'divisional &amp; regional overview'!$B$5,'reductions data'!$G:$G,'divisional &amp; regional overview'!B57)</f>
        <v>0</v>
      </c>
      <c r="D57" s="90">
        <f>SUMIFS('reductions data'!$H:$H,'reductions data'!$A:$A,$B$5,'reductions data'!$G:$G,'divisional &amp; regional overview'!B57)</f>
        <v>0</v>
      </c>
      <c r="E57" s="91"/>
      <c r="F57" s="91"/>
      <c r="G57" s="64"/>
    </row>
    <row r="58" spans="2:7" x14ac:dyDescent="0.15">
      <c r="B58" s="113" t="s">
        <v>1250</v>
      </c>
      <c r="C58" s="89">
        <f>COUNTIFS('reductions data'!$A:$A,'divisional &amp; regional overview'!$B$5,'reductions data'!$G:$G,'divisional &amp; regional overview'!B58)</f>
        <v>0</v>
      </c>
      <c r="D58" s="90">
        <f>SUMIFS('reductions data'!$H:$H,'reductions data'!$A:$A,$B$5,'reductions data'!$G:$G,'divisional &amp; regional overview'!B58)</f>
        <v>0</v>
      </c>
      <c r="E58" s="91"/>
      <c r="F58" s="91"/>
      <c r="G58" s="64"/>
    </row>
    <row r="59" spans="2:7" x14ac:dyDescent="0.15">
      <c r="B59" s="113" t="s">
        <v>1251</v>
      </c>
      <c r="C59" s="89">
        <f>COUNTIFS('reductions data'!$A:$A,'divisional &amp; regional overview'!$B$5,'reductions data'!$G:$G,'divisional &amp; regional overview'!B59)</f>
        <v>0</v>
      </c>
      <c r="D59" s="90">
        <f>SUMIFS('reductions data'!$H:$H,'reductions data'!$A:$A,$B$5,'reductions data'!$G:$G,'divisional &amp; regional overview'!B59)</f>
        <v>0</v>
      </c>
      <c r="E59" s="91"/>
      <c r="F59" s="91"/>
      <c r="G59" s="64"/>
    </row>
    <row r="60" spans="2:7" x14ac:dyDescent="0.15">
      <c r="B60" s="322" t="s">
        <v>1248</v>
      </c>
      <c r="C60" s="89">
        <f>COUNTIFS('reductions data'!$A:$A,'divisional &amp; regional overview'!$B$5,'reductions data'!$G:$G,'divisional &amp; regional overview'!B60)</f>
        <v>0</v>
      </c>
      <c r="D60" s="90">
        <f>SUMIFS('reductions data'!$H:$H,'reductions data'!$A:$A,$B$5,'reductions data'!$G:$G,'divisional &amp; regional overview'!B60)</f>
        <v>0</v>
      </c>
      <c r="E60" s="91"/>
      <c r="F60" s="91"/>
      <c r="G60" s="64"/>
    </row>
    <row r="61" spans="2:7" x14ac:dyDescent="0.15">
      <c r="B61" s="322" t="s">
        <v>1249</v>
      </c>
      <c r="C61" s="89">
        <f>COUNTIFS('reductions data'!$A:$A,'divisional &amp; regional overview'!$B$5,'reductions data'!$G:$G,'divisional &amp; regional overview'!B61)</f>
        <v>0</v>
      </c>
      <c r="D61" s="90">
        <f>SUMIFS('reductions data'!$H:$H,'reductions data'!$A:$A,$B$5,'reductions data'!$G:$G,'divisional &amp; regional overview'!B61)</f>
        <v>0</v>
      </c>
      <c r="E61" s="91"/>
      <c r="F61" s="91"/>
      <c r="G61" s="64"/>
    </row>
    <row r="62" spans="2:7" x14ac:dyDescent="0.15">
      <c r="B62" s="322" t="s">
        <v>1258</v>
      </c>
      <c r="C62" s="89">
        <f>COUNTIFS('reductions data'!$A:$A,'divisional &amp; regional overview'!$B$5,'reductions data'!$G:$G,'divisional &amp; regional overview'!B62)</f>
        <v>0</v>
      </c>
      <c r="D62" s="90">
        <f>SUMIFS('reductions data'!$H:$H,'reductions data'!$A:$A,$B$5,'reductions data'!$G:$G,'divisional &amp; regional overview'!B62)</f>
        <v>0</v>
      </c>
      <c r="E62" s="91"/>
      <c r="F62" s="91"/>
      <c r="G62" s="64"/>
    </row>
    <row r="63" spans="2:7" x14ac:dyDescent="0.15">
      <c r="B63" s="322" t="s">
        <v>1254</v>
      </c>
      <c r="C63" s="89">
        <f>COUNTIFS('reductions data'!$A:$A,'divisional &amp; regional overview'!$B$5,'reductions data'!$G:$G,'divisional &amp; regional overview'!B63)</f>
        <v>0</v>
      </c>
      <c r="D63" s="90">
        <f>SUMIFS('reductions data'!$H:$H,'reductions data'!$A:$A,$B$5,'reductions data'!$G:$G,'divisional &amp; regional overview'!B63)</f>
        <v>0</v>
      </c>
      <c r="E63" s="91"/>
      <c r="F63" s="91"/>
      <c r="G63" s="64"/>
    </row>
    <row r="64" spans="2:7" x14ac:dyDescent="0.15">
      <c r="B64" s="322" t="s">
        <v>1255</v>
      </c>
      <c r="C64" s="89">
        <f>COUNTIFS('reductions data'!$A:$A,'divisional &amp; regional overview'!$B$5,'reductions data'!$G:$G,'divisional &amp; regional overview'!B64)</f>
        <v>0</v>
      </c>
      <c r="D64" s="90">
        <f>SUMIFS('reductions data'!$H:$H,'reductions data'!$A:$A,$B$5,'reductions data'!$G:$G,'divisional &amp; regional overview'!B64)</f>
        <v>0</v>
      </c>
      <c r="E64" s="91"/>
      <c r="F64" s="91"/>
      <c r="G64" s="64"/>
    </row>
    <row r="65" spans="2:7" x14ac:dyDescent="0.15">
      <c r="B65" s="322" t="s">
        <v>1259</v>
      </c>
      <c r="C65" s="89">
        <f>COUNTIFS('reductions data'!$A:$A,'divisional &amp; regional overview'!$B$5,'reductions data'!$G:$G,'divisional &amp; regional overview'!B65)</f>
        <v>0</v>
      </c>
      <c r="D65" s="90">
        <f>SUMIFS('reductions data'!$H:$H,'reductions data'!$A:$A,$B$5,'reductions data'!$G:$G,'divisional &amp; regional overview'!B65)</f>
        <v>0</v>
      </c>
      <c r="E65" s="91"/>
      <c r="F65" s="91"/>
      <c r="G65" s="64"/>
    </row>
    <row r="66" spans="2:7" x14ac:dyDescent="0.15">
      <c r="B66" s="113" t="s">
        <v>1252</v>
      </c>
      <c r="C66" s="89">
        <f>COUNTIFS('reductions data'!$A:$A,'divisional &amp; regional overview'!$B$5,'reductions data'!$G:$G,'divisional &amp; regional overview'!B66)</f>
        <v>0</v>
      </c>
      <c r="D66" s="90">
        <f>SUMIFS('reductions data'!$H:$H,'reductions data'!$A:$A,$B$5,'reductions data'!$G:$G,'divisional &amp; regional overview'!B66)</f>
        <v>0</v>
      </c>
      <c r="E66" s="91"/>
      <c r="F66" s="91"/>
      <c r="G66" s="64"/>
    </row>
    <row r="67" spans="2:7" x14ac:dyDescent="0.15">
      <c r="B67" s="113" t="s">
        <v>1253</v>
      </c>
      <c r="C67" s="89">
        <f>COUNTIFS('reductions data'!$A:$A,'divisional &amp; regional overview'!$B$5,'reductions data'!$G:$G,'divisional &amp; regional overview'!B67)</f>
        <v>0</v>
      </c>
      <c r="D67" s="90">
        <f>SUMIFS('reductions data'!$H:$H,'reductions data'!$A:$A,$B$5,'reductions data'!$G:$G,'divisional &amp; regional overview'!B67)</f>
        <v>0</v>
      </c>
      <c r="E67" s="91"/>
      <c r="F67" s="91"/>
      <c r="G67" s="64"/>
    </row>
    <row r="68" spans="2:7" x14ac:dyDescent="0.15">
      <c r="B68" s="113" t="s">
        <v>917</v>
      </c>
      <c r="C68" s="89">
        <f>COUNTIFS('reductions data'!$A:$A,'divisional &amp; regional overview'!$B$5,'reductions data'!$G:$G,'divisional &amp; regional overview'!B68)</f>
        <v>0</v>
      </c>
      <c r="D68" s="90">
        <f>SUMIFS('reductions data'!$H:$H,'reductions data'!$A:$A,$B$5,'reductions data'!$G:$G,'divisional &amp; regional overview'!B68)</f>
        <v>0</v>
      </c>
      <c r="E68" s="91"/>
      <c r="F68" s="91"/>
      <c r="G68" s="64"/>
    </row>
    <row r="69" spans="2:7" x14ac:dyDescent="0.15">
      <c r="B69" s="113" t="s">
        <v>918</v>
      </c>
      <c r="C69" s="89">
        <f>COUNTIFS('reductions data'!$A:$A,'divisional &amp; regional overview'!$B$5,'reductions data'!$G:$G,'divisional &amp; regional overview'!B69)</f>
        <v>0</v>
      </c>
      <c r="D69" s="90">
        <f>SUMIFS('reductions data'!$H:$H,'reductions data'!$A:$A,$B$5,'reductions data'!$G:$G,'divisional &amp; regional overview'!B69)</f>
        <v>0</v>
      </c>
      <c r="E69" s="91"/>
      <c r="F69" s="91"/>
      <c r="G69" s="64"/>
    </row>
    <row r="70" spans="2:7" x14ac:dyDescent="0.15">
      <c r="B70" s="113" t="s">
        <v>919</v>
      </c>
      <c r="C70" s="89">
        <f>COUNTIFS('reductions data'!$A:$A,'divisional &amp; regional overview'!$B$5,'reductions data'!$G:$G,'divisional &amp; regional overview'!B70)</f>
        <v>0</v>
      </c>
      <c r="D70" s="90">
        <f>SUMIFS('reductions data'!$H:$H,'reductions data'!$A:$A,$B$5,'reductions data'!$G:$G,'divisional &amp; regional overview'!B70)</f>
        <v>0</v>
      </c>
      <c r="E70" s="91"/>
      <c r="F70" s="91"/>
      <c r="G70" s="64"/>
    </row>
    <row r="71" spans="2:7" x14ac:dyDescent="0.15">
      <c r="B71" s="113" t="s">
        <v>920</v>
      </c>
      <c r="C71" s="89">
        <f>COUNTIFS('reductions data'!$A:$A,'divisional &amp; regional overview'!$B$5,'reductions data'!$G:$G,'divisional &amp; regional overview'!B71)</f>
        <v>0</v>
      </c>
      <c r="D71" s="90">
        <f>SUMIFS('reductions data'!$H:$H,'reductions data'!$A:$A,$B$5,'reductions data'!$G:$G,'divisional &amp; regional overview'!B71)</f>
        <v>0</v>
      </c>
      <c r="E71" s="91"/>
      <c r="F71" s="91"/>
      <c r="G71" s="64"/>
    </row>
    <row r="72" spans="2:7" x14ac:dyDescent="0.15">
      <c r="B72" s="113" t="s">
        <v>921</v>
      </c>
      <c r="C72" s="89">
        <f>COUNTIFS('reductions data'!$A:$A,'divisional &amp; regional overview'!$B$5,'reductions data'!$G:$G,'divisional &amp; regional overview'!B72)</f>
        <v>0</v>
      </c>
      <c r="D72" s="90">
        <f>SUMIFS('reductions data'!$H:$H,'reductions data'!$A:$A,$B$5,'reductions data'!$G:$G,'divisional &amp; regional overview'!B72)</f>
        <v>0</v>
      </c>
      <c r="E72" s="91"/>
      <c r="F72" s="91"/>
      <c r="G72" s="64"/>
    </row>
    <row r="73" spans="2:7" x14ac:dyDescent="0.15">
      <c r="B73" s="113" t="s">
        <v>922</v>
      </c>
      <c r="C73" s="89">
        <f>COUNTIFS('reductions data'!$A:$A,'divisional &amp; regional overview'!$B$5,'reductions data'!$G:$G,'divisional &amp; regional overview'!B73)</f>
        <v>0</v>
      </c>
      <c r="D73" s="90">
        <f>SUMIFS('reductions data'!$H:$H,'reductions data'!$A:$A,$B$5,'reductions data'!$G:$G,'divisional &amp; regional overview'!B73)</f>
        <v>0</v>
      </c>
      <c r="E73" s="91"/>
      <c r="F73" s="91"/>
      <c r="G73" s="64"/>
    </row>
    <row r="74" spans="2:7" x14ac:dyDescent="0.15">
      <c r="B74" s="113" t="s">
        <v>916</v>
      </c>
      <c r="C74" s="89">
        <f>COUNTIFS('reductions data'!$A:$A,'divisional &amp; regional overview'!$B$5,'reductions data'!$G:$G,'divisional &amp; regional overview'!B74)</f>
        <v>0</v>
      </c>
      <c r="D74" s="90">
        <f>SUMIFS('reductions data'!$H:$H,'reductions data'!$A:$A,$B$5,'reductions data'!$G:$G,'divisional &amp; regional overview'!B74)</f>
        <v>0</v>
      </c>
      <c r="E74" s="91"/>
      <c r="F74" s="91"/>
      <c r="G74" s="64"/>
    </row>
    <row r="75" spans="2:7" x14ac:dyDescent="0.15">
      <c r="B75" s="113" t="s">
        <v>923</v>
      </c>
      <c r="C75" s="89">
        <f>COUNTIFS('reductions data'!$A:$A,'divisional &amp; regional overview'!$B$5,'reductions data'!$G:$G,'divisional &amp; regional overview'!B75)</f>
        <v>0</v>
      </c>
      <c r="D75" s="90">
        <f>SUMIFS('reductions data'!$H:$H,'reductions data'!$A:$A,$B$5,'reductions data'!$G:$G,'divisional &amp; regional overview'!B75)</f>
        <v>0</v>
      </c>
      <c r="E75" s="91"/>
      <c r="F75" s="91"/>
      <c r="G75" s="64"/>
    </row>
    <row r="76" spans="2:7" x14ac:dyDescent="0.15">
      <c r="B76" s="113" t="s">
        <v>924</v>
      </c>
      <c r="C76" s="89">
        <f>COUNTIFS('reductions data'!$A:$A,'divisional &amp; regional overview'!$B$5,'reductions data'!$G:$G,'divisional &amp; regional overview'!B76)</f>
        <v>0</v>
      </c>
      <c r="D76" s="90">
        <f>SUMIFS('reductions data'!$H:$H,'reductions data'!$A:$A,$B$5,'reductions data'!$G:$G,'divisional &amp; regional overview'!B76)</f>
        <v>0</v>
      </c>
      <c r="E76" s="91"/>
      <c r="F76" s="91"/>
      <c r="G76" s="64"/>
    </row>
    <row r="77" spans="2:7" x14ac:dyDescent="0.15">
      <c r="B77" s="113" t="s">
        <v>925</v>
      </c>
      <c r="C77" s="89">
        <f>COUNTIFS('reductions data'!$A:$A,'divisional &amp; regional overview'!$B$5,'reductions data'!$G:$G,'divisional &amp; regional overview'!B77)</f>
        <v>0</v>
      </c>
      <c r="D77" s="90">
        <f>SUMIFS('reductions data'!$H:$H,'reductions data'!$A:$A,$B$5,'reductions data'!$G:$G,'divisional &amp; regional overview'!B77)</f>
        <v>0</v>
      </c>
      <c r="E77" s="91"/>
      <c r="F77" s="91"/>
      <c r="G77" s="64"/>
    </row>
    <row r="78" spans="2:7" x14ac:dyDescent="0.15">
      <c r="B78" s="113" t="s">
        <v>926</v>
      </c>
      <c r="C78" s="89">
        <f>COUNTIFS('reductions data'!$A:$A,'divisional &amp; regional overview'!$B$5,'reductions data'!$G:$G,'divisional &amp; regional overview'!B78)</f>
        <v>0</v>
      </c>
      <c r="D78" s="90">
        <f>SUMIFS('reductions data'!$H:$H,'reductions data'!$A:$A,$B$5,'reductions data'!$G:$G,'divisional &amp; regional overview'!B78)</f>
        <v>0</v>
      </c>
      <c r="E78" s="91"/>
      <c r="F78" s="91"/>
      <c r="G78" s="64"/>
    </row>
    <row r="79" spans="2:7" x14ac:dyDescent="0.15">
      <c r="B79" s="113" t="s">
        <v>927</v>
      </c>
      <c r="C79" s="89">
        <f>COUNTIFS('reductions data'!$A:$A,'divisional &amp; regional overview'!$B$5,'reductions data'!$G:$G,'divisional &amp; regional overview'!B79)</f>
        <v>0</v>
      </c>
      <c r="D79" s="90">
        <f>SUMIFS('reductions data'!$H:$H,'reductions data'!$A:$A,$B$5,'reductions data'!$G:$G,'divisional &amp; regional overview'!B79)</f>
        <v>0</v>
      </c>
      <c r="E79" s="91"/>
      <c r="F79" s="91"/>
      <c r="G79" s="64"/>
    </row>
    <row r="80" spans="2:7" x14ac:dyDescent="0.15">
      <c r="B80" s="113" t="s">
        <v>928</v>
      </c>
      <c r="C80" s="89">
        <f>COUNTIFS('reductions data'!$A:$A,'divisional &amp; regional overview'!$B$5,'reductions data'!$G:$G,'divisional &amp; regional overview'!B80)</f>
        <v>0</v>
      </c>
      <c r="D80" s="90">
        <f>SUMIFS('reductions data'!$H:$H,'reductions data'!$A:$A,$B$5,'reductions data'!$G:$G,'divisional &amp; regional overview'!B80)</f>
        <v>0</v>
      </c>
      <c r="E80" s="91"/>
      <c r="F80" s="91"/>
      <c r="G80" s="64"/>
    </row>
    <row r="81" spans="2:19" x14ac:dyDescent="0.15">
      <c r="B81" s="113" t="s">
        <v>929</v>
      </c>
      <c r="C81" s="89">
        <f>COUNTIFS('reductions data'!$A:$A,'divisional &amp; regional overview'!$B$5,'reductions data'!$G:$G,'divisional &amp; regional overview'!B81)</f>
        <v>0</v>
      </c>
      <c r="D81" s="90">
        <f>SUMIFS('reductions data'!$H:$H,'reductions data'!$A:$A,$B$5,'reductions data'!$G:$G,'divisional &amp; regional overview'!B81)</f>
        <v>0</v>
      </c>
      <c r="E81" s="91"/>
      <c r="F81" s="91"/>
      <c r="G81" s="64"/>
    </row>
    <row r="82" spans="2:19" ht="16" x14ac:dyDescent="0.2">
      <c r="B82" s="113" t="s">
        <v>930</v>
      </c>
      <c r="C82" s="89">
        <f>COUNTIFS('reductions data'!$A:$A,'divisional &amp; regional overview'!$B$5,'reductions data'!$G:$G,'divisional &amp; regional overview'!B82)</f>
        <v>0</v>
      </c>
      <c r="D82" s="90">
        <f>SUMIFS('reductions data'!$H:$H,'reductions data'!$A:$A,$B$5,'reductions data'!$G:$G,'divisional &amp; regional overview'!B82)</f>
        <v>0</v>
      </c>
      <c r="E82" s="1"/>
      <c r="F82" s="1"/>
    </row>
    <row r="83" spans="2:19" ht="16" x14ac:dyDescent="0.2">
      <c r="B83" s="323"/>
      <c r="C83" s="324"/>
      <c r="D83" s="325"/>
      <c r="E83" s="1"/>
      <c r="F83" s="1"/>
    </row>
    <row r="84" spans="2:19" ht="16" x14ac:dyDescent="0.2">
      <c r="B84" s="323"/>
      <c r="C84" s="324"/>
      <c r="D84" s="325"/>
      <c r="E84" s="1"/>
      <c r="F84" s="1"/>
    </row>
    <row r="85" spans="2:19" ht="27" customHeight="1" x14ac:dyDescent="0.15">
      <c r="B85" s="21"/>
      <c r="C85" s="427" t="s">
        <v>990</v>
      </c>
      <c r="D85" s="428"/>
      <c r="E85" s="428"/>
      <c r="F85" s="428"/>
      <c r="G85" s="428"/>
      <c r="H85" s="428"/>
      <c r="I85" s="428"/>
      <c r="J85" s="428"/>
      <c r="K85" s="428"/>
      <c r="L85" s="428"/>
      <c r="M85" s="428"/>
      <c r="N85" s="428"/>
      <c r="O85" s="428"/>
      <c r="P85" s="428"/>
      <c r="Q85" s="428"/>
      <c r="R85" s="428"/>
      <c r="S85" s="428"/>
    </row>
    <row r="86" spans="2:19" x14ac:dyDescent="0.15">
      <c r="B86" s="93" t="str">
        <f>B5</f>
        <v>East Midlands Region</v>
      </c>
      <c r="C86" s="38" t="s">
        <v>864</v>
      </c>
      <c r="D86" s="38" t="s">
        <v>865</v>
      </c>
      <c r="E86" s="38" t="s">
        <v>866</v>
      </c>
      <c r="F86" s="38" t="s">
        <v>867</v>
      </c>
      <c r="G86" s="38" t="s">
        <v>868</v>
      </c>
      <c r="H86" s="38" t="s">
        <v>869</v>
      </c>
      <c r="I86" s="38" t="s">
        <v>870</v>
      </c>
      <c r="J86" s="38" t="s">
        <v>871</v>
      </c>
      <c r="K86" s="38" t="s">
        <v>872</v>
      </c>
      <c r="L86" s="38" t="s">
        <v>873</v>
      </c>
      <c r="M86" s="38" t="s">
        <v>874</v>
      </c>
      <c r="N86" s="38" t="s">
        <v>875</v>
      </c>
      <c r="O86" s="38" t="s">
        <v>876</v>
      </c>
      <c r="P86" s="38" t="s">
        <v>877</v>
      </c>
      <c r="Q86" s="38" t="s">
        <v>878</v>
      </c>
      <c r="R86" s="38" t="s">
        <v>879</v>
      </c>
      <c r="S86" s="38" t="s">
        <v>881</v>
      </c>
    </row>
    <row r="87" spans="2:19" x14ac:dyDescent="0.15">
      <c r="B87" s="75" t="s">
        <v>991</v>
      </c>
      <c r="C87" s="94">
        <f>SUMIFS('caseload data'!E:E,'caseload data'!$B:$B,"custody",'caseload data'!$A:$A,$B$86)</f>
        <v>0</v>
      </c>
      <c r="D87" s="94">
        <f>SUMIFS('caseload data'!F:F,'caseload data'!$B:$B,"custody",'caseload data'!$A:$A,$B$86)</f>
        <v>0</v>
      </c>
      <c r="E87" s="94">
        <f>SUMIFS('caseload data'!G:G,'caseload data'!$B:$B,"custody",'caseload data'!$A:$A,$B$86)</f>
        <v>0</v>
      </c>
      <c r="F87" s="94">
        <f>SUMIFS('caseload data'!H:H,'caseload data'!$B:$B,"custody",'caseload data'!$A:$A,$B$86)</f>
        <v>0</v>
      </c>
      <c r="G87" s="94">
        <f>SUMIFS('caseload data'!I:I,'caseload data'!$B:$B,"custody",'caseload data'!$A:$A,$B$86)</f>
        <v>0</v>
      </c>
      <c r="H87" s="94">
        <f>SUMIFS('caseload data'!J:J,'caseload data'!$B:$B,"custody",'caseload data'!$A:$A,$B$86)</f>
        <v>0</v>
      </c>
      <c r="I87" s="94">
        <f>SUMIFS('caseload data'!K:K,'caseload data'!$B:$B,"custody",'caseload data'!$A:$A,$B$86)</f>
        <v>0</v>
      </c>
      <c r="J87" s="94">
        <f>SUMIFS('caseload data'!L:L,'caseload data'!$B:$B,"custody",'caseload data'!$A:$A,$B$86)</f>
        <v>0</v>
      </c>
      <c r="K87" s="94">
        <f>SUMIFS('caseload data'!M:M,'caseload data'!$B:$B,"custody",'caseload data'!$A:$A,$B$86)</f>
        <v>0</v>
      </c>
      <c r="L87" s="94">
        <f>SUMIFS('caseload data'!N:N,'caseload data'!$B:$B,"custody",'caseload data'!$A:$A,$B$86)</f>
        <v>0</v>
      </c>
      <c r="M87" s="94">
        <f>SUMIFS('caseload data'!O:O,'caseload data'!$B:$B,"custody",'caseload data'!$A:$A,$B$86)</f>
        <v>0</v>
      </c>
      <c r="N87" s="94">
        <f>SUMIFS('caseload data'!P:P,'caseload data'!$B:$B,"custody",'caseload data'!$A:$A,$B$86)</f>
        <v>0</v>
      </c>
      <c r="O87" s="94">
        <f>SUMIFS('caseload data'!Q:Q,'caseload data'!$B:$B,"custody",'caseload data'!$A:$A,$B$86)</f>
        <v>0</v>
      </c>
      <c r="P87" s="94">
        <f>SUMIFS('caseload data'!R:R,'caseload data'!$B:$B,"custody",'caseload data'!$A:$A,$B$86)</f>
        <v>0</v>
      </c>
      <c r="Q87" s="94">
        <f>SUMIFS('caseload data'!S:S,'caseload data'!$B:$B,"custody",'caseload data'!$A:$A,$B$86)</f>
        <v>0</v>
      </c>
      <c r="R87" s="94">
        <f>SUMIFS('caseload data'!T:T,'caseload data'!$B:$B,"custody",'caseload data'!$A:$A,$B$86)</f>
        <v>0</v>
      </c>
      <c r="S87" s="94">
        <f>SUMIFS('caseload data'!V:V,'caseload data'!A:A,B86,'caseload data'!B:B,"custody")</f>
        <v>0</v>
      </c>
    </row>
    <row r="88" spans="2:19" x14ac:dyDescent="0.15">
      <c r="B88" s="75" t="s">
        <v>992</v>
      </c>
      <c r="C88" s="75">
        <f>SUMIFS('caseload data'!E:E,'caseload data'!$B:$B,"licence",'caseload data'!$A:$A,$B$86)</f>
        <v>0</v>
      </c>
      <c r="D88" s="75">
        <f>SUMIFS('caseload data'!F:F,'caseload data'!$B:$B,"licence",'caseload data'!$A:$A,$B$86)</f>
        <v>0</v>
      </c>
      <c r="E88" s="75">
        <f>SUMIFS('caseload data'!G:G,'caseload data'!$B:$B,"licence",'caseload data'!$A:$A,$B$86)</f>
        <v>0</v>
      </c>
      <c r="F88" s="75">
        <f>SUMIFS('caseload data'!H:H,'caseload data'!$B:$B,"licence",'caseload data'!$A:$A,$B$86)</f>
        <v>0</v>
      </c>
      <c r="G88" s="75">
        <f>SUMIFS('caseload data'!I:I,'caseload data'!$B:$B,"licence",'caseload data'!$A:$A,$B$86)</f>
        <v>0</v>
      </c>
      <c r="H88" s="75">
        <f>SUMIFS('caseload data'!J:J,'caseload data'!$B:$B,"licence",'caseload data'!$A:$A,$B$86)</f>
        <v>0</v>
      </c>
      <c r="I88" s="75">
        <f>SUMIFS('caseload data'!K:K,'caseload data'!$B:$B,"licence",'caseload data'!$A:$A,$B$86)</f>
        <v>0</v>
      </c>
      <c r="J88" s="75">
        <f>SUMIFS('caseload data'!L:L,'caseload data'!$B:$B,"licence",'caseload data'!$A:$A,$B$86)</f>
        <v>0</v>
      </c>
      <c r="K88" s="75">
        <f>SUMIFS('caseload data'!M:M,'caseload data'!$B:$B,"licence",'caseload data'!$A:$A,$B$86)</f>
        <v>0</v>
      </c>
      <c r="L88" s="75">
        <f>SUMIFS('caseload data'!N:N,'caseload data'!$B:$B,"licence",'caseload data'!$A:$A,$B$86)</f>
        <v>0</v>
      </c>
      <c r="M88" s="75">
        <f>SUMIFS('caseload data'!O:O,'caseload data'!$B:$B,"licence",'caseload data'!$A:$A,$B$86)</f>
        <v>0</v>
      </c>
      <c r="N88" s="75">
        <f>SUMIFS('caseload data'!P:P,'caseload data'!$B:$B,"licence",'caseload data'!$A:$A,$B$86)</f>
        <v>0</v>
      </c>
      <c r="O88" s="75">
        <f>SUMIFS('caseload data'!Q:Q,'caseload data'!$B:$B,"licence",'caseload data'!$A:$A,$B$86)</f>
        <v>0</v>
      </c>
      <c r="P88" s="75">
        <f>SUMIFS('caseload data'!R:R,'caseload data'!$B:$B,"licence",'caseload data'!$A:$A,$B$86)</f>
        <v>0</v>
      </c>
      <c r="Q88" s="75">
        <f>SUMIFS('caseload data'!S:S,'caseload data'!$B:$B,"licence",'caseload data'!$A:$A,$B$86)</f>
        <v>0</v>
      </c>
      <c r="R88" s="75">
        <f>SUMIFS('caseload data'!T:T,'caseload data'!$B:$B,"licence",'caseload data'!$A:$A,$B$86)</f>
        <v>0</v>
      </c>
      <c r="S88" s="75">
        <f>SUMIFS('caseload data'!V:V,'caseload data'!A:A,B86,'caseload data'!B:B,"licence")</f>
        <v>0</v>
      </c>
    </row>
    <row r="89" spans="2:19" x14ac:dyDescent="0.15">
      <c r="B89" s="75" t="s">
        <v>993</v>
      </c>
      <c r="C89" s="75">
        <f>SUMIFS('caseload data'!E:E,'caseload data'!$B:$B,"community",'caseload data'!$A:$A,$B$86)</f>
        <v>0</v>
      </c>
      <c r="D89" s="75">
        <f>SUMIFS('caseload data'!F:F,'caseload data'!$B:$B,"community",'caseload data'!$A:$A,$B$86)</f>
        <v>0</v>
      </c>
      <c r="E89" s="75">
        <f>SUMIFS('caseload data'!G:G,'caseload data'!$B:$B,"community",'caseload data'!$A:$A,$B$86)</f>
        <v>0</v>
      </c>
      <c r="F89" s="75">
        <f>SUMIFS('caseload data'!H:H,'caseload data'!$B:$B,"community",'caseload data'!$A:$A,$B$86)</f>
        <v>0</v>
      </c>
      <c r="G89" s="75">
        <f>SUMIFS('caseload data'!I:I,'caseload data'!$B:$B,"community",'caseload data'!$A:$A,$B$86)</f>
        <v>0</v>
      </c>
      <c r="H89" s="75">
        <f>SUMIFS('caseload data'!J:J,'caseload data'!$B:$B,"community",'caseload data'!$A:$A,$B$86)</f>
        <v>0</v>
      </c>
      <c r="I89" s="75">
        <f>SUMIFS('caseload data'!K:K,'caseload data'!$B:$B,"community",'caseload data'!$A:$A,$B$86)</f>
        <v>0</v>
      </c>
      <c r="J89" s="75">
        <f>SUMIFS('caseload data'!L:L,'caseload data'!$B:$B,"community",'caseload data'!$A:$A,$B$86)</f>
        <v>0</v>
      </c>
      <c r="K89" s="75">
        <f>SUMIFS('caseload data'!M:M,'caseload data'!$B:$B,"community",'caseload data'!$A:$A,$B$86)</f>
        <v>0</v>
      </c>
      <c r="L89" s="75">
        <f>SUMIFS('caseload data'!N:N,'caseload data'!$B:$B,"community",'caseload data'!$A:$A,$B$86)</f>
        <v>0</v>
      </c>
      <c r="M89" s="75">
        <f>SUMIFS('caseload data'!O:O,'caseload data'!$B:$B,"community",'caseload data'!$A:$A,$B$86)</f>
        <v>0</v>
      </c>
      <c r="N89" s="75">
        <f>SUMIFS('caseload data'!P:P,'caseload data'!$B:$B,"community",'caseload data'!$A:$A,$B$86)</f>
        <v>0</v>
      </c>
      <c r="O89" s="75">
        <f>SUMIFS('caseload data'!Q:Q,'caseload data'!$B:$B,"community",'caseload data'!$A:$A,$B$86)</f>
        <v>0</v>
      </c>
      <c r="P89" s="75">
        <f>SUMIFS('caseload data'!R:R,'caseload data'!$B:$B,"community",'caseload data'!$A:$A,$B$86)</f>
        <v>0</v>
      </c>
      <c r="Q89" s="75">
        <f>SUMIFS('caseload data'!S:S,'caseload data'!$B:$B,"community",'caseload data'!$A:$A,$B$86)</f>
        <v>0</v>
      </c>
      <c r="R89" s="75">
        <f>SUMIFS('caseload data'!T:T,'caseload data'!$B:$B,"community",'caseload data'!$A:$A,$B$86)</f>
        <v>0</v>
      </c>
      <c r="S89" s="75">
        <f>SUMIFS('caseload data'!V:V,'caseload data'!A:A,B86,'caseload data'!B:B,"community")</f>
        <v>0</v>
      </c>
    </row>
    <row r="90" spans="2:19" x14ac:dyDescent="0.15">
      <c r="B90" s="110" t="s">
        <v>994</v>
      </c>
      <c r="C90" s="110">
        <f>SUMIF('caseload data'!$A:$A,$B$86,'caseload data'!E:E)</f>
        <v>0</v>
      </c>
      <c r="D90" s="110">
        <f>SUMIF('caseload data'!$A:$A,$B$86,'caseload data'!F:F)</f>
        <v>0</v>
      </c>
      <c r="E90" s="110">
        <f>SUMIF('caseload data'!$A:$A,$B$86,'caseload data'!G:G)</f>
        <v>0</v>
      </c>
      <c r="F90" s="110">
        <f>SUMIF('caseload data'!$A:$A,$B$86,'caseload data'!H:H)</f>
        <v>0</v>
      </c>
      <c r="G90" s="110">
        <f>SUMIF('caseload data'!$A:$A,$B$86,'caseload data'!I:I)</f>
        <v>0</v>
      </c>
      <c r="H90" s="110">
        <f>SUMIF('caseload data'!$A:$A,$B$86,'caseload data'!J:J)</f>
        <v>0</v>
      </c>
      <c r="I90" s="110">
        <f>SUMIF('caseload data'!$A:$A,$B$86,'caseload data'!K:K)</f>
        <v>0</v>
      </c>
      <c r="J90" s="110">
        <f>SUMIF('caseload data'!$A:$A,$B$86,'caseload data'!L:L)</f>
        <v>0</v>
      </c>
      <c r="K90" s="110">
        <f>SUMIF('caseload data'!$A:$A,$B$86,'caseload data'!M:M)</f>
        <v>0</v>
      </c>
      <c r="L90" s="110">
        <f>SUMIF('caseload data'!$A:$A,$B$86,'caseload data'!N:N)</f>
        <v>0</v>
      </c>
      <c r="M90" s="110">
        <f>SUMIF('caseload data'!$A:$A,$B$86,'caseload data'!O:O)</f>
        <v>0</v>
      </c>
      <c r="N90" s="110">
        <f>SUMIF('caseload data'!$A:$A,$B$86,'caseload data'!P:P)</f>
        <v>0</v>
      </c>
      <c r="O90" s="110">
        <f>SUMIF('caseload data'!$A:$A,$B$86,'caseload data'!Q:Q)</f>
        <v>0</v>
      </c>
      <c r="P90" s="110">
        <f>SUMIF('caseload data'!$A:$A,$B$86,'caseload data'!R:R)</f>
        <v>0</v>
      </c>
      <c r="Q90" s="110">
        <f>SUMIF('caseload data'!$A:$A,$B$86,'caseload data'!S:S)</f>
        <v>0</v>
      </c>
      <c r="R90" s="110">
        <f>SUMIF('caseload data'!$A:$A,$B$86,'caseload data'!T:T)</f>
        <v>0</v>
      </c>
      <c r="S90" s="110">
        <f>SUMIF('caseload data'!A:A,B86,'caseload data'!V:V)</f>
        <v>0</v>
      </c>
    </row>
    <row r="91" spans="2:19" x14ac:dyDescent="0.15">
      <c r="B91" s="21"/>
      <c r="C91" s="21"/>
      <c r="D91" s="21"/>
      <c r="E91" s="21"/>
      <c r="F91" s="21"/>
      <c r="G91" s="21"/>
      <c r="H91" s="21"/>
      <c r="I91" s="21"/>
      <c r="J91" s="21"/>
    </row>
    <row r="92" spans="2:19" ht="21.75" customHeight="1" x14ac:dyDescent="0.15">
      <c r="B92" s="21"/>
      <c r="C92" s="427" t="s">
        <v>995</v>
      </c>
      <c r="D92" s="428"/>
      <c r="E92" s="428"/>
      <c r="F92" s="428"/>
      <c r="G92" s="428"/>
      <c r="H92" s="428"/>
      <c r="I92" s="428"/>
      <c r="J92" s="428"/>
      <c r="K92" s="428"/>
      <c r="L92" s="428"/>
      <c r="M92" s="428"/>
      <c r="N92" s="428"/>
      <c r="O92" s="428"/>
      <c r="P92" s="428"/>
      <c r="Q92" s="428"/>
      <c r="R92" s="428"/>
    </row>
    <row r="93" spans="2:19" x14ac:dyDescent="0.15">
      <c r="B93" s="93" t="str">
        <f>B5</f>
        <v>East Midlands Region</v>
      </c>
      <c r="C93" s="38" t="s">
        <v>864</v>
      </c>
      <c r="D93" s="38" t="s">
        <v>865</v>
      </c>
      <c r="E93" s="38" t="s">
        <v>866</v>
      </c>
      <c r="F93" s="38" t="s">
        <v>867</v>
      </c>
      <c r="G93" s="38" t="s">
        <v>868</v>
      </c>
      <c r="H93" s="38" t="s">
        <v>869</v>
      </c>
      <c r="I93" s="38" t="s">
        <v>870</v>
      </c>
      <c r="J93" s="38" t="s">
        <v>871</v>
      </c>
      <c r="K93" s="38" t="s">
        <v>872</v>
      </c>
      <c r="L93" s="38" t="s">
        <v>873</v>
      </c>
      <c r="M93" s="38" t="s">
        <v>874</v>
      </c>
      <c r="N93" s="38" t="s">
        <v>875</v>
      </c>
      <c r="O93" s="38" t="s">
        <v>876</v>
      </c>
      <c r="P93" s="38" t="s">
        <v>877</v>
      </c>
      <c r="Q93" s="38" t="s">
        <v>878</v>
      </c>
      <c r="R93" s="38" t="s">
        <v>879</v>
      </c>
    </row>
    <row r="94" spans="2:19" x14ac:dyDescent="0.15">
      <c r="B94" s="75" t="s">
        <v>991</v>
      </c>
      <c r="C94" s="66" t="e">
        <f t="shared" ref="C94:R94" si="0">C87/$S$87</f>
        <v>#DIV/0!</v>
      </c>
      <c r="D94" s="66" t="e">
        <f t="shared" si="0"/>
        <v>#DIV/0!</v>
      </c>
      <c r="E94" s="66" t="e">
        <f t="shared" si="0"/>
        <v>#DIV/0!</v>
      </c>
      <c r="F94" s="66" t="e">
        <f t="shared" si="0"/>
        <v>#DIV/0!</v>
      </c>
      <c r="G94" s="66" t="e">
        <f t="shared" si="0"/>
        <v>#DIV/0!</v>
      </c>
      <c r="H94" s="66" t="e">
        <f t="shared" si="0"/>
        <v>#DIV/0!</v>
      </c>
      <c r="I94" s="66" t="e">
        <f t="shared" si="0"/>
        <v>#DIV/0!</v>
      </c>
      <c r="J94" s="66" t="e">
        <f t="shared" si="0"/>
        <v>#DIV/0!</v>
      </c>
      <c r="K94" s="66" t="e">
        <f t="shared" si="0"/>
        <v>#DIV/0!</v>
      </c>
      <c r="L94" s="66" t="e">
        <f t="shared" si="0"/>
        <v>#DIV/0!</v>
      </c>
      <c r="M94" s="66" t="e">
        <f t="shared" si="0"/>
        <v>#DIV/0!</v>
      </c>
      <c r="N94" s="66" t="e">
        <f t="shared" si="0"/>
        <v>#DIV/0!</v>
      </c>
      <c r="O94" s="66" t="e">
        <f t="shared" si="0"/>
        <v>#DIV/0!</v>
      </c>
      <c r="P94" s="66" t="e">
        <f t="shared" si="0"/>
        <v>#DIV/0!</v>
      </c>
      <c r="Q94" s="66" t="e">
        <f t="shared" si="0"/>
        <v>#DIV/0!</v>
      </c>
      <c r="R94" s="66" t="e">
        <f t="shared" si="0"/>
        <v>#DIV/0!</v>
      </c>
    </row>
    <row r="95" spans="2:19" x14ac:dyDescent="0.15">
      <c r="B95" s="75" t="s">
        <v>992</v>
      </c>
      <c r="C95" s="66" t="e">
        <f t="shared" ref="C95:R95" si="1">C88/$S$88</f>
        <v>#DIV/0!</v>
      </c>
      <c r="D95" s="66" t="e">
        <f t="shared" si="1"/>
        <v>#DIV/0!</v>
      </c>
      <c r="E95" s="66" t="e">
        <f t="shared" si="1"/>
        <v>#DIV/0!</v>
      </c>
      <c r="F95" s="66" t="e">
        <f t="shared" si="1"/>
        <v>#DIV/0!</v>
      </c>
      <c r="G95" s="66" t="e">
        <f t="shared" si="1"/>
        <v>#DIV/0!</v>
      </c>
      <c r="H95" s="66" t="e">
        <f t="shared" si="1"/>
        <v>#DIV/0!</v>
      </c>
      <c r="I95" s="66" t="e">
        <f t="shared" si="1"/>
        <v>#DIV/0!</v>
      </c>
      <c r="J95" s="66" t="e">
        <f t="shared" si="1"/>
        <v>#DIV/0!</v>
      </c>
      <c r="K95" s="66" t="e">
        <f t="shared" si="1"/>
        <v>#DIV/0!</v>
      </c>
      <c r="L95" s="66" t="e">
        <f t="shared" si="1"/>
        <v>#DIV/0!</v>
      </c>
      <c r="M95" s="66" t="e">
        <f t="shared" si="1"/>
        <v>#DIV/0!</v>
      </c>
      <c r="N95" s="66" t="e">
        <f t="shared" si="1"/>
        <v>#DIV/0!</v>
      </c>
      <c r="O95" s="66" t="e">
        <f t="shared" si="1"/>
        <v>#DIV/0!</v>
      </c>
      <c r="P95" s="66" t="e">
        <f t="shared" si="1"/>
        <v>#DIV/0!</v>
      </c>
      <c r="Q95" s="66" t="e">
        <f t="shared" si="1"/>
        <v>#DIV/0!</v>
      </c>
      <c r="R95" s="66" t="e">
        <f t="shared" si="1"/>
        <v>#DIV/0!</v>
      </c>
    </row>
    <row r="96" spans="2:19" x14ac:dyDescent="0.15">
      <c r="B96" s="75" t="s">
        <v>993</v>
      </c>
      <c r="C96" s="66" t="e">
        <f t="shared" ref="C96:R96" si="2">C89/$S$89</f>
        <v>#DIV/0!</v>
      </c>
      <c r="D96" s="66" t="e">
        <f t="shared" si="2"/>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si="2"/>
        <v>#DIV/0!</v>
      </c>
      <c r="R96" s="66" t="e">
        <f t="shared" si="2"/>
        <v>#DIV/0!</v>
      </c>
    </row>
    <row r="97" spans="2:37" x14ac:dyDescent="0.15">
      <c r="B97" s="110" t="s">
        <v>994</v>
      </c>
      <c r="C97" s="99" t="e">
        <f t="shared" ref="C97:R97" si="3">C90/$S$90</f>
        <v>#DIV/0!</v>
      </c>
      <c r="D97" s="99" t="e">
        <f t="shared" si="3"/>
        <v>#DIV/0!</v>
      </c>
      <c r="E97" s="99" t="e">
        <f t="shared" si="3"/>
        <v>#DIV/0!</v>
      </c>
      <c r="F97" s="99" t="e">
        <f t="shared" si="3"/>
        <v>#DIV/0!</v>
      </c>
      <c r="G97" s="99" t="e">
        <f t="shared" si="3"/>
        <v>#DIV/0!</v>
      </c>
      <c r="H97" s="99" t="e">
        <f t="shared" si="3"/>
        <v>#DIV/0!</v>
      </c>
      <c r="I97" s="99" t="e">
        <f t="shared" si="3"/>
        <v>#DIV/0!</v>
      </c>
      <c r="J97" s="99" t="e">
        <f t="shared" si="3"/>
        <v>#DIV/0!</v>
      </c>
      <c r="K97" s="99" t="e">
        <f t="shared" si="3"/>
        <v>#DIV/0!</v>
      </c>
      <c r="L97" s="99" t="e">
        <f t="shared" si="3"/>
        <v>#DIV/0!</v>
      </c>
      <c r="M97" s="99" t="e">
        <f t="shared" si="3"/>
        <v>#DIV/0!</v>
      </c>
      <c r="N97" s="99" t="e">
        <f t="shared" si="3"/>
        <v>#DIV/0!</v>
      </c>
      <c r="O97" s="99" t="e">
        <f t="shared" si="3"/>
        <v>#DIV/0!</v>
      </c>
      <c r="P97" s="99" t="e">
        <f t="shared" si="3"/>
        <v>#DIV/0!</v>
      </c>
      <c r="Q97" s="99" t="e">
        <f t="shared" si="3"/>
        <v>#DIV/0!</v>
      </c>
      <c r="R97" s="99" t="e">
        <f t="shared" si="3"/>
        <v>#DIV/0!</v>
      </c>
    </row>
    <row r="98" spans="2:37" x14ac:dyDescent="0.15">
      <c r="B98" s="21"/>
      <c r="C98" s="21"/>
      <c r="D98" s="21"/>
      <c r="E98" s="21"/>
      <c r="F98" s="21"/>
      <c r="G98" s="21"/>
      <c r="H98" s="21"/>
      <c r="I98" s="21"/>
      <c r="J98" s="21"/>
    </row>
    <row r="99" spans="2:37" ht="23.25" customHeight="1" x14ac:dyDescent="0.2">
      <c r="B99" s="52" t="str">
        <f>B5</f>
        <v>East Midlands Region</v>
      </c>
      <c r="C99" s="427" t="s">
        <v>998</v>
      </c>
      <c r="D99" s="428"/>
      <c r="E99" s="428"/>
      <c r="F99" s="428"/>
      <c r="G99" s="428"/>
      <c r="H99" s="428"/>
      <c r="I99" s="428"/>
      <c r="J99" s="428"/>
      <c r="K99" s="428"/>
      <c r="L99" s="428"/>
      <c r="M99" s="428"/>
      <c r="N99" s="428"/>
      <c r="O99" s="428"/>
      <c r="P99" s="428"/>
      <c r="Q99" s="428"/>
      <c r="R99" s="428"/>
      <c r="U99" s="52" t="str">
        <f>B5</f>
        <v>East Midlands Region</v>
      </c>
      <c r="V99" s="416" t="s">
        <v>999</v>
      </c>
      <c r="W99" s="417"/>
      <c r="X99" s="417"/>
      <c r="Y99" s="417"/>
      <c r="Z99" s="417"/>
      <c r="AA99" s="417"/>
      <c r="AB99" s="417"/>
      <c r="AC99" s="417"/>
      <c r="AD99" s="417"/>
      <c r="AE99" s="417"/>
      <c r="AF99" s="417"/>
      <c r="AG99" s="417"/>
      <c r="AH99" s="417"/>
      <c r="AI99" s="417"/>
      <c r="AJ99" s="417"/>
      <c r="AK99" s="417"/>
    </row>
    <row r="100" spans="2:37" ht="18" x14ac:dyDescent="0.2">
      <c r="B100" s="283" t="s">
        <v>1000</v>
      </c>
      <c r="C100" s="38" t="s">
        <v>864</v>
      </c>
      <c r="D100" s="38" t="s">
        <v>865</v>
      </c>
      <c r="E100" s="38" t="s">
        <v>866</v>
      </c>
      <c r="F100" s="38" t="s">
        <v>867</v>
      </c>
      <c r="G100" s="38" t="s">
        <v>868</v>
      </c>
      <c r="H100" s="38" t="s">
        <v>869</v>
      </c>
      <c r="I100" s="38" t="s">
        <v>870</v>
      </c>
      <c r="J100" s="38" t="s">
        <v>871</v>
      </c>
      <c r="K100" s="38" t="s">
        <v>872</v>
      </c>
      <c r="L100" s="38" t="s">
        <v>873</v>
      </c>
      <c r="M100" s="38" t="s">
        <v>874</v>
      </c>
      <c r="N100" s="38" t="s">
        <v>875</v>
      </c>
      <c r="O100" s="38" t="s">
        <v>876</v>
      </c>
      <c r="P100" s="38" t="s">
        <v>877</v>
      </c>
      <c r="Q100" s="38" t="s">
        <v>878</v>
      </c>
      <c r="R100" s="38" t="s">
        <v>879</v>
      </c>
      <c r="U100" s="95" t="s">
        <v>1001</v>
      </c>
      <c r="V100" s="38" t="s">
        <v>864</v>
      </c>
      <c r="W100" s="38" t="s">
        <v>865</v>
      </c>
      <c r="X100" s="38" t="s">
        <v>866</v>
      </c>
      <c r="Y100" s="38" t="s">
        <v>867</v>
      </c>
      <c r="Z100" s="38" t="s">
        <v>868</v>
      </c>
      <c r="AA100" s="38" t="s">
        <v>869</v>
      </c>
      <c r="AB100" s="38" t="s">
        <v>870</v>
      </c>
      <c r="AC100" s="38" t="s">
        <v>871</v>
      </c>
      <c r="AD100" s="38" t="s">
        <v>872</v>
      </c>
      <c r="AE100" s="38" t="s">
        <v>873</v>
      </c>
      <c r="AF100" s="38" t="s">
        <v>874</v>
      </c>
      <c r="AG100" s="38" t="s">
        <v>875</v>
      </c>
      <c r="AH100" s="38" t="s">
        <v>876</v>
      </c>
      <c r="AI100" s="38" t="s">
        <v>877</v>
      </c>
      <c r="AJ100" s="38" t="s">
        <v>878</v>
      </c>
      <c r="AK100" s="38" t="s">
        <v>879</v>
      </c>
    </row>
    <row r="101" spans="2:37" x14ac:dyDescent="0.15">
      <c r="B101" s="96" t="s">
        <v>997</v>
      </c>
      <c r="C101" s="94">
        <f>SUMIFS('caseload data'!E:E,'caseload data'!$D:$D,"PO",'caseload data'!$A:$A,'divisional &amp; regional overview'!$B$99,'caseload data'!$B:$B,"community")</f>
        <v>0</v>
      </c>
      <c r="D101" s="94">
        <f>SUMIFS('caseload data'!F:F,'caseload data'!$D:$D,"PO",'caseload data'!$A:$A,'divisional &amp; regional overview'!$B$99,'caseload data'!$B:$B,"community")</f>
        <v>0</v>
      </c>
      <c r="E101" s="94">
        <f>SUMIFS('caseload data'!G:G,'caseload data'!$D:$D,"PO",'caseload data'!$A:$A,'divisional &amp; regional overview'!$B$99,'caseload data'!$B:$B,"community")</f>
        <v>0</v>
      </c>
      <c r="F101" s="94">
        <f>SUMIFS('caseload data'!H:H,'caseload data'!$D:$D,"PO",'caseload data'!$A:$A,'divisional &amp; regional overview'!$B$99,'caseload data'!$B:$B,"community")</f>
        <v>0</v>
      </c>
      <c r="G101" s="94">
        <f>SUMIFS('caseload data'!I:I,'caseload data'!$D:$D,"PO",'caseload data'!$A:$A,'divisional &amp; regional overview'!$B$99,'caseload data'!$B:$B,"community")</f>
        <v>0</v>
      </c>
      <c r="H101" s="94">
        <f>SUMIFS('caseload data'!J:J,'caseload data'!$D:$D,"PO",'caseload data'!$A:$A,'divisional &amp; regional overview'!$B$99,'caseload data'!$B:$B,"community")</f>
        <v>0</v>
      </c>
      <c r="I101" s="94">
        <f>SUMIFS('caseload data'!K:K,'caseload data'!$D:$D,"PO",'caseload data'!$A:$A,'divisional &amp; regional overview'!$B$99,'caseload data'!$B:$B,"community")</f>
        <v>0</v>
      </c>
      <c r="J101" s="94">
        <f>SUMIFS('caseload data'!L:L,'caseload data'!$D:$D,"PO",'caseload data'!$A:$A,'divisional &amp; regional overview'!$B$99,'caseload data'!$B:$B,"community")</f>
        <v>0</v>
      </c>
      <c r="K101" s="94">
        <f>SUMIFS('caseload data'!M:M,'caseload data'!$D:$D,"PO",'caseload data'!$A:$A,'divisional &amp; regional overview'!$B$99,'caseload data'!$B:$B,"community")</f>
        <v>0</v>
      </c>
      <c r="L101" s="94">
        <f>SUMIFS('caseload data'!N:N,'caseload data'!$D:$D,"PO",'caseload data'!$A:$A,'divisional &amp; regional overview'!$B$99,'caseload data'!$B:$B,"community")</f>
        <v>0</v>
      </c>
      <c r="M101" s="94">
        <f>SUMIFS('caseload data'!O:O,'caseload data'!$D:$D,"PO",'caseload data'!$A:$A,'divisional &amp; regional overview'!$B$99,'caseload data'!$B:$B,"community")</f>
        <v>0</v>
      </c>
      <c r="N101" s="94">
        <f>SUMIFS('caseload data'!P:P,'caseload data'!$D:$D,"PO",'caseload data'!$A:$A,'divisional &amp; regional overview'!$B$99,'caseload data'!$B:$B,"community")</f>
        <v>0</v>
      </c>
      <c r="O101" s="94">
        <f>SUMIFS('caseload data'!Q:Q,'caseload data'!$D:$D,"PO",'caseload data'!$A:$A,'divisional &amp; regional overview'!$B$99,'caseload data'!$B:$B,"community")</f>
        <v>0</v>
      </c>
      <c r="P101" s="94">
        <f>SUMIFS('caseload data'!R:R,'caseload data'!$D:$D,"PO",'caseload data'!$A:$A,'divisional &amp; regional overview'!$B$99,'caseload data'!$B:$B,"community")</f>
        <v>0</v>
      </c>
      <c r="Q101" s="94">
        <f>SUMIFS('caseload data'!S:S,'caseload data'!$D:$D,"PO",'caseload data'!$A:$A,'divisional &amp; regional overview'!$B$99,'caseload data'!$B:$B,"community")</f>
        <v>0</v>
      </c>
      <c r="R101" s="94">
        <f>SUMIFS('caseload data'!T:T,'caseload data'!$D:$D,"PO",'caseload data'!$A:$A,'divisional &amp; regional overview'!$B$99,'caseload data'!$B:$B,"community")</f>
        <v>0</v>
      </c>
      <c r="U101" s="96" t="s">
        <v>997</v>
      </c>
      <c r="V101" s="167" t="e">
        <f>C$101/SUM(C$101:C$104)</f>
        <v>#DIV/0!</v>
      </c>
      <c r="W101" s="167" t="e">
        <f>D$101/SUM(D$101:D$104)</f>
        <v>#DIV/0!</v>
      </c>
      <c r="X101" s="167" t="e">
        <f t="shared" ref="X101:AK101" si="4">E$101/SUM(E$101:E$104)</f>
        <v>#DIV/0!</v>
      </c>
      <c r="Y101" s="167" t="e">
        <f t="shared" si="4"/>
        <v>#DIV/0!</v>
      </c>
      <c r="Z101" s="167" t="e">
        <f t="shared" si="4"/>
        <v>#DIV/0!</v>
      </c>
      <c r="AA101" s="167" t="e">
        <f t="shared" si="4"/>
        <v>#DIV/0!</v>
      </c>
      <c r="AB101" s="167" t="e">
        <f t="shared" si="4"/>
        <v>#DIV/0!</v>
      </c>
      <c r="AC101" s="167" t="e">
        <f t="shared" si="4"/>
        <v>#DIV/0!</v>
      </c>
      <c r="AD101" s="167" t="e">
        <f t="shared" si="4"/>
        <v>#DIV/0!</v>
      </c>
      <c r="AE101" s="167" t="e">
        <f t="shared" si="4"/>
        <v>#DIV/0!</v>
      </c>
      <c r="AF101" s="167" t="e">
        <f t="shared" si="4"/>
        <v>#DIV/0!</v>
      </c>
      <c r="AG101" s="167" t="e">
        <f t="shared" si="4"/>
        <v>#DIV/0!</v>
      </c>
      <c r="AH101" s="167" t="e">
        <f t="shared" si="4"/>
        <v>#DIV/0!</v>
      </c>
      <c r="AI101" s="167" t="e">
        <f t="shared" si="4"/>
        <v>#DIV/0!</v>
      </c>
      <c r="AJ101" s="167" t="e">
        <f t="shared" si="4"/>
        <v>#DIV/0!</v>
      </c>
      <c r="AK101" s="167" t="e">
        <f t="shared" si="4"/>
        <v>#DIV/0!</v>
      </c>
    </row>
    <row r="102" spans="2:37" x14ac:dyDescent="0.15">
      <c r="B102" s="97" t="s">
        <v>1002</v>
      </c>
      <c r="C102" s="94">
        <f>SUMIFS('caseload data'!E:E,'caseload data'!$D:$D,"PSO",'caseload data'!$A:$A,'divisional &amp; regional overview'!$B$99,'caseload data'!$B:$B,"community")</f>
        <v>0</v>
      </c>
      <c r="D102" s="94">
        <f>SUMIFS('caseload data'!F:F,'caseload data'!$D:$D,"PSO",'caseload data'!$A:$A,'divisional &amp; regional overview'!$B$99,'caseload data'!$B:$B,"community")</f>
        <v>0</v>
      </c>
      <c r="E102" s="94">
        <f>SUMIFS('caseload data'!G:G,'caseload data'!$D:$D,"PSO",'caseload data'!$A:$A,'divisional &amp; regional overview'!$B$99,'caseload data'!$B:$B,"community")</f>
        <v>0</v>
      </c>
      <c r="F102" s="94">
        <f>SUMIFS('caseload data'!H:H,'caseload data'!$D:$D,"PSO",'caseload data'!$A:$A,'divisional &amp; regional overview'!$B$99,'caseload data'!$B:$B,"community")</f>
        <v>0</v>
      </c>
      <c r="G102" s="94">
        <f>SUMIFS('caseload data'!I:I,'caseload data'!$D:$D,"PSO",'caseload data'!$A:$A,'divisional &amp; regional overview'!$B$99,'caseload data'!$B:$B,"community")</f>
        <v>0</v>
      </c>
      <c r="H102" s="94">
        <f>SUMIFS('caseload data'!J:J,'caseload data'!$D:$D,"PSO",'caseload data'!$A:$A,'divisional &amp; regional overview'!$B$99,'caseload data'!$B:$B,"community")</f>
        <v>0</v>
      </c>
      <c r="I102" s="94">
        <f>SUMIFS('caseload data'!K:K,'caseload data'!$D:$D,"PSO",'caseload data'!$A:$A,'divisional &amp; regional overview'!$B$99,'caseload data'!$B:$B,"community")</f>
        <v>0</v>
      </c>
      <c r="J102" s="94">
        <f>SUMIFS('caseload data'!L:L,'caseload data'!$D:$D,"PSO",'caseload data'!$A:$A,'divisional &amp; regional overview'!$B$99,'caseload data'!$B:$B,"community")</f>
        <v>0</v>
      </c>
      <c r="K102" s="94">
        <f>SUMIFS('caseload data'!M:M,'caseload data'!$D:$D,"PSO",'caseload data'!$A:$A,'divisional &amp; regional overview'!$B$99,'caseload data'!$B:$B,"community")</f>
        <v>0</v>
      </c>
      <c r="L102" s="94">
        <f>SUMIFS('caseload data'!N:N,'caseload data'!$D:$D,"PSO",'caseload data'!$A:$A,'divisional &amp; regional overview'!$B$99,'caseload data'!$B:$B,"community")</f>
        <v>0</v>
      </c>
      <c r="M102" s="94">
        <f>SUMIFS('caseload data'!O:O,'caseload data'!$D:$D,"PSO",'caseload data'!$A:$A,'divisional &amp; regional overview'!$B$99,'caseload data'!$B:$B,"community")</f>
        <v>0</v>
      </c>
      <c r="N102" s="94">
        <f>SUMIFS('caseload data'!P:P,'caseload data'!$D:$D,"PSO",'caseload data'!$A:$A,'divisional &amp; regional overview'!$B$99,'caseload data'!$B:$B,"community")</f>
        <v>0</v>
      </c>
      <c r="O102" s="94">
        <f>SUMIFS('caseload data'!Q:Q,'caseload data'!$D:$D,"PSO",'caseload data'!$A:$A,'divisional &amp; regional overview'!$B$99,'caseload data'!$B:$B,"community")</f>
        <v>0</v>
      </c>
      <c r="P102" s="94">
        <f>SUMIFS('caseload data'!R:R,'caseload data'!$D:$D,"PSO",'caseload data'!$A:$A,'divisional &amp; regional overview'!$B$99,'caseload data'!$B:$B,"community")</f>
        <v>0</v>
      </c>
      <c r="Q102" s="94">
        <f>SUMIFS('caseload data'!S:S,'caseload data'!$D:$D,"PSO",'caseload data'!$A:$A,'divisional &amp; regional overview'!$B$99,'caseload data'!$B:$B,"community")</f>
        <v>0</v>
      </c>
      <c r="R102" s="94">
        <f>SUMIFS('caseload data'!T:T,'caseload data'!$D:$D,"PSO",'caseload data'!$A:$A,'divisional &amp; regional overview'!$B$99,'caseload data'!$B:$B,"community")</f>
        <v>0</v>
      </c>
      <c r="U102" s="97" t="s">
        <v>1002</v>
      </c>
      <c r="V102" s="167" t="e">
        <f>C$102/SUM(C$101:C$104)</f>
        <v>#DIV/0!</v>
      </c>
      <c r="W102" s="167" t="e">
        <f>D$102/SUM(D$101:D$104)</f>
        <v>#DIV/0!</v>
      </c>
      <c r="X102" s="167" t="e">
        <f t="shared" ref="X102:AK102" si="5">E$102/SUM(E$101:E$104)</f>
        <v>#DIV/0!</v>
      </c>
      <c r="Y102" s="167" t="e">
        <f t="shared" si="5"/>
        <v>#DIV/0!</v>
      </c>
      <c r="Z102" s="167" t="e">
        <f t="shared" si="5"/>
        <v>#DIV/0!</v>
      </c>
      <c r="AA102" s="167" t="e">
        <f t="shared" si="5"/>
        <v>#DIV/0!</v>
      </c>
      <c r="AB102" s="167" t="e">
        <f t="shared" si="5"/>
        <v>#DIV/0!</v>
      </c>
      <c r="AC102" s="167" t="e">
        <f t="shared" si="5"/>
        <v>#DIV/0!</v>
      </c>
      <c r="AD102" s="167" t="e">
        <f t="shared" si="5"/>
        <v>#DIV/0!</v>
      </c>
      <c r="AE102" s="167" t="e">
        <f t="shared" si="5"/>
        <v>#DIV/0!</v>
      </c>
      <c r="AF102" s="167" t="e">
        <f t="shared" si="5"/>
        <v>#DIV/0!</v>
      </c>
      <c r="AG102" s="167" t="e">
        <f t="shared" si="5"/>
        <v>#DIV/0!</v>
      </c>
      <c r="AH102" s="167" t="e">
        <f t="shared" si="5"/>
        <v>#DIV/0!</v>
      </c>
      <c r="AI102" s="167" t="e">
        <f t="shared" si="5"/>
        <v>#DIV/0!</v>
      </c>
      <c r="AJ102" s="167" t="e">
        <f t="shared" si="5"/>
        <v>#DIV/0!</v>
      </c>
      <c r="AK102" s="167" t="e">
        <f t="shared" si="5"/>
        <v>#DIV/0!</v>
      </c>
    </row>
    <row r="103" spans="2:37" x14ac:dyDescent="0.15">
      <c r="B103" s="97" t="s">
        <v>1003</v>
      </c>
      <c r="C103" s="94">
        <f>SUMIFS('caseload data'!E:E,'caseload data'!$D:$D,"TPO",'caseload data'!$A:$A,'divisional &amp; regional overview'!$B$99,'caseload data'!$B:$B,"community")</f>
        <v>0</v>
      </c>
      <c r="D103" s="94">
        <f>SUMIFS('caseload data'!F:F,'caseload data'!$D:$D,"TPO",'caseload data'!$A:$A,'divisional &amp; regional overview'!$B$99,'caseload data'!$B:$B,"community")</f>
        <v>0</v>
      </c>
      <c r="E103" s="94">
        <f>SUMIFS('caseload data'!G:G,'caseload data'!$D:$D,"TPO",'caseload data'!$A:$A,'divisional &amp; regional overview'!$B$99,'caseload data'!$B:$B,"community")</f>
        <v>0</v>
      </c>
      <c r="F103" s="94">
        <f>SUMIFS('caseload data'!H:H,'caseload data'!$D:$D,"TPO",'caseload data'!$A:$A,'divisional &amp; regional overview'!$B$99,'caseload data'!$B:$B,"community")</f>
        <v>0</v>
      </c>
      <c r="G103" s="94">
        <f>SUMIFS('caseload data'!I:I,'caseload data'!$D:$D,"TPO",'caseload data'!$A:$A,'divisional &amp; regional overview'!$B$99,'caseload data'!$B:$B,"community")</f>
        <v>0</v>
      </c>
      <c r="H103" s="94">
        <f>SUMIFS('caseload data'!J:J,'caseload data'!$D:$D,"TPO",'caseload data'!$A:$A,'divisional &amp; regional overview'!$B$99,'caseload data'!$B:$B,"community")</f>
        <v>0</v>
      </c>
      <c r="I103" s="94">
        <f>SUMIFS('caseload data'!K:K,'caseload data'!$D:$D,"TPO",'caseload data'!$A:$A,'divisional &amp; regional overview'!$B$99,'caseload data'!$B:$B,"community")</f>
        <v>0</v>
      </c>
      <c r="J103" s="94">
        <f>SUMIFS('caseload data'!L:L,'caseload data'!$D:$D,"TPO",'caseload data'!$A:$A,'divisional &amp; regional overview'!$B$99,'caseload data'!$B:$B,"community")</f>
        <v>0</v>
      </c>
      <c r="K103" s="94">
        <f>SUMIFS('caseload data'!M:M,'caseload data'!$D:$D,"TPO",'caseload data'!$A:$A,'divisional &amp; regional overview'!$B$99,'caseload data'!$B:$B,"community")</f>
        <v>0</v>
      </c>
      <c r="L103" s="94">
        <f>SUMIFS('caseload data'!N:N,'caseload data'!$D:$D,"TPO",'caseload data'!$A:$A,'divisional &amp; regional overview'!$B$99,'caseload data'!$B:$B,"community")</f>
        <v>0</v>
      </c>
      <c r="M103" s="94">
        <f>SUMIFS('caseload data'!O:O,'caseload data'!$D:$D,"TPO",'caseload data'!$A:$A,'divisional &amp; regional overview'!$B$99,'caseload data'!$B:$B,"community")</f>
        <v>0</v>
      </c>
      <c r="N103" s="94">
        <f>SUMIFS('caseload data'!P:P,'caseload data'!$D:$D,"TPO",'caseload data'!$A:$A,'divisional &amp; regional overview'!$B$99,'caseload data'!$B:$B,"community")</f>
        <v>0</v>
      </c>
      <c r="O103" s="94">
        <f>SUMIFS('caseload data'!Q:Q,'caseload data'!$D:$D,"TPO",'caseload data'!$A:$A,'divisional &amp; regional overview'!$B$99,'caseload data'!$B:$B,"community")</f>
        <v>0</v>
      </c>
      <c r="P103" s="94">
        <f>SUMIFS('caseload data'!R:R,'caseload data'!$D:$D,"TPO",'caseload data'!$A:$A,'divisional &amp; regional overview'!$B$99,'caseload data'!$B:$B,"community")</f>
        <v>0</v>
      </c>
      <c r="Q103" s="94">
        <f>SUMIFS('caseload data'!S:S,'caseload data'!$D:$D,"TPO",'caseload data'!$A:$A,'divisional &amp; regional overview'!$B$99,'caseload data'!$B:$B,"community")</f>
        <v>0</v>
      </c>
      <c r="R103" s="94">
        <f>SUMIFS('caseload data'!T:T,'caseload data'!$D:$D,"TPO",'caseload data'!$A:$A,'divisional &amp; regional overview'!$B$99,'caseload data'!$B:$B,"community")</f>
        <v>0</v>
      </c>
      <c r="U103" s="97" t="s">
        <v>1003</v>
      </c>
      <c r="V103" s="167" t="e">
        <f>C$103/SUM(C$101:C$104)</f>
        <v>#DIV/0!</v>
      </c>
      <c r="W103" s="167" t="e">
        <f>D$103/SUM(D$101:D$104)</f>
        <v>#DIV/0!</v>
      </c>
      <c r="X103" s="167" t="e">
        <f t="shared" ref="X103:AK103" si="6">E$103/SUM(E$101:E$104)</f>
        <v>#DIV/0!</v>
      </c>
      <c r="Y103" s="167" t="e">
        <f t="shared" si="6"/>
        <v>#DIV/0!</v>
      </c>
      <c r="Z103" s="167" t="e">
        <f t="shared" si="6"/>
        <v>#DIV/0!</v>
      </c>
      <c r="AA103" s="167" t="e">
        <f t="shared" si="6"/>
        <v>#DIV/0!</v>
      </c>
      <c r="AB103" s="167" t="e">
        <f t="shared" si="6"/>
        <v>#DIV/0!</v>
      </c>
      <c r="AC103" s="167" t="e">
        <f t="shared" si="6"/>
        <v>#DIV/0!</v>
      </c>
      <c r="AD103" s="167" t="e">
        <f t="shared" si="6"/>
        <v>#DIV/0!</v>
      </c>
      <c r="AE103" s="167" t="e">
        <f t="shared" si="6"/>
        <v>#DIV/0!</v>
      </c>
      <c r="AF103" s="167" t="e">
        <f t="shared" si="6"/>
        <v>#DIV/0!</v>
      </c>
      <c r="AG103" s="167" t="e">
        <f t="shared" si="6"/>
        <v>#DIV/0!</v>
      </c>
      <c r="AH103" s="167" t="e">
        <f t="shared" si="6"/>
        <v>#DIV/0!</v>
      </c>
      <c r="AI103" s="167" t="e">
        <f t="shared" si="6"/>
        <v>#DIV/0!</v>
      </c>
      <c r="AJ103" s="167" t="e">
        <f t="shared" si="6"/>
        <v>#DIV/0!</v>
      </c>
      <c r="AK103" s="167" t="e">
        <f t="shared" si="6"/>
        <v>#DIV/0!</v>
      </c>
    </row>
    <row r="104" spans="2:37" x14ac:dyDescent="0.15">
      <c r="B104" s="98" t="s">
        <v>1004</v>
      </c>
      <c r="C104" s="94">
        <f>SUMIFS('caseload data'!E:E,'caseload data'!$D:$D,"SPO",'caseload data'!$A:$A,'divisional &amp; regional overview'!$B$99,'caseload data'!$B:$B,"community")</f>
        <v>0</v>
      </c>
      <c r="D104" s="94">
        <f>SUMIFS('caseload data'!F:F,'caseload data'!$D:$D,"SPO",'caseload data'!$A:$A,'divisional &amp; regional overview'!$B$99,'caseload data'!$B:$B,"community")</f>
        <v>0</v>
      </c>
      <c r="E104" s="94">
        <f>SUMIFS('caseload data'!G:G,'caseload data'!$D:$D,"SPO",'caseload data'!$A:$A,'divisional &amp; regional overview'!$B$99,'caseload data'!$B:$B,"community")</f>
        <v>0</v>
      </c>
      <c r="F104" s="94">
        <f>SUMIFS('caseload data'!H:H,'caseload data'!$D:$D,"SPO",'caseload data'!$A:$A,'divisional &amp; regional overview'!$B$99,'caseload data'!$B:$B,"community")</f>
        <v>0</v>
      </c>
      <c r="G104" s="94">
        <f>SUMIFS('caseload data'!I:I,'caseload data'!$D:$D,"SPO",'caseload data'!$A:$A,'divisional &amp; regional overview'!$B$99,'caseload data'!$B:$B,"community")</f>
        <v>0</v>
      </c>
      <c r="H104" s="94">
        <f>SUMIFS('caseload data'!J:J,'caseload data'!$D:$D,"SPO",'caseload data'!$A:$A,'divisional &amp; regional overview'!$B$99,'caseload data'!$B:$B,"community")</f>
        <v>0</v>
      </c>
      <c r="I104" s="94">
        <f>SUMIFS('caseload data'!K:K,'caseload data'!$D:$D,"SPO",'caseload data'!$A:$A,'divisional &amp; regional overview'!$B$99,'caseload data'!$B:$B,"community")</f>
        <v>0</v>
      </c>
      <c r="J104" s="94">
        <f>SUMIFS('caseload data'!L:L,'caseload data'!$D:$D,"SPO",'caseload data'!$A:$A,'divisional &amp; regional overview'!$B$99,'caseload data'!$B:$B,"community")</f>
        <v>0</v>
      </c>
      <c r="K104" s="94">
        <f>SUMIFS('caseload data'!M:M,'caseload data'!$D:$D,"SPO",'caseload data'!$A:$A,'divisional &amp; regional overview'!$B$99,'caseload data'!$B:$B,"community")</f>
        <v>0</v>
      </c>
      <c r="L104" s="94">
        <f>SUMIFS('caseload data'!N:N,'caseload data'!$D:$D,"SPO",'caseload data'!$A:$A,'divisional &amp; regional overview'!$B$99,'caseload data'!$B:$B,"community")</f>
        <v>0</v>
      </c>
      <c r="M104" s="94">
        <f>SUMIFS('caseload data'!O:O,'caseload data'!$D:$D,"SPO",'caseload data'!$A:$A,'divisional &amp; regional overview'!$B$99,'caseload data'!$B:$B,"community")</f>
        <v>0</v>
      </c>
      <c r="N104" s="94">
        <f>SUMIFS('caseload data'!P:P,'caseload data'!$D:$D,"SPO",'caseload data'!$A:$A,'divisional &amp; regional overview'!$B$99,'caseload data'!$B:$B,"community")</f>
        <v>0</v>
      </c>
      <c r="O104" s="94">
        <f>SUMIFS('caseload data'!Q:Q,'caseload data'!$D:$D,"SPO",'caseload data'!$A:$A,'divisional &amp; regional overview'!$B$99,'caseload data'!$B:$B,"community")</f>
        <v>0</v>
      </c>
      <c r="P104" s="94">
        <f>SUMIFS('caseload data'!R:R,'caseload data'!$D:$D,"SPO",'caseload data'!$A:$A,'divisional &amp; regional overview'!$B$99,'caseload data'!$B:$B,"community")</f>
        <v>0</v>
      </c>
      <c r="Q104" s="94">
        <f>SUMIFS('caseload data'!S:S,'caseload data'!$D:$D,"SPO",'caseload data'!$A:$A,'divisional &amp; regional overview'!$B$99,'caseload data'!$B:$B,"community")</f>
        <v>0</v>
      </c>
      <c r="R104" s="94">
        <f>SUMIFS('caseload data'!T:T,'caseload data'!$D:$D,"SPO",'caseload data'!$A:$A,'divisional &amp; regional overview'!$B$99,'caseload data'!$B:$B,"community")</f>
        <v>0</v>
      </c>
      <c r="U104" s="98" t="s">
        <v>1004</v>
      </c>
      <c r="V104" s="167" t="e">
        <f>C$104/SUM(C$101:C$104)</f>
        <v>#DIV/0!</v>
      </c>
      <c r="W104" s="167" t="e">
        <f>D$104/SUM(D$101:D$104)</f>
        <v>#DIV/0!</v>
      </c>
      <c r="X104" s="167" t="e">
        <f t="shared" ref="X104:AK104" si="7">E$104/SUM(E$101:E$104)</f>
        <v>#DIV/0!</v>
      </c>
      <c r="Y104" s="167" t="e">
        <f t="shared" si="7"/>
        <v>#DIV/0!</v>
      </c>
      <c r="Z104" s="167" t="e">
        <f t="shared" si="7"/>
        <v>#DIV/0!</v>
      </c>
      <c r="AA104" s="167" t="e">
        <f t="shared" si="7"/>
        <v>#DIV/0!</v>
      </c>
      <c r="AB104" s="167" t="e">
        <f t="shared" si="7"/>
        <v>#DIV/0!</v>
      </c>
      <c r="AC104" s="167" t="e">
        <f t="shared" si="7"/>
        <v>#DIV/0!</v>
      </c>
      <c r="AD104" s="167" t="e">
        <f t="shared" si="7"/>
        <v>#DIV/0!</v>
      </c>
      <c r="AE104" s="167" t="e">
        <f t="shared" si="7"/>
        <v>#DIV/0!</v>
      </c>
      <c r="AF104" s="167" t="e">
        <f t="shared" si="7"/>
        <v>#DIV/0!</v>
      </c>
      <c r="AG104" s="167" t="e">
        <f t="shared" si="7"/>
        <v>#DIV/0!</v>
      </c>
      <c r="AH104" s="167" t="e">
        <f t="shared" si="7"/>
        <v>#DIV/0!</v>
      </c>
      <c r="AI104" s="167" t="e">
        <f t="shared" si="7"/>
        <v>#DIV/0!</v>
      </c>
      <c r="AJ104" s="167" t="e">
        <f t="shared" si="7"/>
        <v>#DIV/0!</v>
      </c>
      <c r="AK104" s="167" t="e">
        <f t="shared" si="7"/>
        <v>#DIV/0!</v>
      </c>
    </row>
    <row r="105" spans="2:37" x14ac:dyDescent="0.15">
      <c r="B105" s="21"/>
    </row>
    <row r="106" spans="2:37" ht="25.5" customHeight="1" x14ac:dyDescent="0.2">
      <c r="B106" s="52" t="str">
        <f>B5</f>
        <v>East Midlands Region</v>
      </c>
      <c r="C106" s="429" t="s">
        <v>1005</v>
      </c>
      <c r="D106" s="430"/>
      <c r="E106" s="430"/>
      <c r="F106" s="430"/>
      <c r="G106" s="430"/>
      <c r="H106" s="430"/>
      <c r="I106" s="430"/>
      <c r="J106" s="430"/>
      <c r="K106" s="430"/>
      <c r="L106" s="430"/>
      <c r="M106" s="430"/>
      <c r="N106" s="430"/>
      <c r="O106" s="430"/>
      <c r="P106" s="430"/>
      <c r="Q106" s="430"/>
      <c r="R106" s="430"/>
      <c r="S106" s="40"/>
      <c r="U106" s="52" t="str">
        <f>B5</f>
        <v>East Midlands Region</v>
      </c>
      <c r="V106" s="416" t="s">
        <v>999</v>
      </c>
      <c r="W106" s="417"/>
      <c r="X106" s="417"/>
      <c r="Y106" s="417"/>
      <c r="Z106" s="417"/>
      <c r="AA106" s="417"/>
      <c r="AB106" s="417"/>
      <c r="AC106" s="417"/>
      <c r="AD106" s="417"/>
      <c r="AE106" s="417"/>
      <c r="AF106" s="417"/>
      <c r="AG106" s="417"/>
      <c r="AH106" s="417"/>
      <c r="AI106" s="417"/>
      <c r="AJ106" s="417"/>
      <c r="AK106" s="417"/>
    </row>
    <row r="107" spans="2:37" ht="18" x14ac:dyDescent="0.2">
      <c r="B107" s="283" t="s">
        <v>1000</v>
      </c>
      <c r="C107" s="38" t="s">
        <v>864</v>
      </c>
      <c r="D107" s="38" t="s">
        <v>865</v>
      </c>
      <c r="E107" s="38" t="s">
        <v>866</v>
      </c>
      <c r="F107" s="38" t="s">
        <v>867</v>
      </c>
      <c r="G107" s="38" t="s">
        <v>868</v>
      </c>
      <c r="H107" s="38" t="s">
        <v>869</v>
      </c>
      <c r="I107" s="38" t="s">
        <v>870</v>
      </c>
      <c r="J107" s="38" t="s">
        <v>871</v>
      </c>
      <c r="K107" s="38" t="s">
        <v>872</v>
      </c>
      <c r="L107" s="38" t="s">
        <v>873</v>
      </c>
      <c r="M107" s="38" t="s">
        <v>874</v>
      </c>
      <c r="N107" s="38" t="s">
        <v>875</v>
      </c>
      <c r="O107" s="38" t="s">
        <v>876</v>
      </c>
      <c r="P107" s="38" t="s">
        <v>877</v>
      </c>
      <c r="Q107" s="38" t="s">
        <v>878</v>
      </c>
      <c r="R107" s="38" t="s">
        <v>879</v>
      </c>
      <c r="S107" s="40"/>
      <c r="U107" s="95" t="s">
        <v>1001</v>
      </c>
      <c r="V107" s="38" t="s">
        <v>864</v>
      </c>
      <c r="W107" s="38" t="s">
        <v>865</v>
      </c>
      <c r="X107" s="38" t="s">
        <v>866</v>
      </c>
      <c r="Y107" s="38" t="s">
        <v>867</v>
      </c>
      <c r="Z107" s="38" t="s">
        <v>868</v>
      </c>
      <c r="AA107" s="38" t="s">
        <v>869</v>
      </c>
      <c r="AB107" s="38" t="s">
        <v>870</v>
      </c>
      <c r="AC107" s="38" t="s">
        <v>871</v>
      </c>
      <c r="AD107" s="38" t="s">
        <v>872</v>
      </c>
      <c r="AE107" s="38" t="s">
        <v>873</v>
      </c>
      <c r="AF107" s="38" t="s">
        <v>874</v>
      </c>
      <c r="AG107" s="38" t="s">
        <v>875</v>
      </c>
      <c r="AH107" s="38" t="s">
        <v>876</v>
      </c>
      <c r="AI107" s="38" t="s">
        <v>877</v>
      </c>
      <c r="AJ107" s="38" t="s">
        <v>878</v>
      </c>
      <c r="AK107" s="38" t="s">
        <v>879</v>
      </c>
    </row>
    <row r="108" spans="2:37" x14ac:dyDescent="0.15">
      <c r="B108" s="96" t="s">
        <v>997</v>
      </c>
      <c r="C108" s="94">
        <f>SUMIFS('caseload data'!E:E,'caseload data'!$D:$D,"PO",'caseload data'!$A:$A,'divisional &amp; regional overview'!$B$99,'caseload data'!$B:$B,"licence")</f>
        <v>0</v>
      </c>
      <c r="D108" s="94">
        <f>SUMIFS('caseload data'!F:F,'caseload data'!$D:$D,"PO",'caseload data'!$A:$A,'divisional &amp; regional overview'!$B$99,'caseload data'!$B:$B,"licence")</f>
        <v>0</v>
      </c>
      <c r="E108" s="94">
        <f>SUMIFS('caseload data'!G:G,'caseload data'!$D:$D,"PO",'caseload data'!$A:$A,'divisional &amp; regional overview'!$B$99,'caseload data'!$B:$B,"licence")</f>
        <v>0</v>
      </c>
      <c r="F108" s="94">
        <f>SUMIFS('caseload data'!H:H,'caseload data'!$D:$D,"PO",'caseload data'!$A:$A,'divisional &amp; regional overview'!$B$99,'caseload data'!$B:$B,"licence")</f>
        <v>0</v>
      </c>
      <c r="G108" s="94">
        <f>SUMIFS('caseload data'!I:I,'caseload data'!$D:$D,"PO",'caseload data'!$A:$A,'divisional &amp; regional overview'!$B$99,'caseload data'!$B:$B,"licence")</f>
        <v>0</v>
      </c>
      <c r="H108" s="94">
        <f>SUMIFS('caseload data'!J:J,'caseload data'!$D:$D,"PO",'caseload data'!$A:$A,'divisional &amp; regional overview'!$B$99,'caseload data'!$B:$B,"licence")</f>
        <v>0</v>
      </c>
      <c r="I108" s="94">
        <f>SUMIFS('caseload data'!K:K,'caseload data'!$D:$D,"PO",'caseload data'!$A:$A,'divisional &amp; regional overview'!$B$99,'caseload data'!$B:$B,"licence")</f>
        <v>0</v>
      </c>
      <c r="J108" s="94">
        <f>SUMIFS('caseload data'!L:L,'caseload data'!$D:$D,"PO",'caseload data'!$A:$A,'divisional &amp; regional overview'!$B$99,'caseload data'!$B:$B,"licence")</f>
        <v>0</v>
      </c>
      <c r="K108" s="94">
        <f>SUMIFS('caseload data'!M:M,'caseload data'!$D:$D,"PO",'caseload data'!$A:$A,'divisional &amp; regional overview'!$B$99,'caseload data'!$B:$B,"licence")</f>
        <v>0</v>
      </c>
      <c r="L108" s="94">
        <f>SUMIFS('caseload data'!N:N,'caseload data'!$D:$D,"PO",'caseload data'!$A:$A,'divisional &amp; regional overview'!$B$99,'caseload data'!$B:$B,"licence")</f>
        <v>0</v>
      </c>
      <c r="M108" s="94">
        <f>SUMIFS('caseload data'!O:O,'caseload data'!$D:$D,"PO",'caseload data'!$A:$A,'divisional &amp; regional overview'!$B$99,'caseload data'!$B:$B,"licence")</f>
        <v>0</v>
      </c>
      <c r="N108" s="94">
        <f>SUMIFS('caseload data'!P:P,'caseload data'!$D:$D,"PO",'caseload data'!$A:$A,'divisional &amp; regional overview'!$B$99,'caseload data'!$B:$B,"licence")</f>
        <v>0</v>
      </c>
      <c r="O108" s="94">
        <f>SUMIFS('caseload data'!Q:Q,'caseload data'!$D:$D,"PO",'caseload data'!$A:$A,'divisional &amp; regional overview'!$B$99,'caseload data'!$B:$B,"licence")</f>
        <v>0</v>
      </c>
      <c r="P108" s="94">
        <f>SUMIFS('caseload data'!R:R,'caseload data'!$D:$D,"PO",'caseload data'!$A:$A,'divisional &amp; regional overview'!$B$99,'caseload data'!$B:$B,"licence")</f>
        <v>0</v>
      </c>
      <c r="Q108" s="94">
        <f>SUMIFS('caseload data'!S:S,'caseload data'!$D:$D,"PO",'caseload data'!$A:$A,'divisional &amp; regional overview'!$B$99,'caseload data'!$B:$B,"licence")</f>
        <v>0</v>
      </c>
      <c r="R108" s="94">
        <f>SUMIFS('caseload data'!T:T,'caseload data'!$D:$D,"PO",'caseload data'!$A:$A,'divisional &amp; regional overview'!$B$99,'caseload data'!$B:$B,"licence")</f>
        <v>0</v>
      </c>
      <c r="U108" s="96" t="s">
        <v>997</v>
      </c>
      <c r="V108" s="167" t="e">
        <f>C$108/SUM(C$108:C$111)</f>
        <v>#DIV/0!</v>
      </c>
      <c r="W108" s="167" t="e">
        <f>D$108/SUM(D$108:D$111)</f>
        <v>#DIV/0!</v>
      </c>
      <c r="X108" s="167" t="e">
        <f t="shared" ref="X108:AK108" si="8">E$108/SUM(E$108:E$111)</f>
        <v>#DIV/0!</v>
      </c>
      <c r="Y108" s="167" t="e">
        <f t="shared" si="8"/>
        <v>#DIV/0!</v>
      </c>
      <c r="Z108" s="167" t="e">
        <f t="shared" si="8"/>
        <v>#DIV/0!</v>
      </c>
      <c r="AA108" s="167" t="e">
        <f t="shared" si="8"/>
        <v>#DIV/0!</v>
      </c>
      <c r="AB108" s="167" t="e">
        <f t="shared" si="8"/>
        <v>#DIV/0!</v>
      </c>
      <c r="AC108" s="167" t="e">
        <f t="shared" si="8"/>
        <v>#DIV/0!</v>
      </c>
      <c r="AD108" s="167" t="e">
        <f t="shared" si="8"/>
        <v>#DIV/0!</v>
      </c>
      <c r="AE108" s="167" t="e">
        <f t="shared" si="8"/>
        <v>#DIV/0!</v>
      </c>
      <c r="AF108" s="167" t="e">
        <f t="shared" si="8"/>
        <v>#DIV/0!</v>
      </c>
      <c r="AG108" s="167" t="e">
        <f t="shared" si="8"/>
        <v>#DIV/0!</v>
      </c>
      <c r="AH108" s="167" t="e">
        <f t="shared" si="8"/>
        <v>#DIV/0!</v>
      </c>
      <c r="AI108" s="167" t="e">
        <f t="shared" si="8"/>
        <v>#DIV/0!</v>
      </c>
      <c r="AJ108" s="167" t="e">
        <f t="shared" si="8"/>
        <v>#DIV/0!</v>
      </c>
      <c r="AK108" s="167" t="e">
        <f t="shared" si="8"/>
        <v>#DIV/0!</v>
      </c>
    </row>
    <row r="109" spans="2:37" x14ac:dyDescent="0.15">
      <c r="B109" s="97" t="s">
        <v>1002</v>
      </c>
      <c r="C109" s="94">
        <f>SUMIFS('caseload data'!E:E,'caseload data'!$D:$D,"PSO",'caseload data'!$A:$A,'divisional &amp; regional overview'!$B$99,'caseload data'!$B:$B,"licence")</f>
        <v>0</v>
      </c>
      <c r="D109" s="94">
        <f>SUMIFS('caseload data'!F:F,'caseload data'!$D:$D,"PSO",'caseload data'!$A:$A,'divisional &amp; regional overview'!$B$99,'caseload data'!$B:$B,"licence")</f>
        <v>0</v>
      </c>
      <c r="E109" s="94">
        <f>SUMIFS('caseload data'!G:G,'caseload data'!$D:$D,"PSO",'caseload data'!$A:$A,'divisional &amp; regional overview'!$B$99,'caseload data'!$B:$B,"licence")</f>
        <v>0</v>
      </c>
      <c r="F109" s="94">
        <f>SUMIFS('caseload data'!H:H,'caseload data'!$D:$D,"PSO",'caseload data'!$A:$A,'divisional &amp; regional overview'!$B$99,'caseload data'!$B:$B,"licence")</f>
        <v>0</v>
      </c>
      <c r="G109" s="94">
        <f>SUMIFS('caseload data'!I:I,'caseload data'!$D:$D,"PSO",'caseload data'!$A:$A,'divisional &amp; regional overview'!$B$99,'caseload data'!$B:$B,"licence")</f>
        <v>0</v>
      </c>
      <c r="H109" s="94">
        <f>SUMIFS('caseload data'!J:J,'caseload data'!$D:$D,"PSO",'caseload data'!$A:$A,'divisional &amp; regional overview'!$B$99,'caseload data'!$B:$B,"licence")</f>
        <v>0</v>
      </c>
      <c r="I109" s="94">
        <f>SUMIFS('caseload data'!K:K,'caseload data'!$D:$D,"PSO",'caseload data'!$A:$A,'divisional &amp; regional overview'!$B$99,'caseload data'!$B:$B,"licence")</f>
        <v>0</v>
      </c>
      <c r="J109" s="94">
        <f>SUMIFS('caseload data'!L:L,'caseload data'!$D:$D,"PSO",'caseload data'!$A:$A,'divisional &amp; regional overview'!$B$99,'caseload data'!$B:$B,"licence")</f>
        <v>0</v>
      </c>
      <c r="K109" s="94">
        <f>SUMIFS('caseload data'!M:M,'caseload data'!$D:$D,"PSO",'caseload data'!$A:$A,'divisional &amp; regional overview'!$B$99,'caseload data'!$B:$B,"licence")</f>
        <v>0</v>
      </c>
      <c r="L109" s="94">
        <f>SUMIFS('caseload data'!N:N,'caseload data'!$D:$D,"PSO",'caseload data'!$A:$A,'divisional &amp; regional overview'!$B$99,'caseload data'!$B:$B,"licence")</f>
        <v>0</v>
      </c>
      <c r="M109" s="94">
        <f>SUMIFS('caseload data'!O:O,'caseload data'!$D:$D,"PSO",'caseload data'!$A:$A,'divisional &amp; regional overview'!$B$99,'caseload data'!$B:$B,"licence")</f>
        <v>0</v>
      </c>
      <c r="N109" s="94">
        <f>SUMIFS('caseload data'!P:P,'caseload data'!$D:$D,"PSO",'caseload data'!$A:$A,'divisional &amp; regional overview'!$B$99,'caseload data'!$B:$B,"licence")</f>
        <v>0</v>
      </c>
      <c r="O109" s="94">
        <f>SUMIFS('caseload data'!Q:Q,'caseload data'!$D:$D,"PSO",'caseload data'!$A:$A,'divisional &amp; regional overview'!$B$99,'caseload data'!$B:$B,"licence")</f>
        <v>0</v>
      </c>
      <c r="P109" s="94">
        <f>SUMIFS('caseload data'!R:R,'caseload data'!$D:$D,"PSO",'caseload data'!$A:$A,'divisional &amp; regional overview'!$B$99,'caseload data'!$B:$B,"licence")</f>
        <v>0</v>
      </c>
      <c r="Q109" s="94">
        <f>SUMIFS('caseload data'!S:S,'caseload data'!$D:$D,"PSO",'caseload data'!$A:$A,'divisional &amp; regional overview'!$B$99,'caseload data'!$B:$B,"licence")</f>
        <v>0</v>
      </c>
      <c r="R109" s="94">
        <f>SUMIFS('caseload data'!T:T,'caseload data'!$D:$D,"PSO",'caseload data'!$A:$A,'divisional &amp; regional overview'!$B$99,'caseload data'!$B:$B,"licence")</f>
        <v>0</v>
      </c>
      <c r="U109" s="97" t="s">
        <v>1002</v>
      </c>
      <c r="V109" s="167" t="e">
        <f>C$109/SUM(C$108:C$111)</f>
        <v>#DIV/0!</v>
      </c>
      <c r="W109" s="167" t="e">
        <f>D$109/SUM(D$108:D$111)</f>
        <v>#DIV/0!</v>
      </c>
      <c r="X109" s="167" t="e">
        <f t="shared" ref="X109:AK109" si="9">E$109/SUM(E$108:E$111)</f>
        <v>#DIV/0!</v>
      </c>
      <c r="Y109" s="167" t="e">
        <f t="shared" si="9"/>
        <v>#DIV/0!</v>
      </c>
      <c r="Z109" s="167" t="e">
        <f t="shared" si="9"/>
        <v>#DIV/0!</v>
      </c>
      <c r="AA109" s="167" t="e">
        <f t="shared" si="9"/>
        <v>#DIV/0!</v>
      </c>
      <c r="AB109" s="167" t="e">
        <f t="shared" si="9"/>
        <v>#DIV/0!</v>
      </c>
      <c r="AC109" s="167" t="e">
        <f t="shared" si="9"/>
        <v>#DIV/0!</v>
      </c>
      <c r="AD109" s="167" t="e">
        <f t="shared" si="9"/>
        <v>#DIV/0!</v>
      </c>
      <c r="AE109" s="167" t="e">
        <f t="shared" si="9"/>
        <v>#DIV/0!</v>
      </c>
      <c r="AF109" s="167" t="e">
        <f t="shared" si="9"/>
        <v>#DIV/0!</v>
      </c>
      <c r="AG109" s="167" t="e">
        <f t="shared" si="9"/>
        <v>#DIV/0!</v>
      </c>
      <c r="AH109" s="167" t="e">
        <f t="shared" si="9"/>
        <v>#DIV/0!</v>
      </c>
      <c r="AI109" s="167" t="e">
        <f t="shared" si="9"/>
        <v>#DIV/0!</v>
      </c>
      <c r="AJ109" s="167" t="e">
        <f t="shared" si="9"/>
        <v>#DIV/0!</v>
      </c>
      <c r="AK109" s="167" t="e">
        <f t="shared" si="9"/>
        <v>#DIV/0!</v>
      </c>
    </row>
    <row r="110" spans="2:37" x14ac:dyDescent="0.15">
      <c r="B110" s="97" t="s">
        <v>1003</v>
      </c>
      <c r="C110" s="94">
        <f>SUMIFS('caseload data'!E:E,'caseload data'!$D:$D,"TPO",'caseload data'!$A:$A,'divisional &amp; regional overview'!$B$99,'caseload data'!$B:$B,"licence")</f>
        <v>0</v>
      </c>
      <c r="D110" s="94">
        <f>SUMIFS('caseload data'!F:F,'caseload data'!$D:$D,"TPO",'caseload data'!$A:$A,'divisional &amp; regional overview'!$B$99,'caseload data'!$B:$B,"licence")</f>
        <v>0</v>
      </c>
      <c r="E110" s="94">
        <f>SUMIFS('caseload data'!G:G,'caseload data'!$D:$D,"TPO",'caseload data'!$A:$A,'divisional &amp; regional overview'!$B$99,'caseload data'!$B:$B,"licence")</f>
        <v>0</v>
      </c>
      <c r="F110" s="94">
        <f>SUMIFS('caseload data'!H:H,'caseload data'!$D:$D,"TPO",'caseload data'!$A:$A,'divisional &amp; regional overview'!$B$99,'caseload data'!$B:$B,"licence")</f>
        <v>0</v>
      </c>
      <c r="G110" s="94">
        <f>SUMIFS('caseload data'!I:I,'caseload data'!$D:$D,"TPO",'caseload data'!$A:$A,'divisional &amp; regional overview'!$B$99,'caseload data'!$B:$B,"licence")</f>
        <v>0</v>
      </c>
      <c r="H110" s="94">
        <f>SUMIFS('caseload data'!J:J,'caseload data'!$D:$D,"TPO",'caseload data'!$A:$A,'divisional &amp; regional overview'!$B$99,'caseload data'!$B:$B,"licence")</f>
        <v>0</v>
      </c>
      <c r="I110" s="94">
        <f>SUMIFS('caseload data'!K:K,'caseload data'!$D:$D,"TPO",'caseload data'!$A:$A,'divisional &amp; regional overview'!$B$99,'caseload data'!$B:$B,"licence")</f>
        <v>0</v>
      </c>
      <c r="J110" s="94">
        <f>SUMIFS('caseload data'!L:L,'caseload data'!$D:$D,"TPO",'caseload data'!$A:$A,'divisional &amp; regional overview'!$B$99,'caseload data'!$B:$B,"licence")</f>
        <v>0</v>
      </c>
      <c r="K110" s="94">
        <f>SUMIFS('caseload data'!M:M,'caseload data'!$D:$D,"TPO",'caseload data'!$A:$A,'divisional &amp; regional overview'!$B$99,'caseload data'!$B:$B,"licence")</f>
        <v>0</v>
      </c>
      <c r="L110" s="94">
        <f>SUMIFS('caseload data'!N:N,'caseload data'!$D:$D,"TPO",'caseload data'!$A:$A,'divisional &amp; regional overview'!$B$99,'caseload data'!$B:$B,"licence")</f>
        <v>0</v>
      </c>
      <c r="M110" s="94">
        <f>SUMIFS('caseload data'!O:O,'caseload data'!$D:$D,"TPO",'caseload data'!$A:$A,'divisional &amp; regional overview'!$B$99,'caseload data'!$B:$B,"licence")</f>
        <v>0</v>
      </c>
      <c r="N110" s="94">
        <f>SUMIFS('caseload data'!P:P,'caseload data'!$D:$D,"TPO",'caseload data'!$A:$A,'divisional &amp; regional overview'!$B$99,'caseload data'!$B:$B,"licence")</f>
        <v>0</v>
      </c>
      <c r="O110" s="94">
        <f>SUMIFS('caseload data'!Q:Q,'caseload data'!$D:$D,"TPO",'caseload data'!$A:$A,'divisional &amp; regional overview'!$B$99,'caseload data'!$B:$B,"licence")</f>
        <v>0</v>
      </c>
      <c r="P110" s="94">
        <f>SUMIFS('caseload data'!R:R,'caseload data'!$D:$D,"TPO",'caseload data'!$A:$A,'divisional &amp; regional overview'!$B$99,'caseload data'!$B:$B,"licence")</f>
        <v>0</v>
      </c>
      <c r="Q110" s="94">
        <f>SUMIFS('caseload data'!S:S,'caseload data'!$D:$D,"TPO",'caseload data'!$A:$A,'divisional &amp; regional overview'!$B$99,'caseload data'!$B:$B,"licence")</f>
        <v>0</v>
      </c>
      <c r="R110" s="94">
        <f>SUMIFS('caseload data'!T:T,'caseload data'!$D:$D,"TPO",'caseload data'!$A:$A,'divisional &amp; regional overview'!$B$99,'caseload data'!$B:$B,"licence")</f>
        <v>0</v>
      </c>
      <c r="U110" s="97" t="s">
        <v>1003</v>
      </c>
      <c r="V110" s="167" t="e">
        <f>C$110/SUM(C$108:C$111)</f>
        <v>#DIV/0!</v>
      </c>
      <c r="W110" s="167" t="e">
        <f>D$110/SUM(D$108:D$111)</f>
        <v>#DIV/0!</v>
      </c>
      <c r="X110" s="167" t="e">
        <f t="shared" ref="X110:AK110" si="10">E$110/SUM(E$108:E$111)</f>
        <v>#DIV/0!</v>
      </c>
      <c r="Y110" s="167" t="e">
        <f t="shared" si="10"/>
        <v>#DIV/0!</v>
      </c>
      <c r="Z110" s="167" t="e">
        <f t="shared" si="10"/>
        <v>#DIV/0!</v>
      </c>
      <c r="AA110" s="167" t="e">
        <f t="shared" si="10"/>
        <v>#DIV/0!</v>
      </c>
      <c r="AB110" s="167" t="e">
        <f t="shared" si="10"/>
        <v>#DIV/0!</v>
      </c>
      <c r="AC110" s="167" t="e">
        <f t="shared" si="10"/>
        <v>#DIV/0!</v>
      </c>
      <c r="AD110" s="167" t="e">
        <f t="shared" si="10"/>
        <v>#DIV/0!</v>
      </c>
      <c r="AE110" s="167" t="e">
        <f t="shared" si="10"/>
        <v>#DIV/0!</v>
      </c>
      <c r="AF110" s="167" t="e">
        <f t="shared" si="10"/>
        <v>#DIV/0!</v>
      </c>
      <c r="AG110" s="167" t="e">
        <f t="shared" si="10"/>
        <v>#DIV/0!</v>
      </c>
      <c r="AH110" s="167" t="e">
        <f t="shared" si="10"/>
        <v>#DIV/0!</v>
      </c>
      <c r="AI110" s="167" t="e">
        <f t="shared" si="10"/>
        <v>#DIV/0!</v>
      </c>
      <c r="AJ110" s="167" t="e">
        <f t="shared" si="10"/>
        <v>#DIV/0!</v>
      </c>
      <c r="AK110" s="167" t="e">
        <f t="shared" si="10"/>
        <v>#DIV/0!</v>
      </c>
    </row>
    <row r="111" spans="2:37" x14ac:dyDescent="0.15">
      <c r="B111" s="98" t="s">
        <v>1004</v>
      </c>
      <c r="C111" s="94">
        <f>SUMIFS('caseload data'!E:E,'caseload data'!$D:$D,"SPO",'caseload data'!$A:$A,'divisional &amp; regional overview'!$B$99,'caseload data'!$B:$B,"licence")</f>
        <v>0</v>
      </c>
      <c r="D111" s="94">
        <f>SUMIFS('caseload data'!F:F,'caseload data'!$D:$D,"SPO",'caseload data'!$A:$A,'divisional &amp; regional overview'!$B$99,'caseload data'!$B:$B,"licence")</f>
        <v>0</v>
      </c>
      <c r="E111" s="94">
        <f>SUMIFS('caseload data'!G:G,'caseload data'!$D:$D,"SPO",'caseload data'!$A:$A,'divisional &amp; regional overview'!$B$99,'caseload data'!$B:$B,"licence")</f>
        <v>0</v>
      </c>
      <c r="F111" s="94">
        <f>SUMIFS('caseload data'!H:H,'caseload data'!$D:$D,"SPO",'caseload data'!$A:$A,'divisional &amp; regional overview'!$B$99,'caseload data'!$B:$B,"licence")</f>
        <v>0</v>
      </c>
      <c r="G111" s="94">
        <f>SUMIFS('caseload data'!I:I,'caseload data'!$D:$D,"SPO",'caseload data'!$A:$A,'divisional &amp; regional overview'!$B$99,'caseload data'!$B:$B,"licence")</f>
        <v>0</v>
      </c>
      <c r="H111" s="94">
        <f>SUMIFS('caseload data'!J:J,'caseload data'!$D:$D,"SPO",'caseload data'!$A:$A,'divisional &amp; regional overview'!$B$99,'caseload data'!$B:$B,"licence")</f>
        <v>0</v>
      </c>
      <c r="I111" s="94">
        <f>SUMIFS('caseload data'!K:K,'caseload data'!$D:$D,"SPO",'caseload data'!$A:$A,'divisional &amp; regional overview'!$B$99,'caseload data'!$B:$B,"licence")</f>
        <v>0</v>
      </c>
      <c r="J111" s="94">
        <f>SUMIFS('caseload data'!L:L,'caseload data'!$D:$D,"SPO",'caseload data'!$A:$A,'divisional &amp; regional overview'!$B$99,'caseload data'!$B:$B,"licence")</f>
        <v>0</v>
      </c>
      <c r="K111" s="94">
        <f>SUMIFS('caseload data'!M:M,'caseload data'!$D:$D,"SPO",'caseload data'!$A:$A,'divisional &amp; regional overview'!$B$99,'caseload data'!$B:$B,"licence")</f>
        <v>0</v>
      </c>
      <c r="L111" s="94">
        <f>SUMIFS('caseload data'!N:N,'caseload data'!$D:$D,"SPO",'caseload data'!$A:$A,'divisional &amp; regional overview'!$B$99,'caseload data'!$B:$B,"licence")</f>
        <v>0</v>
      </c>
      <c r="M111" s="94">
        <f>SUMIFS('caseload data'!O:O,'caseload data'!$D:$D,"SPO",'caseload data'!$A:$A,'divisional &amp; regional overview'!$B$99,'caseload data'!$B:$B,"licence")</f>
        <v>0</v>
      </c>
      <c r="N111" s="94">
        <f>SUMIFS('caseload data'!P:P,'caseload data'!$D:$D,"SPO",'caseload data'!$A:$A,'divisional &amp; regional overview'!$B$99,'caseload data'!$B:$B,"licence")</f>
        <v>0</v>
      </c>
      <c r="O111" s="94">
        <f>SUMIFS('caseload data'!Q:Q,'caseload data'!$D:$D,"SPO",'caseload data'!$A:$A,'divisional &amp; regional overview'!$B$99,'caseload data'!$B:$B,"licence")</f>
        <v>0</v>
      </c>
      <c r="P111" s="94">
        <f>SUMIFS('caseload data'!R:R,'caseload data'!$D:$D,"SPO",'caseload data'!$A:$A,'divisional &amp; regional overview'!$B$99,'caseload data'!$B:$B,"licence")</f>
        <v>0</v>
      </c>
      <c r="Q111" s="94">
        <f>SUMIFS('caseload data'!S:S,'caseload data'!$D:$D,"SPO",'caseload data'!$A:$A,'divisional &amp; regional overview'!$B$99,'caseload data'!$B:$B,"licence")</f>
        <v>0</v>
      </c>
      <c r="R111" s="94">
        <f>SUMIFS('caseload data'!T:T,'caseload data'!$D:$D,"SPO",'caseload data'!$A:$A,'divisional &amp; regional overview'!$B$99,'caseload data'!$B:$B,"licence")</f>
        <v>0</v>
      </c>
      <c r="U111" s="98" t="s">
        <v>1004</v>
      </c>
      <c r="V111" s="167" t="e">
        <f>C$111/SUM(C$108:C$111)</f>
        <v>#DIV/0!</v>
      </c>
      <c r="W111" s="167" t="e">
        <f>D$111/SUM(D$108:D$111)</f>
        <v>#DIV/0!</v>
      </c>
      <c r="X111" s="167" t="e">
        <f t="shared" ref="X111:AK111" si="11">E$111/SUM(E$108:E$111)</f>
        <v>#DIV/0!</v>
      </c>
      <c r="Y111" s="167" t="e">
        <f t="shared" si="11"/>
        <v>#DIV/0!</v>
      </c>
      <c r="Z111" s="167" t="e">
        <f t="shared" si="11"/>
        <v>#DIV/0!</v>
      </c>
      <c r="AA111" s="167" t="e">
        <f t="shared" si="11"/>
        <v>#DIV/0!</v>
      </c>
      <c r="AB111" s="167" t="e">
        <f t="shared" si="11"/>
        <v>#DIV/0!</v>
      </c>
      <c r="AC111" s="167" t="e">
        <f t="shared" si="11"/>
        <v>#DIV/0!</v>
      </c>
      <c r="AD111" s="167" t="e">
        <f t="shared" si="11"/>
        <v>#DIV/0!</v>
      </c>
      <c r="AE111" s="167" t="e">
        <f t="shared" si="11"/>
        <v>#DIV/0!</v>
      </c>
      <c r="AF111" s="167" t="e">
        <f t="shared" si="11"/>
        <v>#DIV/0!</v>
      </c>
      <c r="AG111" s="167" t="e">
        <f t="shared" si="11"/>
        <v>#DIV/0!</v>
      </c>
      <c r="AH111" s="167" t="e">
        <f t="shared" si="11"/>
        <v>#DIV/0!</v>
      </c>
      <c r="AI111" s="167" t="e">
        <f t="shared" si="11"/>
        <v>#DIV/0!</v>
      </c>
      <c r="AJ111" s="167" t="e">
        <f t="shared" si="11"/>
        <v>#DIV/0!</v>
      </c>
      <c r="AK111" s="167" t="e">
        <f t="shared" si="11"/>
        <v>#DIV/0!</v>
      </c>
    </row>
    <row r="112" spans="2:37" x14ac:dyDescent="0.15">
      <c r="B112" s="21"/>
    </row>
    <row r="113" spans="2:37" ht="25.5" customHeight="1" x14ac:dyDescent="0.2">
      <c r="B113" s="52" t="str">
        <f>B5</f>
        <v>East Midlands Region</v>
      </c>
      <c r="C113" s="429" t="s">
        <v>1006</v>
      </c>
      <c r="D113" s="430"/>
      <c r="E113" s="430"/>
      <c r="F113" s="430"/>
      <c r="G113" s="430"/>
      <c r="H113" s="430"/>
      <c r="I113" s="430"/>
      <c r="J113" s="430"/>
      <c r="K113" s="430"/>
      <c r="L113" s="430"/>
      <c r="M113" s="430"/>
      <c r="N113" s="430"/>
      <c r="O113" s="430"/>
      <c r="P113" s="430"/>
      <c r="Q113" s="430"/>
      <c r="R113" s="430"/>
      <c r="U113" s="52" t="str">
        <f>B5</f>
        <v>East Midlands Region</v>
      </c>
      <c r="V113" s="416" t="s">
        <v>999</v>
      </c>
      <c r="W113" s="417"/>
      <c r="X113" s="417"/>
      <c r="Y113" s="417"/>
      <c r="Z113" s="417"/>
      <c r="AA113" s="417"/>
      <c r="AB113" s="417"/>
      <c r="AC113" s="417"/>
      <c r="AD113" s="417"/>
      <c r="AE113" s="417"/>
      <c r="AF113" s="417"/>
      <c r="AG113" s="417"/>
      <c r="AH113" s="417"/>
      <c r="AI113" s="417"/>
      <c r="AJ113" s="417"/>
      <c r="AK113" s="417"/>
    </row>
    <row r="114" spans="2:37" ht="18" x14ac:dyDescent="0.2">
      <c r="B114" s="283" t="s">
        <v>1000</v>
      </c>
      <c r="C114" s="38" t="s">
        <v>864</v>
      </c>
      <c r="D114" s="38" t="s">
        <v>865</v>
      </c>
      <c r="E114" s="38" t="s">
        <v>866</v>
      </c>
      <c r="F114" s="38" t="s">
        <v>867</v>
      </c>
      <c r="G114" s="38" t="s">
        <v>868</v>
      </c>
      <c r="H114" s="38" t="s">
        <v>869</v>
      </c>
      <c r="I114" s="38" t="s">
        <v>870</v>
      </c>
      <c r="J114" s="38" t="s">
        <v>871</v>
      </c>
      <c r="K114" s="38" t="s">
        <v>872</v>
      </c>
      <c r="L114" s="38" t="s">
        <v>873</v>
      </c>
      <c r="M114" s="38" t="s">
        <v>874</v>
      </c>
      <c r="N114" s="38" t="s">
        <v>875</v>
      </c>
      <c r="O114" s="38" t="s">
        <v>876</v>
      </c>
      <c r="P114" s="38" t="s">
        <v>877</v>
      </c>
      <c r="Q114" s="38" t="s">
        <v>878</v>
      </c>
      <c r="R114" s="38" t="s">
        <v>879</v>
      </c>
      <c r="U114" s="95" t="s">
        <v>1001</v>
      </c>
      <c r="V114" s="38" t="s">
        <v>864</v>
      </c>
      <c r="W114" s="38" t="s">
        <v>865</v>
      </c>
      <c r="X114" s="38" t="s">
        <v>866</v>
      </c>
      <c r="Y114" s="38" t="s">
        <v>867</v>
      </c>
      <c r="Z114" s="38" t="s">
        <v>868</v>
      </c>
      <c r="AA114" s="38" t="s">
        <v>869</v>
      </c>
      <c r="AB114" s="38" t="s">
        <v>870</v>
      </c>
      <c r="AC114" s="38" t="s">
        <v>871</v>
      </c>
      <c r="AD114" s="38" t="s">
        <v>872</v>
      </c>
      <c r="AE114" s="38" t="s">
        <v>873</v>
      </c>
      <c r="AF114" s="38" t="s">
        <v>874</v>
      </c>
      <c r="AG114" s="38" t="s">
        <v>875</v>
      </c>
      <c r="AH114" s="38" t="s">
        <v>876</v>
      </c>
      <c r="AI114" s="38" t="s">
        <v>877</v>
      </c>
      <c r="AJ114" s="38" t="s">
        <v>878</v>
      </c>
      <c r="AK114" s="38" t="s">
        <v>879</v>
      </c>
    </row>
    <row r="115" spans="2:37" x14ac:dyDescent="0.15">
      <c r="B115" s="96" t="s">
        <v>997</v>
      </c>
      <c r="C115" s="94">
        <f>SUMIFS('caseload data'!E:E,'caseload data'!$D:$D,"PO",'caseload data'!$A:$A,'divisional &amp; regional overview'!$B$99,'caseload data'!$B:$B,"custody")</f>
        <v>0</v>
      </c>
      <c r="D115" s="94">
        <f>SUMIFS('caseload data'!F:F,'caseload data'!$D:$D,"PO",'caseload data'!$A:$A,'divisional &amp; regional overview'!$B$99,'caseload data'!$B:$B,"custody")</f>
        <v>0</v>
      </c>
      <c r="E115" s="94">
        <f>SUMIFS('caseload data'!G:G,'caseload data'!$D:$D,"PO",'caseload data'!$A:$A,'divisional &amp; regional overview'!$B$99,'caseload data'!$B:$B,"custody")</f>
        <v>0</v>
      </c>
      <c r="F115" s="94">
        <f>SUMIFS('caseload data'!H:H,'caseload data'!$D:$D,"PO",'caseload data'!$A:$A,'divisional &amp; regional overview'!$B$99,'caseload data'!$B:$B,"custody")</f>
        <v>0</v>
      </c>
      <c r="G115" s="94">
        <f>SUMIFS('caseload data'!I:I,'caseload data'!$D:$D,"PO",'caseload data'!$A:$A,'divisional &amp; regional overview'!$B$99,'caseload data'!$B:$B,"custody")</f>
        <v>0</v>
      </c>
      <c r="H115" s="94">
        <f>SUMIFS('caseload data'!J:J,'caseload data'!$D:$D,"PO",'caseload data'!$A:$A,'divisional &amp; regional overview'!$B$99,'caseload data'!$B:$B,"custody")</f>
        <v>0</v>
      </c>
      <c r="I115" s="94">
        <f>SUMIFS('caseload data'!K:K,'caseload data'!$D:$D,"PO",'caseload data'!$A:$A,'divisional &amp; regional overview'!$B$99,'caseload data'!$B:$B,"custody")</f>
        <v>0</v>
      </c>
      <c r="J115" s="94">
        <f>SUMIFS('caseload data'!L:L,'caseload data'!$D:$D,"PO",'caseload data'!$A:$A,'divisional &amp; regional overview'!$B$99,'caseload data'!$B:$B,"custody")</f>
        <v>0</v>
      </c>
      <c r="K115" s="94">
        <f>SUMIFS('caseload data'!M:M,'caseload data'!$D:$D,"PO",'caseload data'!$A:$A,'divisional &amp; regional overview'!$B$99,'caseload data'!$B:$B,"custody")</f>
        <v>0</v>
      </c>
      <c r="L115" s="94">
        <f>SUMIFS('caseload data'!N:N,'caseload data'!$D:$D,"PO",'caseload data'!$A:$A,'divisional &amp; regional overview'!$B$99,'caseload data'!$B:$B,"custody")</f>
        <v>0</v>
      </c>
      <c r="M115" s="94">
        <f>SUMIFS('caseload data'!O:O,'caseload data'!$D:$D,"PO",'caseload data'!$A:$A,'divisional &amp; regional overview'!$B$99,'caseload data'!$B:$B,"custody")</f>
        <v>0</v>
      </c>
      <c r="N115" s="94">
        <f>SUMIFS('caseload data'!P:P,'caseload data'!$D:$D,"PO",'caseload data'!$A:$A,'divisional &amp; regional overview'!$B$99,'caseload data'!$B:$B,"custody")</f>
        <v>0</v>
      </c>
      <c r="O115" s="94">
        <f>SUMIFS('caseload data'!Q:Q,'caseload data'!$D:$D,"PO",'caseload data'!$A:$A,'divisional &amp; regional overview'!$B$99,'caseload data'!$B:$B,"custody")</f>
        <v>0</v>
      </c>
      <c r="P115" s="94">
        <f>SUMIFS('caseload data'!R:R,'caseload data'!$D:$D,"PO",'caseload data'!$A:$A,'divisional &amp; regional overview'!$B$99,'caseload data'!$B:$B,"custody")</f>
        <v>0</v>
      </c>
      <c r="Q115" s="94">
        <f>SUMIFS('caseload data'!S:S,'caseload data'!$D:$D,"PO",'caseload data'!$A:$A,'divisional &amp; regional overview'!$B$99,'caseload data'!$B:$B,"custody")</f>
        <v>0</v>
      </c>
      <c r="R115" s="94">
        <f>SUMIFS('caseload data'!T:T,'caseload data'!$D:$D,"PO",'caseload data'!$A:$A,'divisional &amp; regional overview'!$B$99,'caseload data'!$B:$B,"custody")</f>
        <v>0</v>
      </c>
      <c r="U115" s="96" t="s">
        <v>997</v>
      </c>
      <c r="V115" s="167" t="e">
        <f>C$115/SUM(C$115:C$118)</f>
        <v>#DIV/0!</v>
      </c>
      <c r="W115" s="167" t="e">
        <f>D$115/SUM(D$115:D$118)</f>
        <v>#DIV/0!</v>
      </c>
      <c r="X115" s="167" t="e">
        <f t="shared" ref="X115:AK115" si="12">E$115/SUM(E$115:E$118)</f>
        <v>#DIV/0!</v>
      </c>
      <c r="Y115" s="167" t="e">
        <f t="shared" si="12"/>
        <v>#DIV/0!</v>
      </c>
      <c r="Z115" s="167" t="e">
        <f t="shared" si="12"/>
        <v>#DIV/0!</v>
      </c>
      <c r="AA115" s="167" t="e">
        <f t="shared" si="12"/>
        <v>#DIV/0!</v>
      </c>
      <c r="AB115" s="167" t="e">
        <f t="shared" si="12"/>
        <v>#DIV/0!</v>
      </c>
      <c r="AC115" s="167" t="e">
        <f t="shared" si="12"/>
        <v>#DIV/0!</v>
      </c>
      <c r="AD115" s="167" t="e">
        <f t="shared" si="12"/>
        <v>#DIV/0!</v>
      </c>
      <c r="AE115" s="167" t="e">
        <f t="shared" si="12"/>
        <v>#DIV/0!</v>
      </c>
      <c r="AF115" s="167" t="e">
        <f t="shared" si="12"/>
        <v>#DIV/0!</v>
      </c>
      <c r="AG115" s="167" t="e">
        <f t="shared" si="12"/>
        <v>#DIV/0!</v>
      </c>
      <c r="AH115" s="167" t="e">
        <f t="shared" si="12"/>
        <v>#DIV/0!</v>
      </c>
      <c r="AI115" s="167" t="e">
        <f t="shared" si="12"/>
        <v>#DIV/0!</v>
      </c>
      <c r="AJ115" s="167" t="e">
        <f t="shared" si="12"/>
        <v>#DIV/0!</v>
      </c>
      <c r="AK115" s="167" t="e">
        <f t="shared" si="12"/>
        <v>#DIV/0!</v>
      </c>
    </row>
    <row r="116" spans="2:37" x14ac:dyDescent="0.15">
      <c r="B116" s="97" t="s">
        <v>1002</v>
      </c>
      <c r="C116" s="94">
        <f>SUMIFS('caseload data'!E:E,'caseload data'!$D:$D,"PSO",'caseload data'!$A:$A,'divisional &amp; regional overview'!$B$99,'caseload data'!$B:$B,"custody")</f>
        <v>0</v>
      </c>
      <c r="D116" s="94">
        <f>SUMIFS('caseload data'!F:F,'caseload data'!$D:$D,"PSO",'caseload data'!$A:$A,'divisional &amp; regional overview'!$B$99,'caseload data'!$B:$B,"custody")</f>
        <v>0</v>
      </c>
      <c r="E116" s="94">
        <f>SUMIFS('caseload data'!G:G,'caseload data'!$D:$D,"PSO",'caseload data'!$A:$A,'divisional &amp; regional overview'!$B$99,'caseload data'!$B:$B,"custody")</f>
        <v>0</v>
      </c>
      <c r="F116" s="94">
        <f>SUMIFS('caseload data'!H:H,'caseload data'!$D:$D,"PSO",'caseload data'!$A:$A,'divisional &amp; regional overview'!$B$99,'caseload data'!$B:$B,"custody")</f>
        <v>0</v>
      </c>
      <c r="G116" s="94">
        <f>SUMIFS('caseload data'!I:I,'caseload data'!$D:$D,"PSO",'caseload data'!$A:$A,'divisional &amp; regional overview'!$B$99,'caseload data'!$B:$B,"custody")</f>
        <v>0</v>
      </c>
      <c r="H116" s="94">
        <f>SUMIFS('caseload data'!J:J,'caseload data'!$D:$D,"PSO",'caseload data'!$A:$A,'divisional &amp; regional overview'!$B$99,'caseload data'!$B:$B,"custody")</f>
        <v>0</v>
      </c>
      <c r="I116" s="94">
        <f>SUMIFS('caseload data'!K:K,'caseload data'!$D:$D,"PSO",'caseload data'!$A:$A,'divisional &amp; regional overview'!$B$99,'caseload data'!$B:$B,"custody")</f>
        <v>0</v>
      </c>
      <c r="J116" s="94">
        <f>SUMIFS('caseload data'!L:L,'caseload data'!$D:$D,"PSO",'caseload data'!$A:$A,'divisional &amp; regional overview'!$B$99,'caseload data'!$B:$B,"custody")</f>
        <v>0</v>
      </c>
      <c r="K116" s="94">
        <f>SUMIFS('caseload data'!M:M,'caseload data'!$D:$D,"PSO",'caseload data'!$A:$A,'divisional &amp; regional overview'!$B$99,'caseload data'!$B:$B,"custody")</f>
        <v>0</v>
      </c>
      <c r="L116" s="94">
        <f>SUMIFS('caseload data'!N:N,'caseload data'!$D:$D,"PSO",'caseload data'!$A:$A,'divisional &amp; regional overview'!$B$99,'caseload data'!$B:$B,"custody")</f>
        <v>0</v>
      </c>
      <c r="M116" s="94">
        <f>SUMIFS('caseload data'!O:O,'caseload data'!$D:$D,"PSO",'caseload data'!$A:$A,'divisional &amp; regional overview'!$B$99,'caseload data'!$B:$B,"custody")</f>
        <v>0</v>
      </c>
      <c r="N116" s="94">
        <f>SUMIFS('caseload data'!P:P,'caseload data'!$D:$D,"PSO",'caseload data'!$A:$A,'divisional &amp; regional overview'!$B$99,'caseload data'!$B:$B,"custody")</f>
        <v>0</v>
      </c>
      <c r="O116" s="94">
        <f>SUMIFS('caseload data'!Q:Q,'caseload data'!$D:$D,"PSO",'caseload data'!$A:$A,'divisional &amp; regional overview'!$B$99,'caseload data'!$B:$B,"custody")</f>
        <v>0</v>
      </c>
      <c r="P116" s="94">
        <f>SUMIFS('caseload data'!R:R,'caseload data'!$D:$D,"PSO",'caseload data'!$A:$A,'divisional &amp; regional overview'!$B$99,'caseload data'!$B:$B,"custody")</f>
        <v>0</v>
      </c>
      <c r="Q116" s="94">
        <f>SUMIFS('caseload data'!S:S,'caseload data'!$D:$D,"PSO",'caseload data'!$A:$A,'divisional &amp; regional overview'!$B$99,'caseload data'!$B:$B,"custody")</f>
        <v>0</v>
      </c>
      <c r="R116" s="94">
        <f>SUMIFS('caseload data'!T:T,'caseload data'!$D:$D,"PSO",'caseload data'!$A:$A,'divisional &amp; regional overview'!$B$99,'caseload data'!$B:$B,"custody")</f>
        <v>0</v>
      </c>
      <c r="U116" s="97" t="s">
        <v>1002</v>
      </c>
      <c r="V116" s="167" t="e">
        <f>C$116/SUM(C$115:C$118)</f>
        <v>#DIV/0!</v>
      </c>
      <c r="W116" s="167" t="e">
        <f>D$116/SUM(D$115:D$118)</f>
        <v>#DIV/0!</v>
      </c>
      <c r="X116" s="167" t="e">
        <f t="shared" ref="X116:AK116" si="13">E$116/SUM(E$115:E$118)</f>
        <v>#DIV/0!</v>
      </c>
      <c r="Y116" s="167" t="e">
        <f t="shared" si="13"/>
        <v>#DIV/0!</v>
      </c>
      <c r="Z116" s="167" t="e">
        <f t="shared" si="13"/>
        <v>#DIV/0!</v>
      </c>
      <c r="AA116" s="167" t="e">
        <f t="shared" si="13"/>
        <v>#DIV/0!</v>
      </c>
      <c r="AB116" s="167" t="e">
        <f t="shared" si="13"/>
        <v>#DIV/0!</v>
      </c>
      <c r="AC116" s="167" t="e">
        <f t="shared" si="13"/>
        <v>#DIV/0!</v>
      </c>
      <c r="AD116" s="167" t="e">
        <f t="shared" si="13"/>
        <v>#DIV/0!</v>
      </c>
      <c r="AE116" s="167" t="e">
        <f t="shared" si="13"/>
        <v>#DIV/0!</v>
      </c>
      <c r="AF116" s="167" t="e">
        <f t="shared" si="13"/>
        <v>#DIV/0!</v>
      </c>
      <c r="AG116" s="167" t="e">
        <f t="shared" si="13"/>
        <v>#DIV/0!</v>
      </c>
      <c r="AH116" s="167" t="e">
        <f t="shared" si="13"/>
        <v>#DIV/0!</v>
      </c>
      <c r="AI116" s="167" t="e">
        <f t="shared" si="13"/>
        <v>#DIV/0!</v>
      </c>
      <c r="AJ116" s="167" t="e">
        <f t="shared" si="13"/>
        <v>#DIV/0!</v>
      </c>
      <c r="AK116" s="167" t="e">
        <f t="shared" si="13"/>
        <v>#DIV/0!</v>
      </c>
    </row>
    <row r="117" spans="2:37" x14ac:dyDescent="0.15">
      <c r="B117" s="97" t="s">
        <v>1003</v>
      </c>
      <c r="C117" s="94">
        <f>SUMIFS('caseload data'!E:E,'caseload data'!$D:$D,"TPO",'caseload data'!$A:$A,'divisional &amp; regional overview'!$B$99,'caseload data'!$B:$B,"custody")</f>
        <v>0</v>
      </c>
      <c r="D117" s="94">
        <f>SUMIFS('caseload data'!F:F,'caseload data'!$D:$D,"TPO",'caseload data'!$A:$A,'divisional &amp; regional overview'!$B$99,'caseload data'!$B:$B,"custody")</f>
        <v>0</v>
      </c>
      <c r="E117" s="94">
        <f>SUMIFS('caseload data'!G:G,'caseload data'!$D:$D,"TPO",'caseload data'!$A:$A,'divisional &amp; regional overview'!$B$99,'caseload data'!$B:$B,"custody")</f>
        <v>0</v>
      </c>
      <c r="F117" s="94">
        <f>SUMIFS('caseload data'!H:H,'caseload data'!$D:$D,"TPO",'caseload data'!$A:$A,'divisional &amp; regional overview'!$B$99,'caseload data'!$B:$B,"custody")</f>
        <v>0</v>
      </c>
      <c r="G117" s="94">
        <f>SUMIFS('caseload data'!I:I,'caseload data'!$D:$D,"TPO",'caseload data'!$A:$A,'divisional &amp; regional overview'!$B$99,'caseload data'!$B:$B,"custody")</f>
        <v>0</v>
      </c>
      <c r="H117" s="94">
        <f>SUMIFS('caseload data'!J:J,'caseload data'!$D:$D,"TPO",'caseload data'!$A:$A,'divisional &amp; regional overview'!$B$99,'caseload data'!$B:$B,"custody")</f>
        <v>0</v>
      </c>
      <c r="I117" s="94">
        <f>SUMIFS('caseload data'!K:K,'caseload data'!$D:$D,"TPO",'caseload data'!$A:$A,'divisional &amp; regional overview'!$B$99,'caseload data'!$B:$B,"custody")</f>
        <v>0</v>
      </c>
      <c r="J117" s="94">
        <f>SUMIFS('caseload data'!L:L,'caseload data'!$D:$D,"TPO",'caseload data'!$A:$A,'divisional &amp; regional overview'!$B$99,'caseload data'!$B:$B,"custody")</f>
        <v>0</v>
      </c>
      <c r="K117" s="94">
        <f>SUMIFS('caseload data'!M:M,'caseload data'!$D:$D,"TPO",'caseload data'!$A:$A,'divisional &amp; regional overview'!$B$99,'caseload data'!$B:$B,"custody")</f>
        <v>0</v>
      </c>
      <c r="L117" s="94">
        <f>SUMIFS('caseload data'!N:N,'caseload data'!$D:$D,"TPO",'caseload data'!$A:$A,'divisional &amp; regional overview'!$B$99,'caseload data'!$B:$B,"custody")</f>
        <v>0</v>
      </c>
      <c r="M117" s="94">
        <f>SUMIFS('caseload data'!O:O,'caseload data'!$D:$D,"TPO",'caseload data'!$A:$A,'divisional &amp; regional overview'!$B$99,'caseload data'!$B:$B,"custody")</f>
        <v>0</v>
      </c>
      <c r="N117" s="94">
        <f>SUMIFS('caseload data'!P:P,'caseload data'!$D:$D,"TPO",'caseload data'!$A:$A,'divisional &amp; regional overview'!$B$99,'caseload data'!$B:$B,"custody")</f>
        <v>0</v>
      </c>
      <c r="O117" s="94">
        <f>SUMIFS('caseload data'!Q:Q,'caseload data'!$D:$D,"TPO",'caseload data'!$A:$A,'divisional &amp; regional overview'!$B$99,'caseload data'!$B:$B,"custody")</f>
        <v>0</v>
      </c>
      <c r="P117" s="94">
        <f>SUMIFS('caseload data'!R:R,'caseload data'!$D:$D,"TPO",'caseload data'!$A:$A,'divisional &amp; regional overview'!$B$99,'caseload data'!$B:$B,"custody")</f>
        <v>0</v>
      </c>
      <c r="Q117" s="94">
        <f>SUMIFS('caseload data'!S:S,'caseload data'!$D:$D,"TPO",'caseload data'!$A:$A,'divisional &amp; regional overview'!$B$99,'caseload data'!$B:$B,"custody")</f>
        <v>0</v>
      </c>
      <c r="R117" s="94">
        <f>SUMIFS('caseload data'!T:T,'caseload data'!$D:$D,"TPO",'caseload data'!$A:$A,'divisional &amp; regional overview'!$B$99,'caseload data'!$B:$B,"custody")</f>
        <v>0</v>
      </c>
      <c r="U117" s="97" t="s">
        <v>1003</v>
      </c>
      <c r="V117" s="167" t="e">
        <f>C$117/SUM(C$115:C$118)</f>
        <v>#DIV/0!</v>
      </c>
      <c r="W117" s="167" t="e">
        <f>D$117/SUM(D$115:D$118)</f>
        <v>#DIV/0!</v>
      </c>
      <c r="X117" s="167" t="e">
        <f t="shared" ref="X117:AK117" si="14">E$117/SUM(E$115:E$118)</f>
        <v>#DIV/0!</v>
      </c>
      <c r="Y117" s="167" t="e">
        <f t="shared" si="14"/>
        <v>#DIV/0!</v>
      </c>
      <c r="Z117" s="167" t="e">
        <f t="shared" si="14"/>
        <v>#DIV/0!</v>
      </c>
      <c r="AA117" s="167" t="e">
        <f t="shared" si="14"/>
        <v>#DIV/0!</v>
      </c>
      <c r="AB117" s="167" t="e">
        <f t="shared" si="14"/>
        <v>#DIV/0!</v>
      </c>
      <c r="AC117" s="167" t="e">
        <f t="shared" si="14"/>
        <v>#DIV/0!</v>
      </c>
      <c r="AD117" s="167" t="e">
        <f t="shared" si="14"/>
        <v>#DIV/0!</v>
      </c>
      <c r="AE117" s="167" t="e">
        <f t="shared" si="14"/>
        <v>#DIV/0!</v>
      </c>
      <c r="AF117" s="167" t="e">
        <f t="shared" si="14"/>
        <v>#DIV/0!</v>
      </c>
      <c r="AG117" s="167" t="e">
        <f t="shared" si="14"/>
        <v>#DIV/0!</v>
      </c>
      <c r="AH117" s="167" t="e">
        <f t="shared" si="14"/>
        <v>#DIV/0!</v>
      </c>
      <c r="AI117" s="167" t="e">
        <f t="shared" si="14"/>
        <v>#DIV/0!</v>
      </c>
      <c r="AJ117" s="167" t="e">
        <f t="shared" si="14"/>
        <v>#DIV/0!</v>
      </c>
      <c r="AK117" s="167" t="e">
        <f t="shared" si="14"/>
        <v>#DIV/0!</v>
      </c>
    </row>
    <row r="118" spans="2:37" x14ac:dyDescent="0.15">
      <c r="B118" s="98" t="s">
        <v>1004</v>
      </c>
      <c r="C118" s="94">
        <f>SUMIFS('caseload data'!E:E,'caseload data'!$D:$D,"SPO",'caseload data'!$A:$A,'divisional &amp; regional overview'!$B$99,'caseload data'!$B:$B,"custody")</f>
        <v>0</v>
      </c>
      <c r="D118" s="94">
        <f>SUMIFS('caseload data'!F:F,'caseload data'!$D:$D,"SPO",'caseload data'!$A:$A,'divisional &amp; regional overview'!$B$99,'caseload data'!$B:$B,"custody")</f>
        <v>0</v>
      </c>
      <c r="E118" s="94">
        <f>SUMIFS('caseload data'!G:G,'caseload data'!$D:$D,"SPO",'caseload data'!$A:$A,'divisional &amp; regional overview'!$B$99,'caseload data'!$B:$B,"custody")</f>
        <v>0</v>
      </c>
      <c r="F118" s="94">
        <f>SUMIFS('caseload data'!H:H,'caseload data'!$D:$D,"SPO",'caseload data'!$A:$A,'divisional &amp; regional overview'!$B$99,'caseload data'!$B:$B,"custody")</f>
        <v>0</v>
      </c>
      <c r="G118" s="94">
        <f>SUMIFS('caseload data'!I:I,'caseload data'!$D:$D,"SPO",'caseload data'!$A:$A,'divisional &amp; regional overview'!$B$99,'caseload data'!$B:$B,"custody")</f>
        <v>0</v>
      </c>
      <c r="H118" s="94">
        <f>SUMIFS('caseload data'!J:J,'caseload data'!$D:$D,"SPO",'caseload data'!$A:$A,'divisional &amp; regional overview'!$B$99,'caseload data'!$B:$B,"custody")</f>
        <v>0</v>
      </c>
      <c r="I118" s="94">
        <f>SUMIFS('caseload data'!K:K,'caseload data'!$D:$D,"SPO",'caseload data'!$A:$A,'divisional &amp; regional overview'!$B$99,'caseload data'!$B:$B,"custody")</f>
        <v>0</v>
      </c>
      <c r="J118" s="94">
        <f>SUMIFS('caseload data'!L:L,'caseload data'!$D:$D,"SPO",'caseload data'!$A:$A,'divisional &amp; regional overview'!$B$99,'caseload data'!$B:$B,"custody")</f>
        <v>0</v>
      </c>
      <c r="K118" s="94">
        <f>SUMIFS('caseload data'!M:M,'caseload data'!$D:$D,"SPO",'caseload data'!$A:$A,'divisional &amp; regional overview'!$B$99,'caseload data'!$B:$B,"custody")</f>
        <v>0</v>
      </c>
      <c r="L118" s="94">
        <f>SUMIFS('caseload data'!N:N,'caseload data'!$D:$D,"SPO",'caseload data'!$A:$A,'divisional &amp; regional overview'!$B$99,'caseload data'!$B:$B,"custody")</f>
        <v>0</v>
      </c>
      <c r="M118" s="94">
        <f>SUMIFS('caseload data'!O:O,'caseload data'!$D:$D,"SPO",'caseload data'!$A:$A,'divisional &amp; regional overview'!$B$99,'caseload data'!$B:$B,"custody")</f>
        <v>0</v>
      </c>
      <c r="N118" s="94">
        <f>SUMIFS('caseload data'!P:P,'caseload data'!$D:$D,"SPO",'caseload data'!$A:$A,'divisional &amp; regional overview'!$B$99,'caseload data'!$B:$B,"custody")</f>
        <v>0</v>
      </c>
      <c r="O118" s="94">
        <f>SUMIFS('caseload data'!Q:Q,'caseload data'!$D:$D,"SPO",'caseload data'!$A:$A,'divisional &amp; regional overview'!$B$99,'caseload data'!$B:$B,"custody")</f>
        <v>0</v>
      </c>
      <c r="P118" s="94">
        <f>SUMIFS('caseload data'!R:R,'caseload data'!$D:$D,"SPO",'caseload data'!$A:$A,'divisional &amp; regional overview'!$B$99,'caseload data'!$B:$B,"custody")</f>
        <v>0</v>
      </c>
      <c r="Q118" s="94">
        <f>SUMIFS('caseload data'!S:S,'caseload data'!$D:$D,"SPO",'caseload data'!$A:$A,'divisional &amp; regional overview'!$B$99,'caseload data'!$B:$B,"custody")</f>
        <v>0</v>
      </c>
      <c r="R118" s="94">
        <f>SUMIFS('caseload data'!T:T,'caseload data'!$D:$D,"SPO",'caseload data'!$A:$A,'divisional &amp; regional overview'!$B$99,'caseload data'!$B:$B,"custody")</f>
        <v>0</v>
      </c>
      <c r="U118" s="98" t="s">
        <v>1004</v>
      </c>
      <c r="V118" s="167" t="e">
        <f>C$118/SUM(C$115:C$118)</f>
        <v>#DIV/0!</v>
      </c>
      <c r="W118" s="167" t="e">
        <f>D$118/SUM(D$115:D$118)</f>
        <v>#DIV/0!</v>
      </c>
      <c r="X118" s="167" t="e">
        <f t="shared" ref="X118:AK118" si="15">E$118/SUM(E$115:E$118)</f>
        <v>#DIV/0!</v>
      </c>
      <c r="Y118" s="167" t="e">
        <f t="shared" si="15"/>
        <v>#DIV/0!</v>
      </c>
      <c r="Z118" s="167" t="e">
        <f t="shared" si="15"/>
        <v>#DIV/0!</v>
      </c>
      <c r="AA118" s="167" t="e">
        <f t="shared" si="15"/>
        <v>#DIV/0!</v>
      </c>
      <c r="AB118" s="167" t="e">
        <f t="shared" si="15"/>
        <v>#DIV/0!</v>
      </c>
      <c r="AC118" s="167" t="e">
        <f t="shared" si="15"/>
        <v>#DIV/0!</v>
      </c>
      <c r="AD118" s="167" t="e">
        <f t="shared" si="15"/>
        <v>#DIV/0!</v>
      </c>
      <c r="AE118" s="167" t="e">
        <f t="shared" si="15"/>
        <v>#DIV/0!</v>
      </c>
      <c r="AF118" s="167" t="e">
        <f t="shared" si="15"/>
        <v>#DIV/0!</v>
      </c>
      <c r="AG118" s="167" t="e">
        <f t="shared" si="15"/>
        <v>#DIV/0!</v>
      </c>
      <c r="AH118" s="167" t="e">
        <f t="shared" si="15"/>
        <v>#DIV/0!</v>
      </c>
      <c r="AI118" s="167" t="e">
        <f t="shared" si="15"/>
        <v>#DIV/0!</v>
      </c>
      <c r="AJ118" s="167" t="e">
        <f t="shared" si="15"/>
        <v>#DIV/0!</v>
      </c>
      <c r="AK118" s="167" t="e">
        <f t="shared" si="15"/>
        <v>#DIV/0!</v>
      </c>
    </row>
    <row r="119" spans="2:37" x14ac:dyDescent="0.15">
      <c r="B119" s="21"/>
    </row>
    <row r="120" spans="2:37" ht="21.75" customHeight="1" x14ac:dyDescent="0.2">
      <c r="B120" s="52" t="str">
        <f>B5</f>
        <v>East Midlands Region</v>
      </c>
      <c r="C120" s="429" t="s">
        <v>1007</v>
      </c>
      <c r="D120" s="430"/>
      <c r="E120" s="430"/>
      <c r="F120" s="430"/>
      <c r="G120" s="430"/>
      <c r="H120" s="430"/>
      <c r="I120" s="430"/>
      <c r="J120" s="430"/>
      <c r="K120" s="430"/>
      <c r="L120" s="430"/>
      <c r="M120" s="430"/>
      <c r="N120" s="430"/>
      <c r="O120" s="430"/>
      <c r="P120" s="430"/>
      <c r="Q120" s="430"/>
      <c r="R120" s="430"/>
      <c r="U120" s="52" t="str">
        <f>B5</f>
        <v>East Midlands Region</v>
      </c>
      <c r="V120" s="416" t="s">
        <v>999</v>
      </c>
      <c r="W120" s="417"/>
      <c r="X120" s="417"/>
      <c r="Y120" s="417"/>
      <c r="Z120" s="417"/>
      <c r="AA120" s="417"/>
      <c r="AB120" s="417"/>
      <c r="AC120" s="417"/>
      <c r="AD120" s="417"/>
      <c r="AE120" s="417"/>
      <c r="AF120" s="417"/>
      <c r="AG120" s="417"/>
      <c r="AH120" s="417"/>
      <c r="AI120" s="417"/>
      <c r="AJ120" s="417"/>
      <c r="AK120" s="417"/>
    </row>
    <row r="121" spans="2:37" ht="18" x14ac:dyDescent="0.2">
      <c r="B121" s="283" t="s">
        <v>1000</v>
      </c>
      <c r="C121" s="38" t="s">
        <v>864</v>
      </c>
      <c r="D121" s="38" t="s">
        <v>865</v>
      </c>
      <c r="E121" s="38" t="s">
        <v>866</v>
      </c>
      <c r="F121" s="38" t="s">
        <v>867</v>
      </c>
      <c r="G121" s="38" t="s">
        <v>868</v>
      </c>
      <c r="H121" s="38" t="s">
        <v>869</v>
      </c>
      <c r="I121" s="38" t="s">
        <v>870</v>
      </c>
      <c r="J121" s="38" t="s">
        <v>871</v>
      </c>
      <c r="K121" s="38" t="s">
        <v>872</v>
      </c>
      <c r="L121" s="38" t="s">
        <v>873</v>
      </c>
      <c r="M121" s="38" t="s">
        <v>874</v>
      </c>
      <c r="N121" s="38" t="s">
        <v>875</v>
      </c>
      <c r="O121" s="38" t="s">
        <v>876</v>
      </c>
      <c r="P121" s="38" t="s">
        <v>877</v>
      </c>
      <c r="Q121" s="38" t="s">
        <v>878</v>
      </c>
      <c r="R121" s="38" t="s">
        <v>879</v>
      </c>
      <c r="U121" s="95" t="s">
        <v>1001</v>
      </c>
      <c r="V121" s="38" t="s">
        <v>864</v>
      </c>
      <c r="W121" s="38" t="s">
        <v>865</v>
      </c>
      <c r="X121" s="38" t="s">
        <v>866</v>
      </c>
      <c r="Y121" s="38" t="s">
        <v>867</v>
      </c>
      <c r="Z121" s="38" t="s">
        <v>868</v>
      </c>
      <c r="AA121" s="38" t="s">
        <v>869</v>
      </c>
      <c r="AB121" s="38" t="s">
        <v>870</v>
      </c>
      <c r="AC121" s="38" t="s">
        <v>871</v>
      </c>
      <c r="AD121" s="38" t="s">
        <v>872</v>
      </c>
      <c r="AE121" s="38" t="s">
        <v>873</v>
      </c>
      <c r="AF121" s="38" t="s">
        <v>874</v>
      </c>
      <c r="AG121" s="38" t="s">
        <v>875</v>
      </c>
      <c r="AH121" s="38" t="s">
        <v>876</v>
      </c>
      <c r="AI121" s="38" t="s">
        <v>877</v>
      </c>
      <c r="AJ121" s="38" t="s">
        <v>878</v>
      </c>
      <c r="AK121" s="38" t="s">
        <v>879</v>
      </c>
    </row>
    <row r="122" spans="2:37" x14ac:dyDescent="0.15">
      <c r="B122" s="96" t="s">
        <v>997</v>
      </c>
      <c r="C122" s="94">
        <f>SUMIFS('caseload data'!E:E,'caseload data'!$D:$D,"PO",'caseload data'!$A:$A,'divisional &amp; regional overview'!$B$106)</f>
        <v>0</v>
      </c>
      <c r="D122" s="94">
        <f>SUMIFS('caseload data'!F:F,'caseload data'!$D:$D,"PO",'caseload data'!$A:$A,'divisional &amp; regional overview'!$B$106)</f>
        <v>0</v>
      </c>
      <c r="E122" s="94">
        <f>SUMIFS('caseload data'!G:G,'caseload data'!$D:$D,"PO",'caseload data'!$A:$A,'divisional &amp; regional overview'!$B$106)</f>
        <v>0</v>
      </c>
      <c r="F122" s="94">
        <f>SUMIFS('caseload data'!H:H,'caseload data'!$D:$D,"PO",'caseload data'!$A:$A,'divisional &amp; regional overview'!$B$106)</f>
        <v>0</v>
      </c>
      <c r="G122" s="94">
        <f>SUMIFS('caseload data'!I:I,'caseload data'!$D:$D,"PO",'caseload data'!$A:$A,'divisional &amp; regional overview'!$B$106)</f>
        <v>0</v>
      </c>
      <c r="H122" s="94">
        <f>SUMIFS('caseload data'!J:J,'caseload data'!$D:$D,"PO",'caseload data'!$A:$A,'divisional &amp; regional overview'!$B$106)</f>
        <v>0</v>
      </c>
      <c r="I122" s="94">
        <f>SUMIFS('caseload data'!K:K,'caseload data'!$D:$D,"PO",'caseload data'!$A:$A,'divisional &amp; regional overview'!$B$106)</f>
        <v>0</v>
      </c>
      <c r="J122" s="94">
        <f>SUMIFS('caseload data'!L:L,'caseload data'!$D:$D,"PO",'caseload data'!$A:$A,'divisional &amp; regional overview'!$B$106)</f>
        <v>0</v>
      </c>
      <c r="K122" s="94">
        <f>SUMIFS('caseload data'!M:M,'caseload data'!$D:$D,"PO",'caseload data'!$A:$A,'divisional &amp; regional overview'!$B$106)</f>
        <v>0</v>
      </c>
      <c r="L122" s="94">
        <f>SUMIFS('caseload data'!N:N,'caseload data'!$D:$D,"PO",'caseload data'!$A:$A,'divisional &amp; regional overview'!$B$106)</f>
        <v>0</v>
      </c>
      <c r="M122" s="94">
        <f>SUMIFS('caseload data'!O:O,'caseload data'!$D:$D,"PO",'caseload data'!$A:$A,'divisional &amp; regional overview'!$B$106)</f>
        <v>0</v>
      </c>
      <c r="N122" s="94">
        <f>SUMIFS('caseload data'!P:P,'caseload data'!$D:$D,"PO",'caseload data'!$A:$A,'divisional &amp; regional overview'!$B$106)</f>
        <v>0</v>
      </c>
      <c r="O122" s="94">
        <f>SUMIFS('caseload data'!Q:Q,'caseload data'!$D:$D,"PO",'caseload data'!$A:$A,'divisional &amp; regional overview'!$B$106)</f>
        <v>0</v>
      </c>
      <c r="P122" s="94">
        <f>SUMIFS('caseload data'!R:R,'caseload data'!$D:$D,"PO",'caseload data'!$A:$A,'divisional &amp; regional overview'!$B$106)</f>
        <v>0</v>
      </c>
      <c r="Q122" s="94">
        <f>SUMIFS('caseload data'!S:S,'caseload data'!$D:$D,"PO",'caseload data'!$A:$A,'divisional &amp; regional overview'!$B$106)</f>
        <v>0</v>
      </c>
      <c r="R122" s="94">
        <f>SUMIFS('caseload data'!T:T,'caseload data'!$D:$D,"PO",'caseload data'!$A:$A,'divisional &amp; regional overview'!$B$106)</f>
        <v>0</v>
      </c>
      <c r="U122" s="96" t="s">
        <v>997</v>
      </c>
      <c r="V122" s="167" t="e">
        <f>C$122/SUM(C$122:C$125)</f>
        <v>#DIV/0!</v>
      </c>
      <c r="W122" s="167" t="e">
        <f>D$122/SUM(D$122:D$125)</f>
        <v>#DIV/0!</v>
      </c>
      <c r="X122" s="167" t="e">
        <f t="shared" ref="X122:AK122" si="16">E$122/SUM(E$122:E$125)</f>
        <v>#DIV/0!</v>
      </c>
      <c r="Y122" s="167" t="e">
        <f t="shared" si="16"/>
        <v>#DIV/0!</v>
      </c>
      <c r="Z122" s="167" t="e">
        <f t="shared" si="16"/>
        <v>#DIV/0!</v>
      </c>
      <c r="AA122" s="167" t="e">
        <f t="shared" si="16"/>
        <v>#DIV/0!</v>
      </c>
      <c r="AB122" s="167" t="e">
        <f t="shared" si="16"/>
        <v>#DIV/0!</v>
      </c>
      <c r="AC122" s="167" t="e">
        <f t="shared" si="16"/>
        <v>#DIV/0!</v>
      </c>
      <c r="AD122" s="167" t="e">
        <f t="shared" si="16"/>
        <v>#DIV/0!</v>
      </c>
      <c r="AE122" s="167" t="e">
        <f t="shared" si="16"/>
        <v>#DIV/0!</v>
      </c>
      <c r="AF122" s="167" t="e">
        <f t="shared" si="16"/>
        <v>#DIV/0!</v>
      </c>
      <c r="AG122" s="167" t="e">
        <f t="shared" si="16"/>
        <v>#DIV/0!</v>
      </c>
      <c r="AH122" s="167" t="e">
        <f t="shared" si="16"/>
        <v>#DIV/0!</v>
      </c>
      <c r="AI122" s="167" t="e">
        <f t="shared" si="16"/>
        <v>#DIV/0!</v>
      </c>
      <c r="AJ122" s="167" t="e">
        <f t="shared" si="16"/>
        <v>#DIV/0!</v>
      </c>
      <c r="AK122" s="167" t="e">
        <f t="shared" si="16"/>
        <v>#DIV/0!</v>
      </c>
    </row>
    <row r="123" spans="2:37" x14ac:dyDescent="0.15">
      <c r="B123" s="97" t="s">
        <v>1002</v>
      </c>
      <c r="C123" s="94">
        <f>SUMIFS('caseload data'!E:E,'caseload data'!$D:$D,"PSO",'caseload data'!$A:$A,'divisional &amp; regional overview'!$B$106)</f>
        <v>0</v>
      </c>
      <c r="D123" s="94">
        <f>SUMIFS('caseload data'!F:F,'caseload data'!$D:$D,"PSO",'caseload data'!$A:$A,'divisional &amp; regional overview'!$B$106)</f>
        <v>0</v>
      </c>
      <c r="E123" s="94">
        <f>SUMIFS('caseload data'!G:G,'caseload data'!$D:$D,"PSO",'caseload data'!$A:$A,'divisional &amp; regional overview'!$B$106)</f>
        <v>0</v>
      </c>
      <c r="F123" s="94">
        <f>SUMIFS('caseload data'!H:H,'caseload data'!$D:$D,"PSO",'caseload data'!$A:$A,'divisional &amp; regional overview'!$B$106)</f>
        <v>0</v>
      </c>
      <c r="G123" s="94">
        <f>SUMIFS('caseload data'!I:I,'caseload data'!$D:$D,"PSO",'caseload data'!$A:$A,'divisional &amp; regional overview'!$B$106)</f>
        <v>0</v>
      </c>
      <c r="H123" s="94">
        <f>SUMIFS('caseload data'!J:J,'caseload data'!$D:$D,"PSO",'caseload data'!$A:$A,'divisional &amp; regional overview'!$B$106)</f>
        <v>0</v>
      </c>
      <c r="I123" s="94">
        <f>SUMIFS('caseload data'!K:K,'caseload data'!$D:$D,"PSO",'caseload data'!$A:$A,'divisional &amp; regional overview'!$B$106)</f>
        <v>0</v>
      </c>
      <c r="J123" s="94">
        <f>SUMIFS('caseload data'!L:L,'caseload data'!$D:$D,"PSO",'caseload data'!$A:$A,'divisional &amp; regional overview'!$B$106)</f>
        <v>0</v>
      </c>
      <c r="K123" s="94">
        <f>SUMIFS('caseload data'!M:M,'caseload data'!$D:$D,"PSO",'caseload data'!$A:$A,'divisional &amp; regional overview'!$B$106)</f>
        <v>0</v>
      </c>
      <c r="L123" s="94">
        <f>SUMIFS('caseload data'!N:N,'caseload data'!$D:$D,"PSO",'caseload data'!$A:$A,'divisional &amp; regional overview'!$B$106)</f>
        <v>0</v>
      </c>
      <c r="M123" s="94">
        <f>SUMIFS('caseload data'!O:O,'caseload data'!$D:$D,"PSO",'caseload data'!$A:$A,'divisional &amp; regional overview'!$B$106)</f>
        <v>0</v>
      </c>
      <c r="N123" s="94">
        <f>SUMIFS('caseload data'!P:P,'caseload data'!$D:$D,"PSO",'caseload data'!$A:$A,'divisional &amp; regional overview'!$B$106)</f>
        <v>0</v>
      </c>
      <c r="O123" s="94">
        <f>SUMIFS('caseload data'!Q:Q,'caseload data'!$D:$D,"PSO",'caseload data'!$A:$A,'divisional &amp; regional overview'!$B$106)</f>
        <v>0</v>
      </c>
      <c r="P123" s="94">
        <f>SUMIFS('caseload data'!R:R,'caseload data'!$D:$D,"PSO",'caseload data'!$A:$A,'divisional &amp; regional overview'!$B$106)</f>
        <v>0</v>
      </c>
      <c r="Q123" s="94">
        <f>SUMIFS('caseload data'!S:S,'caseload data'!$D:$D,"PSO",'caseload data'!$A:$A,'divisional &amp; regional overview'!$B$106)</f>
        <v>0</v>
      </c>
      <c r="R123" s="94">
        <f>SUMIFS('caseload data'!T:T,'caseload data'!$D:$D,"PSO",'caseload data'!$A:$A,'divisional &amp; regional overview'!$B$106)</f>
        <v>0</v>
      </c>
      <c r="U123" s="97" t="s">
        <v>1002</v>
      </c>
      <c r="V123" s="167" t="e">
        <f>C$123/SUM(C$122:C$125)</f>
        <v>#DIV/0!</v>
      </c>
      <c r="W123" s="167" t="e">
        <f>D$123/SUM(D$122:D$125)</f>
        <v>#DIV/0!</v>
      </c>
      <c r="X123" s="167" t="e">
        <f t="shared" ref="X123:AK123" si="17">E$123/SUM(E$122:E$125)</f>
        <v>#DIV/0!</v>
      </c>
      <c r="Y123" s="167" t="e">
        <f t="shared" si="17"/>
        <v>#DIV/0!</v>
      </c>
      <c r="Z123" s="167" t="e">
        <f t="shared" si="17"/>
        <v>#DIV/0!</v>
      </c>
      <c r="AA123" s="167" t="e">
        <f t="shared" si="17"/>
        <v>#DIV/0!</v>
      </c>
      <c r="AB123" s="167" t="e">
        <f t="shared" si="17"/>
        <v>#DIV/0!</v>
      </c>
      <c r="AC123" s="167" t="e">
        <f t="shared" si="17"/>
        <v>#DIV/0!</v>
      </c>
      <c r="AD123" s="167" t="e">
        <f t="shared" si="17"/>
        <v>#DIV/0!</v>
      </c>
      <c r="AE123" s="167" t="e">
        <f t="shared" si="17"/>
        <v>#DIV/0!</v>
      </c>
      <c r="AF123" s="167" t="e">
        <f t="shared" si="17"/>
        <v>#DIV/0!</v>
      </c>
      <c r="AG123" s="167" t="e">
        <f t="shared" si="17"/>
        <v>#DIV/0!</v>
      </c>
      <c r="AH123" s="167" t="e">
        <f t="shared" si="17"/>
        <v>#DIV/0!</v>
      </c>
      <c r="AI123" s="167" t="e">
        <f t="shared" si="17"/>
        <v>#DIV/0!</v>
      </c>
      <c r="AJ123" s="167" t="e">
        <f t="shared" si="17"/>
        <v>#DIV/0!</v>
      </c>
      <c r="AK123" s="167" t="e">
        <f t="shared" si="17"/>
        <v>#DIV/0!</v>
      </c>
    </row>
    <row r="124" spans="2:37" x14ac:dyDescent="0.15">
      <c r="B124" s="97" t="s">
        <v>1003</v>
      </c>
      <c r="C124" s="94">
        <f>SUMIFS('caseload data'!E:E,'caseload data'!$D:$D,"TPO",'caseload data'!$A:$A,'divisional &amp; regional overview'!$B$106)</f>
        <v>0</v>
      </c>
      <c r="D124" s="94">
        <f>SUMIFS('caseload data'!F:F,'caseload data'!$D:$D,"TPO",'caseload data'!$A:$A,'divisional &amp; regional overview'!$B$106)</f>
        <v>0</v>
      </c>
      <c r="E124" s="94">
        <f>SUMIFS('caseload data'!G:G,'caseload data'!$D:$D,"TPO",'caseload data'!$A:$A,'divisional &amp; regional overview'!$B$106)</f>
        <v>0</v>
      </c>
      <c r="F124" s="94">
        <f>SUMIFS('caseload data'!H:H,'caseload data'!$D:$D,"TPO",'caseload data'!$A:$A,'divisional &amp; regional overview'!$B$106)</f>
        <v>0</v>
      </c>
      <c r="G124" s="94">
        <f>SUMIFS('caseload data'!I:I,'caseload data'!$D:$D,"TPO",'caseload data'!$A:$A,'divisional &amp; regional overview'!$B$106)</f>
        <v>0</v>
      </c>
      <c r="H124" s="94">
        <f>SUMIFS('caseload data'!J:J,'caseload data'!$D:$D,"TPO",'caseload data'!$A:$A,'divisional &amp; regional overview'!$B$106)</f>
        <v>0</v>
      </c>
      <c r="I124" s="94">
        <f>SUMIFS('caseload data'!K:K,'caseload data'!$D:$D,"TPO",'caseload data'!$A:$A,'divisional &amp; regional overview'!$B$106)</f>
        <v>0</v>
      </c>
      <c r="J124" s="94">
        <f>SUMIFS('caseload data'!L:L,'caseload data'!$D:$D,"TPO",'caseload data'!$A:$A,'divisional &amp; regional overview'!$B$106)</f>
        <v>0</v>
      </c>
      <c r="K124" s="94">
        <f>SUMIFS('caseload data'!M:M,'caseload data'!$D:$D,"TPO",'caseload data'!$A:$A,'divisional &amp; regional overview'!$B$106)</f>
        <v>0</v>
      </c>
      <c r="L124" s="94">
        <f>SUMIFS('caseload data'!N:N,'caseload data'!$D:$D,"TPO",'caseload data'!$A:$A,'divisional &amp; regional overview'!$B$106)</f>
        <v>0</v>
      </c>
      <c r="M124" s="94">
        <f>SUMIFS('caseload data'!O:O,'caseload data'!$D:$D,"TPO",'caseload data'!$A:$A,'divisional &amp; regional overview'!$B$106)</f>
        <v>0</v>
      </c>
      <c r="N124" s="94">
        <f>SUMIFS('caseload data'!P:P,'caseload data'!$D:$D,"TPO",'caseload data'!$A:$A,'divisional &amp; regional overview'!$B$106)</f>
        <v>0</v>
      </c>
      <c r="O124" s="94">
        <f>SUMIFS('caseload data'!Q:Q,'caseload data'!$D:$D,"TPO",'caseload data'!$A:$A,'divisional &amp; regional overview'!$B$106)</f>
        <v>0</v>
      </c>
      <c r="P124" s="94">
        <f>SUMIFS('caseload data'!R:R,'caseload data'!$D:$D,"TPO",'caseload data'!$A:$A,'divisional &amp; regional overview'!$B$106)</f>
        <v>0</v>
      </c>
      <c r="Q124" s="94">
        <f>SUMIFS('caseload data'!S:S,'caseload data'!$D:$D,"TPO",'caseload data'!$A:$A,'divisional &amp; regional overview'!$B$106)</f>
        <v>0</v>
      </c>
      <c r="R124" s="94">
        <f>SUMIFS('caseload data'!T:T,'caseload data'!$D:$D,"TPO",'caseload data'!$A:$A,'divisional &amp; regional overview'!$B$106)</f>
        <v>0</v>
      </c>
      <c r="U124" s="97" t="s">
        <v>1003</v>
      </c>
      <c r="V124" s="167" t="e">
        <f>C$124/SUM(C$122:C$125)</f>
        <v>#DIV/0!</v>
      </c>
      <c r="W124" s="167" t="e">
        <f>D$124/SUM(D$122:D$125)</f>
        <v>#DIV/0!</v>
      </c>
      <c r="X124" s="167" t="e">
        <f t="shared" ref="X124:AK124" si="18">E$124/SUM(E$122:E$125)</f>
        <v>#DIV/0!</v>
      </c>
      <c r="Y124" s="167" t="e">
        <f t="shared" si="18"/>
        <v>#DIV/0!</v>
      </c>
      <c r="Z124" s="167" t="e">
        <f t="shared" si="18"/>
        <v>#DIV/0!</v>
      </c>
      <c r="AA124" s="167" t="e">
        <f t="shared" si="18"/>
        <v>#DIV/0!</v>
      </c>
      <c r="AB124" s="167" t="e">
        <f t="shared" si="18"/>
        <v>#DIV/0!</v>
      </c>
      <c r="AC124" s="167" t="e">
        <f t="shared" si="18"/>
        <v>#DIV/0!</v>
      </c>
      <c r="AD124" s="167" t="e">
        <f t="shared" si="18"/>
        <v>#DIV/0!</v>
      </c>
      <c r="AE124" s="167" t="e">
        <f t="shared" si="18"/>
        <v>#DIV/0!</v>
      </c>
      <c r="AF124" s="167" t="e">
        <f t="shared" si="18"/>
        <v>#DIV/0!</v>
      </c>
      <c r="AG124" s="167" t="e">
        <f t="shared" si="18"/>
        <v>#DIV/0!</v>
      </c>
      <c r="AH124" s="167" t="e">
        <f t="shared" si="18"/>
        <v>#DIV/0!</v>
      </c>
      <c r="AI124" s="167" t="e">
        <f t="shared" si="18"/>
        <v>#DIV/0!</v>
      </c>
      <c r="AJ124" s="167" t="e">
        <f t="shared" si="18"/>
        <v>#DIV/0!</v>
      </c>
      <c r="AK124" s="167" t="e">
        <f t="shared" si="18"/>
        <v>#DIV/0!</v>
      </c>
    </row>
    <row r="125" spans="2:37" x14ac:dyDescent="0.15">
      <c r="B125" s="98" t="s">
        <v>1004</v>
      </c>
      <c r="C125" s="94">
        <f>SUMIFS('caseload data'!E:E,'caseload data'!$D:$D,"SPO",'caseload data'!$A:$A,$B$99)</f>
        <v>0</v>
      </c>
      <c r="D125" s="94">
        <f>SUMIFS('caseload data'!F:F,'caseload data'!$D:$D,"SPO",'caseload data'!$A:$A,$B$99)</f>
        <v>0</v>
      </c>
      <c r="E125" s="94">
        <f>SUMIFS('caseload data'!G:G,'caseload data'!$D:$D,"SPO",'caseload data'!$A:$A,$B$99)</f>
        <v>0</v>
      </c>
      <c r="F125" s="94">
        <f>SUMIFS('caseload data'!H:H,'caseload data'!$D:$D,"SPO",'caseload data'!$A:$A,$B$99)</f>
        <v>0</v>
      </c>
      <c r="G125" s="94">
        <f>SUMIFS('caseload data'!I:I,'caseload data'!$D:$D,"SPO",'caseload data'!$A:$A,$B$99)</f>
        <v>0</v>
      </c>
      <c r="H125" s="94">
        <f>SUMIFS('caseload data'!J:J,'caseload data'!$D:$D,"SPO",'caseload data'!$A:$A,$B$99)</f>
        <v>0</v>
      </c>
      <c r="I125" s="94">
        <f>SUMIFS('caseload data'!K:K,'caseload data'!$D:$D,"SPO",'caseload data'!$A:$A,$B$99)</f>
        <v>0</v>
      </c>
      <c r="J125" s="94">
        <f>SUMIFS('caseload data'!L:L,'caseload data'!$D:$D,"SPO",'caseload data'!$A:$A,$B$99)</f>
        <v>0</v>
      </c>
      <c r="K125" s="94">
        <f>SUMIFS('caseload data'!M:M,'caseload data'!$D:$D,"SPO",'caseload data'!$A:$A,$B$99)</f>
        <v>0</v>
      </c>
      <c r="L125" s="94">
        <f>SUMIFS('caseload data'!N:N,'caseload data'!$D:$D,"SPO",'caseload data'!$A:$A,$B$99)</f>
        <v>0</v>
      </c>
      <c r="M125" s="94">
        <f>SUMIFS('caseload data'!O:O,'caseload data'!$D:$D,"SPO",'caseload data'!$A:$A,$B$99)</f>
        <v>0</v>
      </c>
      <c r="N125" s="94">
        <f>SUMIFS('caseload data'!P:P,'caseload data'!$D:$D,"SPO",'caseload data'!$A:$A,$B$99)</f>
        <v>0</v>
      </c>
      <c r="O125" s="94">
        <f>SUMIFS('caseload data'!Q:Q,'caseload data'!$D:$D,"SPO",'caseload data'!$A:$A,$B$99)</f>
        <v>0</v>
      </c>
      <c r="P125" s="94">
        <f>SUMIFS('caseload data'!R:R,'caseload data'!$D:$D,"SPO",'caseload data'!$A:$A,$B$99)</f>
        <v>0</v>
      </c>
      <c r="Q125" s="94">
        <f>SUMIFS('caseload data'!S:S,'caseload data'!$D:$D,"SPO",'caseload data'!$A:$A,$B$99)</f>
        <v>0</v>
      </c>
      <c r="R125" s="94">
        <f>SUMIFS('caseload data'!T:T,'caseload data'!$D:$D,"SPO",'caseload data'!$A:$A,$B$99)</f>
        <v>0</v>
      </c>
      <c r="U125" s="98" t="s">
        <v>1004</v>
      </c>
      <c r="V125" s="167" t="e">
        <f>C$125/SUM(C$122:C$125)</f>
        <v>#DIV/0!</v>
      </c>
      <c r="W125" s="167" t="e">
        <f>D$125/SUM(D$122:D$125)</f>
        <v>#DIV/0!</v>
      </c>
      <c r="X125" s="167" t="e">
        <f t="shared" ref="X125:AK125" si="19">E$125/SUM(E$122:E$125)</f>
        <v>#DIV/0!</v>
      </c>
      <c r="Y125" s="167" t="e">
        <f t="shared" si="19"/>
        <v>#DIV/0!</v>
      </c>
      <c r="Z125" s="167" t="e">
        <f t="shared" si="19"/>
        <v>#DIV/0!</v>
      </c>
      <c r="AA125" s="167" t="e">
        <f t="shared" si="19"/>
        <v>#DIV/0!</v>
      </c>
      <c r="AB125" s="167" t="e">
        <f t="shared" si="19"/>
        <v>#DIV/0!</v>
      </c>
      <c r="AC125" s="167" t="e">
        <f t="shared" si="19"/>
        <v>#DIV/0!</v>
      </c>
      <c r="AD125" s="167" t="e">
        <f t="shared" si="19"/>
        <v>#DIV/0!</v>
      </c>
      <c r="AE125" s="167" t="e">
        <f t="shared" si="19"/>
        <v>#DIV/0!</v>
      </c>
      <c r="AF125" s="167" t="e">
        <f t="shared" si="19"/>
        <v>#DIV/0!</v>
      </c>
      <c r="AG125" s="167" t="e">
        <f t="shared" si="19"/>
        <v>#DIV/0!</v>
      </c>
      <c r="AH125" s="167" t="e">
        <f t="shared" si="19"/>
        <v>#DIV/0!</v>
      </c>
      <c r="AI125" s="167" t="e">
        <f t="shared" si="19"/>
        <v>#DIV/0!</v>
      </c>
      <c r="AJ125" s="167" t="e">
        <f t="shared" si="19"/>
        <v>#DIV/0!</v>
      </c>
      <c r="AK125" s="167" t="e">
        <f t="shared" si="19"/>
        <v>#DIV/0!</v>
      </c>
    </row>
  </sheetData>
  <sortState xmlns:xlrd2="http://schemas.microsoft.com/office/spreadsheetml/2017/richdata2" ref="B34:D82">
    <sortCondition ref="B34:B82"/>
  </sortState>
  <mergeCells count="19">
    <mergeCell ref="C120:R120"/>
    <mergeCell ref="C113:R113"/>
    <mergeCell ref="C106:R106"/>
    <mergeCell ref="V113:AK113"/>
    <mergeCell ref="V120:AK120"/>
    <mergeCell ref="B19:H19"/>
    <mergeCell ref="B13:M13"/>
    <mergeCell ref="A1:M1"/>
    <mergeCell ref="V99:AK99"/>
    <mergeCell ref="V106:AK106"/>
    <mergeCell ref="F37:F40"/>
    <mergeCell ref="G37:G40"/>
    <mergeCell ref="B26:K26"/>
    <mergeCell ref="B32:D32"/>
    <mergeCell ref="F32:G32"/>
    <mergeCell ref="A2:L2"/>
    <mergeCell ref="C85:S85"/>
    <mergeCell ref="C92:R92"/>
    <mergeCell ref="C99:R99"/>
  </mergeCells>
  <conditionalFormatting sqref="C9:F10">
    <cfRule type="cellIs" dxfId="6335" priority="351" operator="lessThan">
      <formula>0.9</formula>
    </cfRule>
    <cfRule type="cellIs" dxfId="6334" priority="352" operator="greaterThanOrEqual">
      <formula>1.1</formula>
    </cfRule>
  </conditionalFormatting>
  <conditionalFormatting sqref="C102:F103 C116:F117 C123:F124 C109:F110">
    <cfRule type="cellIs" dxfId="6333" priority="337" operator="equal">
      <formula>0</formula>
    </cfRule>
    <cfRule type="cellIs" dxfId="6332" priority="338" operator="notEqual">
      <formula>0</formula>
    </cfRule>
  </conditionalFormatting>
  <conditionalFormatting sqref="G102:G103">
    <cfRule type="cellIs" dxfId="6331" priority="255" operator="equal">
      <formula>0</formula>
    </cfRule>
    <cfRule type="cellIs" dxfId="6330" priority="256" operator="notEqual">
      <formula>0</formula>
    </cfRule>
  </conditionalFormatting>
  <conditionalFormatting sqref="H102:H103">
    <cfRule type="cellIs" dxfId="6329" priority="253" operator="equal">
      <formula>0</formula>
    </cfRule>
    <cfRule type="cellIs" dxfId="6328" priority="254" operator="notEqual">
      <formula>0</formula>
    </cfRule>
  </conditionalFormatting>
  <conditionalFormatting sqref="I102:I103">
    <cfRule type="cellIs" dxfId="6327" priority="251" operator="equal">
      <formula>0</formula>
    </cfRule>
    <cfRule type="cellIs" dxfId="6326" priority="252" operator="notEqual">
      <formula>0</formula>
    </cfRule>
  </conditionalFormatting>
  <conditionalFormatting sqref="J102:J103">
    <cfRule type="cellIs" dxfId="6325" priority="249" operator="equal">
      <formula>0</formula>
    </cfRule>
    <cfRule type="cellIs" dxfId="6324" priority="250" operator="notEqual">
      <formula>0</formula>
    </cfRule>
  </conditionalFormatting>
  <conditionalFormatting sqref="O101">
    <cfRule type="cellIs" dxfId="6323" priority="247" operator="equal">
      <formula>0</formula>
    </cfRule>
    <cfRule type="cellIs" dxfId="6322" priority="248" operator="notEqual">
      <formula>0</formula>
    </cfRule>
  </conditionalFormatting>
  <conditionalFormatting sqref="O104">
    <cfRule type="cellIs" dxfId="6321" priority="245" operator="equal">
      <formula>0</formula>
    </cfRule>
    <cfRule type="cellIs" dxfId="6320" priority="246" operator="notEqual">
      <formula>0</formula>
    </cfRule>
  </conditionalFormatting>
  <conditionalFormatting sqref="P101">
    <cfRule type="cellIs" dxfId="6319" priority="243" operator="equal">
      <formula>0</formula>
    </cfRule>
    <cfRule type="cellIs" dxfId="6318" priority="244" operator="notEqual">
      <formula>0</formula>
    </cfRule>
  </conditionalFormatting>
  <conditionalFormatting sqref="P104">
    <cfRule type="cellIs" dxfId="6317" priority="241" operator="equal">
      <formula>0</formula>
    </cfRule>
    <cfRule type="cellIs" dxfId="6316" priority="242" operator="notEqual">
      <formula>0</formula>
    </cfRule>
  </conditionalFormatting>
  <conditionalFormatting sqref="Q101">
    <cfRule type="cellIs" dxfId="6315" priority="239" operator="equal">
      <formula>0</formula>
    </cfRule>
    <cfRule type="cellIs" dxfId="6314" priority="240" operator="notEqual">
      <formula>0</formula>
    </cfRule>
  </conditionalFormatting>
  <conditionalFormatting sqref="Q104">
    <cfRule type="cellIs" dxfId="6313" priority="237" operator="equal">
      <formula>0</formula>
    </cfRule>
    <cfRule type="cellIs" dxfId="6312" priority="238" operator="notEqual">
      <formula>0</formula>
    </cfRule>
  </conditionalFormatting>
  <conditionalFormatting sqref="R101">
    <cfRule type="cellIs" dxfId="6311" priority="235" operator="equal">
      <formula>0</formula>
    </cfRule>
    <cfRule type="cellIs" dxfId="6310" priority="236" operator="notEqual">
      <formula>0</formula>
    </cfRule>
  </conditionalFormatting>
  <conditionalFormatting sqref="R104">
    <cfRule type="cellIs" dxfId="6309" priority="233" operator="equal">
      <formula>0</formula>
    </cfRule>
    <cfRule type="cellIs" dxfId="6308" priority="234" operator="notEqual">
      <formula>0</formula>
    </cfRule>
  </conditionalFormatting>
  <conditionalFormatting sqref="G116:G117">
    <cfRule type="cellIs" dxfId="6307" priority="203" operator="equal">
      <formula>0</formula>
    </cfRule>
    <cfRule type="cellIs" dxfId="6306" priority="204" operator="notEqual">
      <formula>0</formula>
    </cfRule>
  </conditionalFormatting>
  <conditionalFormatting sqref="H116:H117">
    <cfRule type="cellIs" dxfId="6305" priority="201" operator="equal">
      <formula>0</formula>
    </cfRule>
    <cfRule type="cellIs" dxfId="6304" priority="202" operator="notEqual">
      <formula>0</formula>
    </cfRule>
  </conditionalFormatting>
  <conditionalFormatting sqref="I116:I117">
    <cfRule type="cellIs" dxfId="6303" priority="199" operator="equal">
      <formula>0</formula>
    </cfRule>
    <cfRule type="cellIs" dxfId="6302" priority="200" operator="notEqual">
      <formula>0</formula>
    </cfRule>
  </conditionalFormatting>
  <conditionalFormatting sqref="J116:J117">
    <cfRule type="cellIs" dxfId="6301" priority="197" operator="equal">
      <formula>0</formula>
    </cfRule>
    <cfRule type="cellIs" dxfId="6300" priority="198" operator="notEqual">
      <formula>0</formula>
    </cfRule>
  </conditionalFormatting>
  <conditionalFormatting sqref="O115">
    <cfRule type="cellIs" dxfId="6299" priority="195" operator="equal">
      <formula>0</formula>
    </cfRule>
    <cfRule type="cellIs" dxfId="6298" priority="196" operator="notEqual">
      <formula>0</formula>
    </cfRule>
  </conditionalFormatting>
  <conditionalFormatting sqref="O118">
    <cfRule type="cellIs" dxfId="6297" priority="193" operator="equal">
      <formula>0</formula>
    </cfRule>
    <cfRule type="cellIs" dxfId="6296" priority="194" operator="notEqual">
      <formula>0</formula>
    </cfRule>
  </conditionalFormatting>
  <conditionalFormatting sqref="P115">
    <cfRule type="cellIs" dxfId="6295" priority="191" operator="equal">
      <formula>0</formula>
    </cfRule>
    <cfRule type="cellIs" dxfId="6294" priority="192" operator="notEqual">
      <formula>0</formula>
    </cfRule>
  </conditionalFormatting>
  <conditionalFormatting sqref="P118">
    <cfRule type="cellIs" dxfId="6293" priority="189" operator="equal">
      <formula>0</formula>
    </cfRule>
    <cfRule type="cellIs" dxfId="6292" priority="190" operator="notEqual">
      <formula>0</formula>
    </cfRule>
  </conditionalFormatting>
  <conditionalFormatting sqref="Q115">
    <cfRule type="cellIs" dxfId="6291" priority="187" operator="equal">
      <formula>0</formula>
    </cfRule>
    <cfRule type="cellIs" dxfId="6290" priority="188" operator="notEqual">
      <formula>0</formula>
    </cfRule>
  </conditionalFormatting>
  <conditionalFormatting sqref="Q118">
    <cfRule type="cellIs" dxfId="6289" priority="185" operator="equal">
      <formula>0</formula>
    </cfRule>
    <cfRule type="cellIs" dxfId="6288" priority="186" operator="notEqual">
      <formula>0</formula>
    </cfRule>
  </conditionalFormatting>
  <conditionalFormatting sqref="R115">
    <cfRule type="cellIs" dxfId="6287" priority="183" operator="equal">
      <formula>0</formula>
    </cfRule>
    <cfRule type="cellIs" dxfId="6286" priority="184" operator="notEqual">
      <formula>0</formula>
    </cfRule>
  </conditionalFormatting>
  <conditionalFormatting sqref="R118">
    <cfRule type="cellIs" dxfId="6285" priority="181" operator="equal">
      <formula>0</formula>
    </cfRule>
    <cfRule type="cellIs" dxfId="6284" priority="182" operator="notEqual">
      <formula>0</formula>
    </cfRule>
  </conditionalFormatting>
  <conditionalFormatting sqref="G123:G124">
    <cfRule type="cellIs" dxfId="6283" priority="177" operator="equal">
      <formula>0</formula>
    </cfRule>
    <cfRule type="cellIs" dxfId="6282" priority="178" operator="notEqual">
      <formula>0</formula>
    </cfRule>
  </conditionalFormatting>
  <conditionalFormatting sqref="H123:H124">
    <cfRule type="cellIs" dxfId="6281" priority="175" operator="equal">
      <formula>0</formula>
    </cfRule>
    <cfRule type="cellIs" dxfId="6280" priority="176" operator="notEqual">
      <formula>0</formula>
    </cfRule>
  </conditionalFormatting>
  <conditionalFormatting sqref="I123:I124">
    <cfRule type="cellIs" dxfId="6279" priority="173" operator="equal">
      <formula>0</formula>
    </cfRule>
    <cfRule type="cellIs" dxfId="6278" priority="174" operator="notEqual">
      <formula>0</formula>
    </cfRule>
  </conditionalFormatting>
  <conditionalFormatting sqref="J123:J124">
    <cfRule type="cellIs" dxfId="6277" priority="171" operator="equal">
      <formula>0</formula>
    </cfRule>
    <cfRule type="cellIs" dxfId="6276" priority="172" operator="notEqual">
      <formula>0</formula>
    </cfRule>
  </conditionalFormatting>
  <conditionalFormatting sqref="O122">
    <cfRule type="cellIs" dxfId="6275" priority="169" operator="equal">
      <formula>0</formula>
    </cfRule>
    <cfRule type="cellIs" dxfId="6274" priority="170" operator="notEqual">
      <formula>0</formula>
    </cfRule>
  </conditionalFormatting>
  <conditionalFormatting sqref="O125">
    <cfRule type="cellIs" dxfId="6273" priority="167" operator="equal">
      <formula>0</formula>
    </cfRule>
    <cfRule type="cellIs" dxfId="6272" priority="168" operator="notEqual">
      <formula>0</formula>
    </cfRule>
  </conditionalFormatting>
  <conditionalFormatting sqref="P122">
    <cfRule type="cellIs" dxfId="6271" priority="165" operator="equal">
      <formula>0</formula>
    </cfRule>
    <cfRule type="cellIs" dxfId="6270" priority="166" operator="notEqual">
      <formula>0</formula>
    </cfRule>
  </conditionalFormatting>
  <conditionalFormatting sqref="P125">
    <cfRule type="cellIs" dxfId="6269" priority="163" operator="equal">
      <formula>0</formula>
    </cfRule>
    <cfRule type="cellIs" dxfId="6268" priority="164" operator="notEqual">
      <formula>0</formula>
    </cfRule>
  </conditionalFormatting>
  <conditionalFormatting sqref="Q122">
    <cfRule type="cellIs" dxfId="6267" priority="161" operator="equal">
      <formula>0</formula>
    </cfRule>
    <cfRule type="cellIs" dxfId="6266" priority="162" operator="notEqual">
      <formula>0</formula>
    </cfRule>
  </conditionalFormatting>
  <conditionalFormatting sqref="Q125">
    <cfRule type="cellIs" dxfId="6265" priority="159" operator="equal">
      <formula>0</formula>
    </cfRule>
    <cfRule type="cellIs" dxfId="6264" priority="160" operator="notEqual">
      <formula>0</formula>
    </cfRule>
  </conditionalFormatting>
  <conditionalFormatting sqref="R122">
    <cfRule type="cellIs" dxfId="6263" priority="157" operator="equal">
      <formula>0</formula>
    </cfRule>
    <cfRule type="cellIs" dxfId="6262" priority="158" operator="notEqual">
      <formula>0</formula>
    </cfRule>
  </conditionalFormatting>
  <conditionalFormatting sqref="R125">
    <cfRule type="cellIs" dxfId="6261" priority="155" operator="equal">
      <formula>0</formula>
    </cfRule>
    <cfRule type="cellIs" dxfId="6260" priority="156" operator="notEqual">
      <formula>0</formula>
    </cfRule>
  </conditionalFormatting>
  <conditionalFormatting sqref="V102:V103">
    <cfRule type="cellIs" dxfId="6259" priority="153" operator="equal">
      <formula>0</formula>
    </cfRule>
    <cfRule type="cellIs" dxfId="6258" priority="154" operator="notEqual">
      <formula>0</formula>
    </cfRule>
  </conditionalFormatting>
  <conditionalFormatting sqref="W102:W103">
    <cfRule type="cellIs" dxfId="6257" priority="151" operator="equal">
      <formula>0</formula>
    </cfRule>
    <cfRule type="cellIs" dxfId="6256" priority="152" operator="notEqual">
      <formula>0</formula>
    </cfRule>
  </conditionalFormatting>
  <conditionalFormatting sqref="X102:X103">
    <cfRule type="cellIs" dxfId="6255" priority="149" operator="equal">
      <formula>0</formula>
    </cfRule>
    <cfRule type="cellIs" dxfId="6254" priority="150" operator="notEqual">
      <formula>0</formula>
    </cfRule>
  </conditionalFormatting>
  <conditionalFormatting sqref="Y102:Y103">
    <cfRule type="cellIs" dxfId="6253" priority="147" operator="equal">
      <formula>0</formula>
    </cfRule>
    <cfRule type="cellIs" dxfId="6252" priority="148" operator="notEqual">
      <formula>0</formula>
    </cfRule>
  </conditionalFormatting>
  <conditionalFormatting sqref="Z102:Z103">
    <cfRule type="cellIs" dxfId="6251" priority="145" operator="equal">
      <formula>0</formula>
    </cfRule>
    <cfRule type="cellIs" dxfId="6250" priority="146" operator="notEqual">
      <formula>0</formula>
    </cfRule>
  </conditionalFormatting>
  <conditionalFormatting sqref="AA102:AA103">
    <cfRule type="cellIs" dxfId="6249" priority="143" operator="equal">
      <formula>0</formula>
    </cfRule>
    <cfRule type="cellIs" dxfId="6248" priority="144" operator="notEqual">
      <formula>0</formula>
    </cfRule>
  </conditionalFormatting>
  <conditionalFormatting sqref="AB102:AB103">
    <cfRule type="cellIs" dxfId="6247" priority="141" operator="equal">
      <formula>0</formula>
    </cfRule>
    <cfRule type="cellIs" dxfId="6246" priority="142" operator="notEqual">
      <formula>0</formula>
    </cfRule>
  </conditionalFormatting>
  <conditionalFormatting sqref="AC102:AC103">
    <cfRule type="cellIs" dxfId="6245" priority="139" operator="equal">
      <formula>0</formula>
    </cfRule>
    <cfRule type="cellIs" dxfId="6244" priority="140" operator="notEqual">
      <formula>0</formula>
    </cfRule>
  </conditionalFormatting>
  <conditionalFormatting sqref="AH101">
    <cfRule type="cellIs" dxfId="6243" priority="137" operator="equal">
      <formula>0</formula>
    </cfRule>
    <cfRule type="cellIs" dxfId="6242" priority="138" operator="notEqual">
      <formula>0</formula>
    </cfRule>
  </conditionalFormatting>
  <conditionalFormatting sqref="AH104">
    <cfRule type="cellIs" dxfId="6241" priority="135" operator="equal">
      <formula>0</formula>
    </cfRule>
    <cfRule type="cellIs" dxfId="6240" priority="136" operator="notEqual">
      <formula>0</formula>
    </cfRule>
  </conditionalFormatting>
  <conditionalFormatting sqref="AI101">
    <cfRule type="cellIs" dxfId="6239" priority="133" operator="equal">
      <formula>0</formula>
    </cfRule>
    <cfRule type="cellIs" dxfId="6238" priority="134" operator="notEqual">
      <formula>0</formula>
    </cfRule>
  </conditionalFormatting>
  <conditionalFormatting sqref="AI104">
    <cfRule type="cellIs" dxfId="6237" priority="131" operator="equal">
      <formula>0</formula>
    </cfRule>
    <cfRule type="cellIs" dxfId="6236" priority="132" operator="notEqual">
      <formula>0</formula>
    </cfRule>
  </conditionalFormatting>
  <conditionalFormatting sqref="AJ101">
    <cfRule type="cellIs" dxfId="6235" priority="129" operator="equal">
      <formula>0</formula>
    </cfRule>
    <cfRule type="cellIs" dxfId="6234" priority="130" operator="notEqual">
      <formula>0</formula>
    </cfRule>
  </conditionalFormatting>
  <conditionalFormatting sqref="AJ104">
    <cfRule type="cellIs" dxfId="6233" priority="127" operator="equal">
      <formula>0</formula>
    </cfRule>
    <cfRule type="cellIs" dxfId="6232" priority="128" operator="notEqual">
      <formula>0</formula>
    </cfRule>
  </conditionalFormatting>
  <conditionalFormatting sqref="AK101">
    <cfRule type="cellIs" dxfId="6231" priority="125" operator="equal">
      <formula>0</formula>
    </cfRule>
    <cfRule type="cellIs" dxfId="6230" priority="126" operator="notEqual">
      <formula>0</formula>
    </cfRule>
  </conditionalFormatting>
  <conditionalFormatting sqref="AK104">
    <cfRule type="cellIs" dxfId="6229" priority="123" operator="equal">
      <formula>0</formula>
    </cfRule>
    <cfRule type="cellIs" dxfId="6228" priority="124" operator="notEqual">
      <formula>0</formula>
    </cfRule>
  </conditionalFormatting>
  <conditionalFormatting sqref="V109:V110">
    <cfRule type="cellIs" dxfId="6227" priority="121" operator="equal">
      <formula>0</formula>
    </cfRule>
    <cfRule type="cellIs" dxfId="6226" priority="122" operator="notEqual">
      <formula>0</formula>
    </cfRule>
  </conditionalFormatting>
  <conditionalFormatting sqref="W109:W110">
    <cfRule type="cellIs" dxfId="6225" priority="119" operator="equal">
      <formula>0</formula>
    </cfRule>
    <cfRule type="cellIs" dxfId="6224" priority="120" operator="notEqual">
      <formula>0</formula>
    </cfRule>
  </conditionalFormatting>
  <conditionalFormatting sqref="X109:X110">
    <cfRule type="cellIs" dxfId="6223" priority="117" operator="equal">
      <formula>0</formula>
    </cfRule>
    <cfRule type="cellIs" dxfId="6222" priority="118" operator="notEqual">
      <formula>0</formula>
    </cfRule>
  </conditionalFormatting>
  <conditionalFormatting sqref="Y109:Y110">
    <cfRule type="cellIs" dxfId="6221" priority="115" operator="equal">
      <formula>0</formula>
    </cfRule>
    <cfRule type="cellIs" dxfId="6220" priority="116" operator="notEqual">
      <formula>0</formula>
    </cfRule>
  </conditionalFormatting>
  <conditionalFormatting sqref="Z109:Z110">
    <cfRule type="cellIs" dxfId="6219" priority="113" operator="equal">
      <formula>0</formula>
    </cfRule>
    <cfRule type="cellIs" dxfId="6218" priority="114" operator="notEqual">
      <formula>0</formula>
    </cfRule>
  </conditionalFormatting>
  <conditionalFormatting sqref="AA109:AA110">
    <cfRule type="cellIs" dxfId="6217" priority="111" operator="equal">
      <formula>0</formula>
    </cfRule>
    <cfRule type="cellIs" dxfId="6216" priority="112" operator="notEqual">
      <formula>0</formula>
    </cfRule>
  </conditionalFormatting>
  <conditionalFormatting sqref="AB109:AB110">
    <cfRule type="cellIs" dxfId="6215" priority="109" operator="equal">
      <formula>0</formula>
    </cfRule>
    <cfRule type="cellIs" dxfId="6214" priority="110" operator="notEqual">
      <formula>0</formula>
    </cfRule>
  </conditionalFormatting>
  <conditionalFormatting sqref="AC109:AC110">
    <cfRule type="cellIs" dxfId="6213" priority="107" operator="equal">
      <formula>0</formula>
    </cfRule>
    <cfRule type="cellIs" dxfId="6212" priority="108" operator="notEqual">
      <formula>0</formula>
    </cfRule>
  </conditionalFormatting>
  <conditionalFormatting sqref="AH108">
    <cfRule type="cellIs" dxfId="6211" priority="105" operator="equal">
      <formula>0</formula>
    </cfRule>
    <cfRule type="cellIs" dxfId="6210" priority="106" operator="notEqual">
      <formula>0</formula>
    </cfRule>
  </conditionalFormatting>
  <conditionalFormatting sqref="AH111">
    <cfRule type="cellIs" dxfId="6209" priority="103" operator="equal">
      <formula>0</formula>
    </cfRule>
    <cfRule type="cellIs" dxfId="6208" priority="104" operator="notEqual">
      <formula>0</formula>
    </cfRule>
  </conditionalFormatting>
  <conditionalFormatting sqref="AI108">
    <cfRule type="cellIs" dxfId="6207" priority="101" operator="equal">
      <formula>0</formula>
    </cfRule>
    <cfRule type="cellIs" dxfId="6206" priority="102" operator="notEqual">
      <formula>0</formula>
    </cfRule>
  </conditionalFormatting>
  <conditionalFormatting sqref="AI111">
    <cfRule type="cellIs" dxfId="6205" priority="99" operator="equal">
      <formula>0</formula>
    </cfRule>
    <cfRule type="cellIs" dxfId="6204" priority="100" operator="notEqual">
      <formula>0</formula>
    </cfRule>
  </conditionalFormatting>
  <conditionalFormatting sqref="AJ108">
    <cfRule type="cellIs" dxfId="6203" priority="97" operator="equal">
      <formula>0</formula>
    </cfRule>
    <cfRule type="cellIs" dxfId="6202" priority="98" operator="notEqual">
      <formula>0</formula>
    </cfRule>
  </conditionalFormatting>
  <conditionalFormatting sqref="AJ111">
    <cfRule type="cellIs" dxfId="6201" priority="95" operator="equal">
      <formula>0</formula>
    </cfRule>
    <cfRule type="cellIs" dxfId="6200" priority="96" operator="notEqual">
      <formula>0</formula>
    </cfRule>
  </conditionalFormatting>
  <conditionalFormatting sqref="AK108">
    <cfRule type="cellIs" dxfId="6199" priority="93" operator="equal">
      <formula>0</formula>
    </cfRule>
    <cfRule type="cellIs" dxfId="6198" priority="94" operator="notEqual">
      <formula>0</formula>
    </cfRule>
  </conditionalFormatting>
  <conditionalFormatting sqref="AK111">
    <cfRule type="cellIs" dxfId="6197" priority="91" operator="equal">
      <formula>0</formula>
    </cfRule>
    <cfRule type="cellIs" dxfId="6196" priority="92" operator="notEqual">
      <formula>0</formula>
    </cfRule>
  </conditionalFormatting>
  <conditionalFormatting sqref="V116:V117">
    <cfRule type="cellIs" dxfId="6195" priority="89" operator="equal">
      <formula>0</formula>
    </cfRule>
    <cfRule type="cellIs" dxfId="6194" priority="90" operator="notEqual">
      <formula>0</formula>
    </cfRule>
  </conditionalFormatting>
  <conditionalFormatting sqref="W116:W117">
    <cfRule type="cellIs" dxfId="6193" priority="87" operator="equal">
      <formula>0</formula>
    </cfRule>
    <cfRule type="cellIs" dxfId="6192" priority="88" operator="notEqual">
      <formula>0</formula>
    </cfRule>
  </conditionalFormatting>
  <conditionalFormatting sqref="X116:X117">
    <cfRule type="cellIs" dxfId="6191" priority="85" operator="equal">
      <formula>0</formula>
    </cfRule>
    <cfRule type="cellIs" dxfId="6190" priority="86" operator="notEqual">
      <formula>0</formula>
    </cfRule>
  </conditionalFormatting>
  <conditionalFormatting sqref="Y116:Y117">
    <cfRule type="cellIs" dxfId="6189" priority="83" operator="equal">
      <formula>0</formula>
    </cfRule>
    <cfRule type="cellIs" dxfId="6188" priority="84" operator="notEqual">
      <formula>0</formula>
    </cfRule>
  </conditionalFormatting>
  <conditionalFormatting sqref="Z116:Z117">
    <cfRule type="cellIs" dxfId="6187" priority="81" operator="equal">
      <formula>0</formula>
    </cfRule>
    <cfRule type="cellIs" dxfId="6186" priority="82" operator="notEqual">
      <formula>0</formula>
    </cfRule>
  </conditionalFormatting>
  <conditionalFormatting sqref="AA116:AA117">
    <cfRule type="cellIs" dxfId="6185" priority="79" operator="equal">
      <formula>0</formula>
    </cfRule>
    <cfRule type="cellIs" dxfId="6184" priority="80" operator="notEqual">
      <formula>0</formula>
    </cfRule>
  </conditionalFormatting>
  <conditionalFormatting sqref="AB116:AB117">
    <cfRule type="cellIs" dxfId="6183" priority="77" operator="equal">
      <formula>0</formula>
    </cfRule>
    <cfRule type="cellIs" dxfId="6182" priority="78" operator="notEqual">
      <formula>0</formula>
    </cfRule>
  </conditionalFormatting>
  <conditionalFormatting sqref="AC116:AC117">
    <cfRule type="cellIs" dxfId="6181" priority="75" operator="equal">
      <formula>0</formula>
    </cfRule>
    <cfRule type="cellIs" dxfId="6180" priority="76" operator="notEqual">
      <formula>0</formula>
    </cfRule>
  </conditionalFormatting>
  <conditionalFormatting sqref="AH115">
    <cfRule type="cellIs" dxfId="6179" priority="73" operator="equal">
      <formula>0</formula>
    </cfRule>
    <cfRule type="cellIs" dxfId="6178" priority="74" operator="notEqual">
      <formula>0</formula>
    </cfRule>
  </conditionalFormatting>
  <conditionalFormatting sqref="AH118">
    <cfRule type="cellIs" dxfId="6177" priority="71" operator="equal">
      <formula>0</formula>
    </cfRule>
    <cfRule type="cellIs" dxfId="6176" priority="72" operator="notEqual">
      <formula>0</formula>
    </cfRule>
  </conditionalFormatting>
  <conditionalFormatting sqref="AI115">
    <cfRule type="cellIs" dxfId="6175" priority="69" operator="equal">
      <formula>0</formula>
    </cfRule>
    <cfRule type="cellIs" dxfId="6174" priority="70" operator="notEqual">
      <formula>0</formula>
    </cfRule>
  </conditionalFormatting>
  <conditionalFormatting sqref="AI118">
    <cfRule type="cellIs" dxfId="6173" priority="67" operator="equal">
      <formula>0</formula>
    </cfRule>
    <cfRule type="cellIs" dxfId="6172" priority="68" operator="notEqual">
      <formula>0</formula>
    </cfRule>
  </conditionalFormatting>
  <conditionalFormatting sqref="AJ115">
    <cfRule type="cellIs" dxfId="6171" priority="65" operator="equal">
      <formula>0</formula>
    </cfRule>
    <cfRule type="cellIs" dxfId="6170" priority="66" operator="notEqual">
      <formula>0</formula>
    </cfRule>
  </conditionalFormatting>
  <conditionalFormatting sqref="AJ118">
    <cfRule type="cellIs" dxfId="6169" priority="63" operator="equal">
      <formula>0</formula>
    </cfRule>
    <cfRule type="cellIs" dxfId="6168" priority="64" operator="notEqual">
      <formula>0</formula>
    </cfRule>
  </conditionalFormatting>
  <conditionalFormatting sqref="AK115">
    <cfRule type="cellIs" dxfId="6167" priority="61" operator="equal">
      <formula>0</formula>
    </cfRule>
    <cfRule type="cellIs" dxfId="6166" priority="62" operator="notEqual">
      <formula>0</formula>
    </cfRule>
  </conditionalFormatting>
  <conditionalFormatting sqref="AK118">
    <cfRule type="cellIs" dxfId="6165" priority="59" operator="equal">
      <formula>0</formula>
    </cfRule>
    <cfRule type="cellIs" dxfId="6164" priority="60" operator="notEqual">
      <formula>0</formula>
    </cfRule>
  </conditionalFormatting>
  <conditionalFormatting sqref="V123:V124">
    <cfRule type="cellIs" dxfId="6163" priority="57" operator="equal">
      <formula>0</formula>
    </cfRule>
    <cfRule type="cellIs" dxfId="6162" priority="58" operator="notEqual">
      <formula>0</formula>
    </cfRule>
  </conditionalFormatting>
  <conditionalFormatting sqref="W123:W124">
    <cfRule type="cellIs" dxfId="6161" priority="55" operator="equal">
      <formula>0</formula>
    </cfRule>
    <cfRule type="cellIs" dxfId="6160" priority="56" operator="notEqual">
      <formula>0</formula>
    </cfRule>
  </conditionalFormatting>
  <conditionalFormatting sqref="X123:X124">
    <cfRule type="cellIs" dxfId="6159" priority="53" operator="equal">
      <formula>0</formula>
    </cfRule>
    <cfRule type="cellIs" dxfId="6158" priority="54" operator="notEqual">
      <formula>0</formula>
    </cfRule>
  </conditionalFormatting>
  <conditionalFormatting sqref="Y123:Y124">
    <cfRule type="cellIs" dxfId="6157" priority="51" operator="equal">
      <formula>0</formula>
    </cfRule>
    <cfRule type="cellIs" dxfId="6156" priority="52" operator="notEqual">
      <formula>0</formula>
    </cfRule>
  </conditionalFormatting>
  <conditionalFormatting sqref="Z123:Z124">
    <cfRule type="cellIs" dxfId="6155" priority="49" operator="equal">
      <formula>0</formula>
    </cfRule>
    <cfRule type="cellIs" dxfId="6154" priority="50" operator="notEqual">
      <formula>0</formula>
    </cfRule>
  </conditionalFormatting>
  <conditionalFormatting sqref="AA123:AA124">
    <cfRule type="cellIs" dxfId="6153" priority="47" operator="equal">
      <formula>0</formula>
    </cfRule>
    <cfRule type="cellIs" dxfId="6152" priority="48" operator="notEqual">
      <formula>0</formula>
    </cfRule>
  </conditionalFormatting>
  <conditionalFormatting sqref="AB123:AB124">
    <cfRule type="cellIs" dxfId="6151" priority="45" operator="equal">
      <formula>0</formula>
    </cfRule>
    <cfRule type="cellIs" dxfId="6150" priority="46" operator="notEqual">
      <formula>0</formula>
    </cfRule>
  </conditionalFormatting>
  <conditionalFormatting sqref="AC123:AC124">
    <cfRule type="cellIs" dxfId="6149" priority="43" operator="equal">
      <formula>0</formula>
    </cfRule>
    <cfRule type="cellIs" dxfId="6148" priority="44" operator="notEqual">
      <formula>0</formula>
    </cfRule>
  </conditionalFormatting>
  <conditionalFormatting sqref="AH122">
    <cfRule type="cellIs" dxfId="6147" priority="41" operator="equal">
      <formula>0</formula>
    </cfRule>
    <cfRule type="cellIs" dxfId="6146" priority="42" operator="notEqual">
      <formula>0</formula>
    </cfRule>
  </conditionalFormatting>
  <conditionalFormatting sqref="AH125">
    <cfRule type="cellIs" dxfId="6145" priority="39" operator="equal">
      <formula>0</formula>
    </cfRule>
    <cfRule type="cellIs" dxfId="6144" priority="40" operator="notEqual">
      <formula>0</formula>
    </cfRule>
  </conditionalFormatting>
  <conditionalFormatting sqref="AI122">
    <cfRule type="cellIs" dxfId="6143" priority="37" operator="equal">
      <formula>0</formula>
    </cfRule>
    <cfRule type="cellIs" dxfId="6142" priority="38" operator="notEqual">
      <formula>0</formula>
    </cfRule>
  </conditionalFormatting>
  <conditionalFormatting sqref="AI125">
    <cfRule type="cellIs" dxfId="6141" priority="35" operator="equal">
      <formula>0</formula>
    </cfRule>
    <cfRule type="cellIs" dxfId="6140" priority="36" operator="notEqual">
      <formula>0</formula>
    </cfRule>
  </conditionalFormatting>
  <conditionalFormatting sqref="AJ122">
    <cfRule type="cellIs" dxfId="6139" priority="33" operator="equal">
      <formula>0</formula>
    </cfRule>
    <cfRule type="cellIs" dxfId="6138" priority="34" operator="notEqual">
      <formula>0</formula>
    </cfRule>
  </conditionalFormatting>
  <conditionalFormatting sqref="AJ125">
    <cfRule type="cellIs" dxfId="6137" priority="31" operator="equal">
      <formula>0</formula>
    </cfRule>
    <cfRule type="cellIs" dxfId="6136" priority="32" operator="notEqual">
      <formula>0</formula>
    </cfRule>
  </conditionalFormatting>
  <conditionalFormatting sqref="AK122">
    <cfRule type="cellIs" dxfId="6135" priority="29" operator="equal">
      <formula>0</formula>
    </cfRule>
    <cfRule type="cellIs" dxfId="6134" priority="30" operator="notEqual">
      <formula>0</formula>
    </cfRule>
  </conditionalFormatting>
  <conditionalFormatting sqref="AK125">
    <cfRule type="cellIs" dxfId="6133" priority="27" operator="equal">
      <formula>0</formula>
    </cfRule>
    <cfRule type="cellIs" dxfId="6132" priority="28" operator="notEqual">
      <formula>0</formula>
    </cfRule>
  </conditionalFormatting>
  <conditionalFormatting sqref="G109:G110">
    <cfRule type="cellIs" dxfId="6131" priority="23" operator="equal">
      <formula>0</formula>
    </cfRule>
    <cfRule type="cellIs" dxfId="6130" priority="24" operator="notEqual">
      <formula>0</formula>
    </cfRule>
  </conditionalFormatting>
  <conditionalFormatting sqref="H109:H110">
    <cfRule type="cellIs" dxfId="6129" priority="21" operator="equal">
      <formula>0</formula>
    </cfRule>
    <cfRule type="cellIs" dxfId="6128" priority="22" operator="notEqual">
      <formula>0</formula>
    </cfRule>
  </conditionalFormatting>
  <conditionalFormatting sqref="I109:I110">
    <cfRule type="cellIs" dxfId="6127" priority="19" operator="equal">
      <formula>0</formula>
    </cfRule>
    <cfRule type="cellIs" dxfId="6126" priority="20" operator="notEqual">
      <formula>0</formula>
    </cfRule>
  </conditionalFormatting>
  <conditionalFormatting sqref="J109:J110">
    <cfRule type="cellIs" dxfId="6125" priority="17" operator="equal">
      <formula>0</formula>
    </cfRule>
    <cfRule type="cellIs" dxfId="6124" priority="18" operator="notEqual">
      <formula>0</formula>
    </cfRule>
  </conditionalFormatting>
  <conditionalFormatting sqref="O108">
    <cfRule type="cellIs" dxfId="6123" priority="15" operator="equal">
      <formula>0</formula>
    </cfRule>
    <cfRule type="cellIs" dxfId="6122" priority="16" operator="notEqual">
      <formula>0</formula>
    </cfRule>
  </conditionalFormatting>
  <conditionalFormatting sqref="O111">
    <cfRule type="cellIs" dxfId="6121" priority="13" operator="equal">
      <formula>0</formula>
    </cfRule>
    <cfRule type="cellIs" dxfId="6120" priority="14" operator="notEqual">
      <formula>0</formula>
    </cfRule>
  </conditionalFormatting>
  <conditionalFormatting sqref="P108">
    <cfRule type="cellIs" dxfId="6119" priority="11" operator="equal">
      <formula>0</formula>
    </cfRule>
    <cfRule type="cellIs" dxfId="6118" priority="12" operator="notEqual">
      <formula>0</formula>
    </cfRule>
  </conditionalFormatting>
  <conditionalFormatting sqref="P111">
    <cfRule type="cellIs" dxfId="6117" priority="9" operator="equal">
      <formula>0</formula>
    </cfRule>
    <cfRule type="cellIs" dxfId="6116" priority="10" operator="notEqual">
      <formula>0</formula>
    </cfRule>
  </conditionalFormatting>
  <conditionalFormatting sqref="Q108">
    <cfRule type="cellIs" dxfId="6115" priority="7" operator="equal">
      <formula>0</formula>
    </cfRule>
    <cfRule type="cellIs" dxfId="6114" priority="8" operator="notEqual">
      <formula>0</formula>
    </cfRule>
  </conditionalFormatting>
  <conditionalFormatting sqref="Q111">
    <cfRule type="cellIs" dxfId="6113" priority="5" operator="equal">
      <formula>0</formula>
    </cfRule>
    <cfRule type="cellIs" dxfId="6112" priority="6" operator="notEqual">
      <formula>0</formula>
    </cfRule>
  </conditionalFormatting>
  <conditionalFormatting sqref="R108">
    <cfRule type="cellIs" dxfId="6111" priority="3" operator="equal">
      <formula>0</formula>
    </cfRule>
    <cfRule type="cellIs" dxfId="6110" priority="4" operator="notEqual">
      <formula>0</formula>
    </cfRule>
  </conditionalFormatting>
  <conditionalFormatting sqref="R111">
    <cfRule type="cellIs" dxfId="6109" priority="1" operator="equal">
      <formula>0</formula>
    </cfRule>
    <cfRule type="cellIs" dxfId="6108" priority="2" operator="notEqual">
      <formula>0</formula>
    </cfRule>
  </conditionalFormatting>
  <dataValidations count="1">
    <dataValidation type="list" allowBlank="1" showInputMessage="1" showErrorMessage="1" sqref="B5" xr:uid="{00000000-0002-0000-0700-000000000000}">
      <formula1>Regions</formula1>
    </dataValidation>
  </dataValidation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D34A3-A5CE-4D1F-AD50-D1B5C6322BD0}">
  <sheetPr>
    <tabColor rgb="FFFFFF00"/>
  </sheetPr>
  <dimension ref="A1:Z73"/>
  <sheetViews>
    <sheetView showGridLines="0" zoomScale="75" zoomScaleNormal="75" workbookViewId="0">
      <selection activeCell="H15" sqref="H15:M15"/>
    </sheetView>
  </sheetViews>
  <sheetFormatPr baseColWidth="10" defaultColWidth="9.1640625" defaultRowHeight="14" x14ac:dyDescent="0.15"/>
  <cols>
    <col min="2" max="2" width="48.5" customWidth="1"/>
    <col min="3" max="3" width="14.83203125" customWidth="1"/>
    <col min="4" max="4" width="15.83203125" customWidth="1"/>
    <col min="5" max="5" width="14.83203125" customWidth="1"/>
    <col min="6" max="6" width="17.1640625" customWidth="1"/>
    <col min="7" max="7" width="11.5" customWidth="1"/>
    <col min="8" max="8" width="24.5" customWidth="1"/>
    <col min="9" max="9" width="20.5" customWidth="1"/>
    <col min="10" max="10" width="18" customWidth="1"/>
    <col min="11" max="11" width="20.33203125" customWidth="1"/>
    <col min="12" max="12" width="16.33203125" customWidth="1"/>
    <col min="13" max="13" width="21.33203125" customWidth="1"/>
    <col min="14" max="14" width="23.83203125" customWidth="1"/>
    <col min="21" max="21" width="9.83203125" hidden="1" customWidth="1"/>
    <col min="22" max="22" width="43.6640625" hidden="1" customWidth="1"/>
    <col min="23" max="26" width="9.1640625" hidden="1" customWidth="1"/>
    <col min="27" max="27" width="0" hidden="1" customWidth="1"/>
  </cols>
  <sheetData>
    <row r="1" spans="1:26" ht="51.75" customHeight="1" x14ac:dyDescent="0.15">
      <c r="A1" s="431" t="s">
        <v>1008</v>
      </c>
      <c r="B1" s="431"/>
      <c r="C1" s="431"/>
      <c r="D1" s="431"/>
      <c r="E1" s="431"/>
      <c r="F1" s="431"/>
      <c r="G1" s="431"/>
      <c r="H1" s="431"/>
      <c r="I1" s="431"/>
      <c r="J1" s="431"/>
      <c r="K1" s="431"/>
      <c r="L1" s="431"/>
      <c r="M1" s="244"/>
      <c r="N1" s="244"/>
      <c r="O1" s="244"/>
      <c r="P1" s="244"/>
      <c r="Q1" s="244"/>
      <c r="R1" s="244"/>
      <c r="S1" s="244"/>
    </row>
    <row r="2" spans="1:26" ht="28.5" customHeight="1" x14ac:dyDescent="0.15">
      <c r="A2" s="426"/>
      <c r="B2" s="426"/>
      <c r="C2" s="426"/>
      <c r="D2" s="426"/>
      <c r="E2" s="426"/>
      <c r="F2" s="426"/>
      <c r="G2" s="426"/>
      <c r="H2" s="426"/>
      <c r="I2" s="426"/>
      <c r="J2" s="426"/>
      <c r="K2" s="426"/>
      <c r="L2" s="426"/>
      <c r="M2" s="241"/>
      <c r="N2" s="241"/>
      <c r="O2" s="241"/>
      <c r="P2" s="241"/>
      <c r="Q2" s="241"/>
      <c r="R2" s="241"/>
      <c r="S2" s="241"/>
    </row>
    <row r="4" spans="1:26" ht="36" customHeight="1" x14ac:dyDescent="0.15">
      <c r="B4" s="36" t="s">
        <v>935</v>
      </c>
      <c r="H4" s="36"/>
      <c r="S4" s="317"/>
      <c r="V4" s="309" t="s">
        <v>1242</v>
      </c>
      <c r="W4" s="309" cm="1">
        <f t="array" ref="W4">SUM(SUMIFS('capacity data'!K:K,'capacity data'!A:A,B5,'capacity data'!E:E,{"PO","PSO"}))</f>
        <v>0</v>
      </c>
      <c r="X4" s="316"/>
      <c r="Y4" s="309" t="s">
        <v>1245</v>
      </c>
      <c r="Z4" s="309" cm="1">
        <f t="array" ref="Z4">SUM(SUMIFS('capacity data'!K:K,'capacity data'!E:E,{"PO","PSO"}))</f>
        <v>0</v>
      </c>
    </row>
    <row r="5" spans="1:26" ht="38.25" customHeight="1" x14ac:dyDescent="0.15">
      <c r="B5" s="242" t="s">
        <v>21</v>
      </c>
      <c r="C5" s="40"/>
      <c r="H5" s="40"/>
      <c r="I5" s="40"/>
      <c r="S5" s="317"/>
      <c r="V5" s="310" t="s">
        <v>1243</v>
      </c>
      <c r="W5" s="309" cm="1">
        <f t="array" ref="W5">SUM(SUMIFS('capacity data'!I:I,'capacity data'!A:A,B5,'capacity data'!E:E,{"PO","PSO"}))-SUM((SUMIFS('capacity data'!J:J,'capacity data'!A:A,B5,'capacity data'!E:E,{"PO","PSO"})))</f>
        <v>0</v>
      </c>
      <c r="X5" s="316"/>
      <c r="Y5" s="310" t="s">
        <v>1246</v>
      </c>
      <c r="Z5" s="309" cm="1">
        <f t="array" ref="Z5">SUM(SUMIFS('capacity data'!I:I,'capacity data'!E:E,{"PO","PSO"}))-SUM((SUMIFS('capacity data'!J:J,'capacity data'!E:E,{"PO","PSO"})))</f>
        <v>0</v>
      </c>
    </row>
    <row r="6" spans="1:26" ht="38.25" customHeight="1" x14ac:dyDescent="0.15">
      <c r="C6" s="40"/>
      <c r="S6" s="317"/>
      <c r="V6" s="309" t="s">
        <v>1244</v>
      </c>
      <c r="W6" s="309">
        <f>W5/37</f>
        <v>0</v>
      </c>
      <c r="X6" s="316"/>
      <c r="Y6" s="309" t="s">
        <v>1244</v>
      </c>
      <c r="Z6" s="309">
        <f>Z5/37</f>
        <v>0</v>
      </c>
    </row>
    <row r="7" spans="1:26" ht="28" customHeight="1" x14ac:dyDescent="0.15">
      <c r="B7" s="297" t="s">
        <v>1009</v>
      </c>
      <c r="C7" s="281"/>
      <c r="D7" s="281"/>
      <c r="E7" s="281"/>
      <c r="F7" s="280"/>
      <c r="H7" s="434" t="s">
        <v>1010</v>
      </c>
      <c r="I7" s="435"/>
      <c r="J7" s="435"/>
      <c r="K7" s="435"/>
      <c r="L7" s="435"/>
      <c r="M7" s="435"/>
      <c r="N7" s="435"/>
      <c r="O7" s="317"/>
      <c r="P7" s="317"/>
      <c r="Q7" s="317"/>
      <c r="R7" s="317"/>
      <c r="S7" s="317"/>
    </row>
    <row r="8" spans="1:26" ht="43.5" customHeight="1" x14ac:dyDescent="0.15">
      <c r="B8" s="62"/>
      <c r="C8" s="219" t="s">
        <v>1011</v>
      </c>
      <c r="D8" s="219" t="s">
        <v>1012</v>
      </c>
      <c r="E8" s="219" t="s">
        <v>1013</v>
      </c>
      <c r="F8" s="219" t="s">
        <v>1014</v>
      </c>
      <c r="G8" s="64"/>
      <c r="H8" s="62"/>
      <c r="I8" s="219" t="s">
        <v>1015</v>
      </c>
      <c r="J8" s="63" t="s">
        <v>1016</v>
      </c>
      <c r="K8" s="63" t="s">
        <v>1017</v>
      </c>
      <c r="L8" s="63" t="s">
        <v>1018</v>
      </c>
      <c r="M8" s="219" t="s">
        <v>1019</v>
      </c>
      <c r="N8" s="219" t="s">
        <v>1241</v>
      </c>
      <c r="O8" s="64"/>
      <c r="P8" s="64"/>
      <c r="Q8" s="64"/>
      <c r="R8" s="64"/>
      <c r="S8" s="64"/>
      <c r="T8" s="64"/>
    </row>
    <row r="9" spans="1:26" ht="20.25" customHeight="1" x14ac:dyDescent="0.15">
      <c r="B9" s="306" t="str">
        <f>B5</f>
        <v>London</v>
      </c>
      <c r="C9" s="235" t="e">
        <f>SUMIFS('capacity data'!K:K,'capacity data'!A:A,B5,'capacity data'!E:E,"PO")/((SUMIFS('capacity data'!I:I,'capacity data'!A:A,B5,'capacity data'!E:E,"PO")-(SUMIFS('capacity data'!J:J,'capacity data'!A:A,B5,'capacity data'!E:E,"PO")))/37)</f>
        <v>#DIV/0!</v>
      </c>
      <c r="D9" s="236" t="e">
        <f>SUMIFS('capacity data'!K:K,'capacity data'!A:A,B5,'capacity data'!E:E,"PSO")/((SUMIFS('capacity data'!I:I,'capacity data'!A:A,B5,'capacity data'!E:E,"PSO")-(SUMIFS('capacity data'!J:J,'capacity data'!A:A,B5,'capacity data'!E:E,"PSO")))/37)</f>
        <v>#DIV/0!</v>
      </c>
      <c r="E9" s="236" t="e">
        <f>SUMIFS('capacity data'!K:K,'capacity data'!A:A,B5,'capacity data'!E:E,"TPO")/((SUMIFS('capacity data'!I:I,'capacity data'!A:A,B5,'capacity data'!E:E,"TPO")-(SUMIFS('capacity data'!J:J,'capacity data'!A:A,B5,'capacity data'!E:E,"TPO")))/37)</f>
        <v>#DIV/0!</v>
      </c>
      <c r="F9" s="236" t="e">
        <f>SUMIFS('capacity data'!K:K,'capacity data'!A:A,B5,'capacity data'!E:E,"&lt;&gt;DMY")/((SUMIFS('capacity data'!I:I,'capacity data'!A:A,B5,'capacity data'!E:E,"&lt;&gt;DMY")-(SUMIFS('capacity data'!J:J,'capacity data'!A:A,B5,'capacity data'!E:E,"&lt;&gt;DMY")))/37)</f>
        <v>#DIV/0!</v>
      </c>
      <c r="G9" s="64"/>
      <c r="H9" s="306" t="str">
        <f>B5</f>
        <v>London</v>
      </c>
      <c r="I9" s="82" t="e">
        <f>SUMIFS('capacity data'!F:F, 'capacity data'!E:E, "PO",'capacity data'!F:F, "&lt;&gt;0", 'capacity data'!A:A, B5) / COUNTIFS('capacity data'!E:E, "PO",'capacity data'!F:F, "&lt;&gt;0",'capacity data'!A:A, B5)</f>
        <v>#DIV/0!</v>
      </c>
      <c r="J9" s="82" t="e">
        <f>SUMIFS('capacity data'!F:F, 'capacity data'!E:E, "PSO",'capacity data'!F:F, "&lt;&gt;0", 'capacity data'!A:A, B5) / COUNTIFS('capacity data'!E:E, "PSO",'capacity data'!F:F, "&lt;&gt;0",'capacity data'!A:A, B5)</f>
        <v>#DIV/0!</v>
      </c>
      <c r="K9" s="82" t="e">
        <f>SUMIFS('capacity data'!F:F, 'capacity data'!E:E, "TPO",'capacity data'!F:F, "&lt;&gt;0", 'capacity data'!A:A, B5) / COUNTIFS('capacity data'!E:E, "TPO",'capacity data'!F:F, "&lt;&gt;0",'capacity data'!A:A, B5)</f>
        <v>#DIV/0!</v>
      </c>
      <c r="L9" s="82" t="e">
        <f>SUMIFS('capacity data'!F:F, 'capacity data'!E:E, "&lt;&gt;DMY",'capacity data'!F:F, "&lt;&gt;0", 'capacity data'!A:A, B5) / COUNTIFS('capacity data'!E:E, "&lt;&gt;DMY",'capacity data'!F:F, "&lt;&gt;0",'capacity data'!A:A, B5)</f>
        <v>#DIV/0!</v>
      </c>
      <c r="M9" s="293" t="e" cm="1">
        <f t="array" ref="M9">SUM(SUMIFS('capacity data'!F:F, 'capacity data'!E:E, {"PO","PSO"},'capacity data'!F:F, "&lt;&gt;0", 'capacity data'!A:A, B5)) / SUM(COUNTIFS('capacity data'!E:E, {"PO","PSO"},'capacity data'!F:F, "&lt;&gt;0",'capacity data'!A:A, B5))</f>
        <v>#DIV/0!</v>
      </c>
      <c r="N9" s="311" t="e">
        <f>W4/W6</f>
        <v>#DIV/0!</v>
      </c>
      <c r="O9" s="64"/>
      <c r="P9" s="64"/>
      <c r="Q9" s="64"/>
      <c r="R9" s="64"/>
      <c r="S9" s="64"/>
      <c r="T9" s="64"/>
    </row>
    <row r="10" spans="1:26" ht="18" customHeight="1" x14ac:dyDescent="0.15">
      <c r="B10" s="229" t="s">
        <v>1020</v>
      </c>
      <c r="C10" s="235" t="e">
        <f>SUMIFS('capacity data'!K:K,'capacity data'!E:E,"PO")/((SUMIFS('capacity data'!I:I,'capacity data'!E:E,"PO")-(SUMIFS('capacity data'!J:J,'capacity data'!E:E,"PO")))/37)</f>
        <v>#DIV/0!</v>
      </c>
      <c r="D10" s="236" t="e">
        <f>SUMIFS('capacity data'!K:K,'capacity data'!E:E,"PSO")/((SUMIFS('capacity data'!I:I,'capacity data'!E:E,"PSO")-(SUMIFS('capacity data'!J:J,'capacity data'!E:E,"PSO")))/37)</f>
        <v>#DIV/0!</v>
      </c>
      <c r="E10" s="236" t="e">
        <f>SUMIFS('capacity data'!K:K,'capacity data'!E:E,"TPO")/((SUMIFS('capacity data'!I:I,'capacity data'!E:E,"TPO")-(SUMIFS('capacity data'!J:J,'capacity data'!E:E,"TPO")))/37)</f>
        <v>#DIV/0!</v>
      </c>
      <c r="F10" s="236" t="e">
        <f>SUMIFS('capacity data'!K:K,'capacity data'!E:E,"&lt;&gt;DMY")/((SUMIFS('capacity data'!I:I,'capacity data'!E:E,"&lt;&gt;DMY")-(SUMIFS('capacity data'!J:J,'capacity data'!E:E,"&lt;&gt;DMY")))/37)</f>
        <v>#DIV/0!</v>
      </c>
      <c r="G10" s="64"/>
      <c r="H10" s="229" t="s">
        <v>1020</v>
      </c>
      <c r="I10" s="82" t="e">
        <f>SUMIFS('capacity data'!F:F, 'capacity data'!E:E, "PO",'capacity data'!F:F, "&lt;&gt;0") / COUNTIFS('capacity data'!E:E, "PO",'capacity data'!F:F, "&lt;&gt;0")</f>
        <v>#DIV/0!</v>
      </c>
      <c r="J10" s="82" t="e">
        <f>SUMIFS('capacity data'!F:F, 'capacity data'!E:E, "PSO",'capacity data'!F:F, "&lt;&gt;0") / COUNTIFS('capacity data'!E:E, "PSO",'capacity data'!F:F, "&lt;&gt;0")</f>
        <v>#DIV/0!</v>
      </c>
      <c r="K10" s="82" t="e">
        <f>SUMIFS('capacity data'!F:F, 'capacity data'!E:E, "TPO",'capacity data'!F:F, "&lt;&gt;0") / COUNTIFS('capacity data'!E:E, "TPO",'capacity data'!F:F, "&lt;&gt;0")</f>
        <v>#DIV/0!</v>
      </c>
      <c r="L10" s="82">
        <f>SUMIFS('capacity data'!F:F, 'capacity data'!E:E, "&lt;&gt;DMY",'capacity data'!F:F, "&lt;&gt;0") / COUNTIFS('capacity data'!E:E, "&lt;&gt;DMY",'capacity data'!F:F, "&lt;&gt;0", 'capacity data'!A:A, "&lt;&gt;")</f>
        <v>0</v>
      </c>
      <c r="M10" s="293" t="e" cm="1">
        <f t="array" ref="M10">SUM(SUMIFS('capacity data'!F:F,'capacity data'!E:E,{"PO","PSO"},'capacity data'!F:F,"&lt;&gt;0"))/SUM(COUNTIFS('capacity data'!E:E,{"PO","PSO"},'capacity data'!F:F,"&lt;&gt;0"))</f>
        <v>#DIV/0!</v>
      </c>
      <c r="N10" s="311" t="e">
        <f>Z4/Z6</f>
        <v>#DIV/0!</v>
      </c>
      <c r="O10" s="64"/>
      <c r="P10" s="64"/>
      <c r="Q10" s="64"/>
      <c r="R10" s="64"/>
      <c r="S10" s="64"/>
      <c r="T10" s="64"/>
    </row>
    <row r="11" spans="1:26" ht="17.25" customHeight="1" x14ac:dyDescent="0.15">
      <c r="B11" s="68" t="s">
        <v>946</v>
      </c>
      <c r="C11" s="235" t="e">
        <f>C9-C10</f>
        <v>#DIV/0!</v>
      </c>
      <c r="D11" s="235" t="e">
        <f t="shared" ref="D11:F11" si="0">D9-D10</f>
        <v>#DIV/0!</v>
      </c>
      <c r="E11" s="235" t="e">
        <f t="shared" si="0"/>
        <v>#DIV/0!</v>
      </c>
      <c r="F11" s="235" t="e">
        <f t="shared" si="0"/>
        <v>#DIV/0!</v>
      </c>
      <c r="G11" s="64"/>
      <c r="H11" s="68" t="s">
        <v>946</v>
      </c>
      <c r="I11" s="102" t="e">
        <f>I9-I10</f>
        <v>#DIV/0!</v>
      </c>
      <c r="J11" s="102" t="e">
        <f t="shared" ref="J11:K11" si="1">J9-J10</f>
        <v>#DIV/0!</v>
      </c>
      <c r="K11" s="102" t="e">
        <f t="shared" si="1"/>
        <v>#DIV/0!</v>
      </c>
      <c r="L11" s="102" t="e">
        <f>L9-L10</f>
        <v>#DIV/0!</v>
      </c>
      <c r="M11" s="102" t="e">
        <f>M9-M10</f>
        <v>#DIV/0!</v>
      </c>
      <c r="N11" s="312" t="e">
        <f>N9-N10</f>
        <v>#DIV/0!</v>
      </c>
      <c r="O11" s="64"/>
      <c r="P11" s="64"/>
      <c r="Q11" s="64"/>
      <c r="R11" s="64"/>
      <c r="S11" s="64"/>
      <c r="T11" s="64"/>
    </row>
    <row r="12" spans="1:26" ht="17.25" customHeight="1" x14ac:dyDescent="0.15">
      <c r="B12" s="64"/>
      <c r="C12" s="64"/>
      <c r="D12" s="238"/>
      <c r="E12" s="238"/>
      <c r="F12" s="238"/>
      <c r="G12" s="64"/>
      <c r="H12" s="64"/>
      <c r="I12" s="64"/>
      <c r="J12" s="64"/>
      <c r="K12" s="64"/>
      <c r="L12" s="64"/>
      <c r="M12" s="64"/>
      <c r="N12" s="64"/>
      <c r="O12" s="64"/>
      <c r="P12" s="64"/>
      <c r="Q12" s="64"/>
      <c r="R12" s="64"/>
      <c r="S12" s="238"/>
      <c r="T12" s="238"/>
      <c r="U12" s="238"/>
      <c r="V12" s="238"/>
    </row>
    <row r="13" spans="1:26" ht="17.25" customHeight="1" x14ac:dyDescent="0.15">
      <c r="B13" s="64"/>
      <c r="C13" s="64"/>
      <c r="D13" s="238"/>
      <c r="E13" s="238"/>
      <c r="F13" s="238"/>
      <c r="G13" s="64"/>
      <c r="H13" s="64"/>
      <c r="I13" s="64"/>
      <c r="J13" s="64"/>
      <c r="K13" s="64"/>
      <c r="L13" s="64"/>
      <c r="M13" s="64"/>
      <c r="N13" s="64"/>
      <c r="O13" s="64"/>
      <c r="P13" s="64"/>
      <c r="Q13" s="64"/>
      <c r="R13" s="64"/>
      <c r="S13" s="238"/>
      <c r="T13" s="238"/>
      <c r="U13" s="238"/>
      <c r="V13" s="238"/>
    </row>
    <row r="14" spans="1:26" ht="25" customHeight="1" x14ac:dyDescent="0.15">
      <c r="B14" s="297" t="s">
        <v>1021</v>
      </c>
      <c r="C14" s="295"/>
      <c r="D14" s="295"/>
      <c r="E14" s="295"/>
      <c r="F14" s="294"/>
      <c r="G14" s="64"/>
      <c r="H14" s="64"/>
      <c r="I14" s="64"/>
      <c r="J14" s="238"/>
      <c r="K14" s="238"/>
      <c r="L14" s="238"/>
      <c r="M14" s="238"/>
      <c r="N14" s="238"/>
      <c r="O14" s="64"/>
      <c r="P14" s="64"/>
      <c r="Q14" s="64"/>
      <c r="R14" s="238"/>
      <c r="S14" s="238"/>
      <c r="T14" s="238"/>
      <c r="U14" s="238"/>
      <c r="V14" s="238"/>
    </row>
    <row r="15" spans="1:26" ht="39.75" customHeight="1" x14ac:dyDescent="0.15">
      <c r="B15" s="62"/>
      <c r="C15" s="219" t="s">
        <v>1011</v>
      </c>
      <c r="D15" s="219" t="s">
        <v>1012</v>
      </c>
      <c r="E15" s="219" t="s">
        <v>1013</v>
      </c>
      <c r="F15" s="219" t="s">
        <v>1014</v>
      </c>
      <c r="G15" s="64"/>
      <c r="H15" s="434" t="s">
        <v>1022</v>
      </c>
      <c r="I15" s="435"/>
      <c r="J15" s="435"/>
      <c r="K15" s="435"/>
      <c r="L15" s="435"/>
      <c r="M15" s="435"/>
      <c r="N15" s="238"/>
      <c r="O15" s="64"/>
      <c r="P15" s="64"/>
      <c r="Q15" s="64"/>
      <c r="R15" s="238"/>
      <c r="S15" s="238"/>
      <c r="T15" s="238"/>
      <c r="U15" s="238"/>
      <c r="V15" s="238"/>
    </row>
    <row r="16" spans="1:26" ht="17.25" customHeight="1" x14ac:dyDescent="0.15">
      <c r="B16" s="306" t="str">
        <f>B5</f>
        <v>London</v>
      </c>
      <c r="C16" s="235" t="e">
        <f>SUMIFS('caseload data'!V:V,'caseload data'!A:A, B5, 'caseload data'!D:D, "PO", 'caseload data'!B:B, "Community")/((SUMIFS('capacity data'!I:I,'capacity data'!A:A,B5,'capacity data'!E:E,"PO")-(SUMIFS('capacity data'!J:J,'capacity data'!A:A,B5,'capacity data'!E:E,"PO")))/37)</f>
        <v>#DIV/0!</v>
      </c>
      <c r="D16" s="235" t="e">
        <f>SUMIFS('caseload data'!V:V,'caseload data'!A:A, B5, 'caseload data'!D:D, "PSO", 'caseload data'!B:B, "Community")/((SUMIFS('capacity data'!I:I,'capacity data'!A:A,B5,'capacity data'!E:E,"PSO")-(SUMIFS('capacity data'!J:J,'capacity data'!A:A,B5,'capacity data'!E:E,"PSO")))/37)</f>
        <v>#DIV/0!</v>
      </c>
      <c r="E16" s="235" t="e">
        <f>SUMIFS('caseload data'!V:V,'caseload data'!A:A, B5, 'caseload data'!D:D, "TPO", 'caseload data'!B:B, "Community")/((SUMIFS('capacity data'!I:I,'capacity data'!A:A,B5,'capacity data'!E:E,"TPO")-(SUMIFS('capacity data'!J:J,'capacity data'!A:A,B5,'capacity data'!E:E,"TPO")))/37)</f>
        <v>#DIV/0!</v>
      </c>
      <c r="F16" s="235" t="e">
        <f>SUMIFS('caseload data'!V:V,'caseload data'!B:B, "Community", 'caseload data'!D:D, "&lt;&gt;DMY", 'caseload data'!A:A, B5) /((SUMIFS('capacity data'!I:I,'capacity data'!A:A,B5,'capacity data'!E:E,"&lt;&gt;DMY")-(SUMIFS('capacity data'!J:J,'capacity data'!A:A,B5,'capacity data'!E:E,"&lt;&gt;DMY")))/37)</f>
        <v>#DIV/0!</v>
      </c>
      <c r="G16" s="64"/>
      <c r="H16" s="307" t="str">
        <f>B5</f>
        <v>London</v>
      </c>
      <c r="I16" s="219" t="s">
        <v>993</v>
      </c>
      <c r="J16" s="219" t="s">
        <v>992</v>
      </c>
      <c r="K16" s="219" t="s">
        <v>991</v>
      </c>
      <c r="L16" s="219" t="s">
        <v>1340</v>
      </c>
      <c r="M16" s="219" t="s">
        <v>994</v>
      </c>
      <c r="N16" s="238"/>
      <c r="O16" s="238"/>
      <c r="P16" s="64"/>
      <c r="Q16" s="64"/>
      <c r="R16" s="64"/>
      <c r="S16" s="238"/>
      <c r="T16" s="238"/>
      <c r="U16" s="238"/>
      <c r="V16" s="238"/>
      <c r="W16" s="238"/>
    </row>
    <row r="17" spans="2:23" ht="17.25" customHeight="1" x14ac:dyDescent="0.15">
      <c r="B17" s="229" t="s">
        <v>1020</v>
      </c>
      <c r="C17" s="235" t="e">
        <f>SUMIFS('caseload data'!V:V, 'caseload data'!D:D, "PO", 'caseload data'!B:B, "Community")/((SUMIFS('capacity data'!I:I,'capacity data'!E:E,"PO")-(SUMIFS('capacity data'!J:J,'capacity data'!E:E,"PO")))/37)</f>
        <v>#DIV/0!</v>
      </c>
      <c r="D17" s="235" t="e">
        <f>SUMIFS('caseload data'!V:V, 'caseload data'!D:D, "PSO", 'caseload data'!B:B, "Community")/((SUMIFS('capacity data'!I:I,'capacity data'!E:E,"PSO")-(SUMIFS('capacity data'!J:J,'capacity data'!E:E,"PSO")))/37)</f>
        <v>#DIV/0!</v>
      </c>
      <c r="E17" s="235" t="e">
        <f>SUMIFS('caseload data'!V:V, 'caseload data'!D:D, "TPO", 'caseload data'!B:B, "Community")/((SUMIFS('capacity data'!I:I,'capacity data'!E:E,"TPO")-(SUMIFS('capacity data'!J:J,'capacity data'!E:E,"TPO")))/37)</f>
        <v>#DIV/0!</v>
      </c>
      <c r="F17" s="235" t="e">
        <f>SUMIFS('caseload data'!V:V, 'caseload data'!D:D, "&lt;&gt;DMY", 'caseload data'!B:B, "Community")/((SUMIFS('capacity data'!I:I,'capacity data'!E:E,"&lt;&gt;DMY")-(SUMIFS('capacity data'!J:J,'capacity data'!E:E,"&lt;&gt;DMY")))/37)</f>
        <v>#DIV/0!</v>
      </c>
      <c r="G17" s="64"/>
      <c r="H17" s="65" t="s">
        <v>1023</v>
      </c>
      <c r="I17" s="234">
        <f>SUM(T44:T47)</f>
        <v>0</v>
      </c>
      <c r="J17" s="234">
        <f>SUM(T52:T55)</f>
        <v>0</v>
      </c>
      <c r="K17" s="234">
        <f>SUM(T60:T63)</f>
        <v>0</v>
      </c>
      <c r="L17" s="234">
        <f>T40</f>
        <v>0</v>
      </c>
      <c r="M17" s="234">
        <f>SUM(I17:L17)</f>
        <v>0</v>
      </c>
      <c r="N17" s="64"/>
      <c r="O17" s="64"/>
      <c r="P17" s="64"/>
      <c r="Q17" s="64"/>
      <c r="R17" s="64"/>
      <c r="S17" s="238"/>
      <c r="T17" s="238"/>
      <c r="U17" s="238"/>
      <c r="V17" s="238"/>
      <c r="W17" s="238"/>
    </row>
    <row r="18" spans="2:23" ht="17.25" customHeight="1" x14ac:dyDescent="0.15">
      <c r="B18" s="68" t="s">
        <v>946</v>
      </c>
      <c r="C18" s="235" t="e">
        <f>C16-C17</f>
        <v>#DIV/0!</v>
      </c>
      <c r="D18" s="235" t="e">
        <f t="shared" ref="D18:F18" si="2">D16-D17</f>
        <v>#DIV/0!</v>
      </c>
      <c r="E18" s="235" t="e">
        <f t="shared" si="2"/>
        <v>#DIV/0!</v>
      </c>
      <c r="F18" s="235" t="e">
        <f t="shared" si="2"/>
        <v>#DIV/0!</v>
      </c>
      <c r="G18" s="64"/>
      <c r="H18" s="64"/>
      <c r="I18" s="64"/>
      <c r="J18" s="64"/>
      <c r="K18" s="64"/>
      <c r="L18" s="64"/>
      <c r="M18" s="64"/>
      <c r="N18" s="64"/>
      <c r="O18" s="64"/>
      <c r="P18" s="64"/>
      <c r="Q18" s="64"/>
      <c r="R18" s="238"/>
      <c r="S18" s="238"/>
      <c r="T18" s="238"/>
      <c r="U18" s="238"/>
      <c r="V18" s="238"/>
    </row>
    <row r="19" spans="2:23" ht="17.25" customHeight="1" x14ac:dyDescent="0.15">
      <c r="B19" s="64"/>
      <c r="C19" s="238"/>
      <c r="D19" s="64"/>
      <c r="E19" s="64"/>
      <c r="F19" s="64"/>
      <c r="G19" s="64"/>
      <c r="H19" s="64"/>
      <c r="I19" s="64"/>
      <c r="J19" s="64"/>
      <c r="K19" s="64"/>
      <c r="L19" s="64"/>
      <c r="M19" s="64"/>
      <c r="N19" s="64"/>
      <c r="O19" s="64"/>
      <c r="P19" s="64"/>
      <c r="Q19" s="64"/>
      <c r="R19" s="238"/>
      <c r="S19" s="238"/>
      <c r="T19" s="238"/>
      <c r="U19" s="238"/>
      <c r="V19" s="238"/>
    </row>
    <row r="20" spans="2:23" ht="32.25" customHeight="1" x14ac:dyDescent="0.15">
      <c r="B20" s="297" t="s">
        <v>1024</v>
      </c>
      <c r="C20" s="295"/>
      <c r="D20" s="295"/>
      <c r="E20" s="295"/>
      <c r="F20" s="294"/>
      <c r="G20" s="64"/>
      <c r="H20" s="296"/>
      <c r="I20" s="64"/>
      <c r="J20" s="64"/>
      <c r="K20" s="64"/>
      <c r="L20" s="64"/>
      <c r="M20" s="64"/>
      <c r="N20" s="64"/>
      <c r="O20" s="64"/>
      <c r="P20" s="64"/>
      <c r="Q20" s="64"/>
      <c r="R20" s="64"/>
      <c r="S20" s="64"/>
      <c r="T20" s="64"/>
    </row>
    <row r="21" spans="2:23" ht="43.5" customHeight="1" x14ac:dyDescent="0.15">
      <c r="B21" s="62"/>
      <c r="C21" s="219" t="s">
        <v>1011</v>
      </c>
      <c r="D21" s="219" t="s">
        <v>1012</v>
      </c>
      <c r="E21" s="219" t="s">
        <v>1013</v>
      </c>
      <c r="F21" s="219" t="s">
        <v>1014</v>
      </c>
      <c r="G21" s="64"/>
      <c r="H21" s="64"/>
      <c r="I21" s="64"/>
      <c r="J21" s="64"/>
      <c r="K21" s="64"/>
      <c r="L21" s="64"/>
      <c r="M21" s="64"/>
      <c r="N21" s="64"/>
      <c r="O21" s="64"/>
      <c r="P21" s="64"/>
      <c r="Q21" s="64"/>
      <c r="R21" s="64"/>
      <c r="S21" s="64"/>
      <c r="T21" s="64"/>
    </row>
    <row r="22" spans="2:23" ht="15" customHeight="1" x14ac:dyDescent="0.15">
      <c r="B22" s="306" t="str">
        <f>B5</f>
        <v>London</v>
      </c>
      <c r="C22" s="235" t="e">
        <f>SUMIFS('caseload data'!V:V,'caseload data'!A:A, B5, 'caseload data'!D:D, "PO", 'caseload data'!B:B, "Licence")/((SUMIFS('capacity data'!I:I,'capacity data'!A:A,B5,'capacity data'!E:E,"PO")-(SUMIFS('capacity data'!J:J,'capacity data'!A:A,B5,'capacity data'!E:E,"PO")))/37)</f>
        <v>#DIV/0!</v>
      </c>
      <c r="D22" s="235" t="e">
        <f>SUMIFS('caseload data'!V:V,'caseload data'!A:A, B5, 'caseload data'!D:D, "PSO", 'caseload data'!B:B, "Licence")/((SUMIFS('capacity data'!I:I,'capacity data'!A:A,B5,'capacity data'!E:E,"PSO")-(SUMIFS('capacity data'!J:J,'capacity data'!A:A,B5,'capacity data'!E:E,"PSO")))/37)</f>
        <v>#DIV/0!</v>
      </c>
      <c r="E22" s="235" t="e">
        <f>SUMIFS('caseload data'!V:V,'caseload data'!A:A, B5, 'caseload data'!D:D, "TPO", 'caseload data'!B:B, "Licence")/((SUMIFS('capacity data'!I:I,'capacity data'!A:A,B5,'capacity data'!E:E,"TPO")-(SUMIFS('capacity data'!J:J,'capacity data'!A:A,B5,'capacity data'!E:E,"TPO")))/37)</f>
        <v>#DIV/0!</v>
      </c>
      <c r="F22" s="235" t="e">
        <f>SUMIFS('caseload data'!V:V,'caseload data'!B:B, "Licence", 'caseload data'!D:D, "&lt;&gt;DMY", 'caseload data'!A:A, B5) /((SUMIFS('capacity data'!I:I,'capacity data'!A:A,B5,'capacity data'!E:E,"&lt;&gt;DMY")-(SUMIFS('capacity data'!J:J,'capacity data'!A:A,B5,'capacity data'!E:E,"&lt;&gt;DMY")))/37)</f>
        <v>#DIV/0!</v>
      </c>
      <c r="G22" s="64"/>
      <c r="H22" s="64"/>
      <c r="I22" s="64"/>
      <c r="J22" s="238"/>
      <c r="K22" s="238"/>
      <c r="L22" s="238"/>
      <c r="M22" s="238"/>
      <c r="N22" s="238"/>
      <c r="O22" s="64"/>
      <c r="P22" s="64"/>
      <c r="Q22" s="64"/>
      <c r="R22" s="64"/>
      <c r="S22" s="64"/>
      <c r="T22" s="64"/>
    </row>
    <row r="23" spans="2:23" ht="15" customHeight="1" x14ac:dyDescent="0.15">
      <c r="B23" s="229" t="s">
        <v>1020</v>
      </c>
      <c r="C23" s="235" t="e">
        <f>SUMIFS('caseload data'!V:V, 'caseload data'!D:D, "PO", 'caseload data'!B:B, "Licence")/((SUMIFS('capacity data'!I:I,'capacity data'!E:E,"PO")-(SUMIFS('capacity data'!J:J,'capacity data'!E:E,"PO")))/37)</f>
        <v>#DIV/0!</v>
      </c>
      <c r="D23" s="235" t="e">
        <f>SUMIFS('caseload data'!V:V, 'caseload data'!D:D, "PSO", 'caseload data'!B:B, "Licence")/((SUMIFS('capacity data'!I:I,'capacity data'!E:E,"PSO")-(SUMIFS('capacity data'!J:J,'capacity data'!E:E,"PSO")))/37)</f>
        <v>#DIV/0!</v>
      </c>
      <c r="E23" s="235" t="e">
        <f>SUMIFS('caseload data'!V:V, 'caseload data'!D:D, "TPO", 'caseload data'!B:B, "Licence")/((SUMIFS('capacity data'!I:I,'capacity data'!E:E,"TPO")-(SUMIFS('capacity data'!J:J,'capacity data'!E:E,"TPO")))/37)</f>
        <v>#DIV/0!</v>
      </c>
      <c r="F23" s="235" t="e">
        <f>SUMIFS('caseload data'!V:V, 'caseload data'!D:D, "&lt;&gt;DMY", 'caseload data'!B:B, "Licence")/((SUMIFS('capacity data'!I:I,'capacity data'!E:E,"&lt;&gt;DMY")-(SUMIFS('capacity data'!J:J,'capacity data'!E:E,"&lt;&gt;DMY")))/37)</f>
        <v>#DIV/0!</v>
      </c>
      <c r="G23" s="64"/>
      <c r="H23" s="64"/>
      <c r="I23" s="64"/>
      <c r="J23" s="238"/>
      <c r="K23" s="238"/>
      <c r="L23" s="238"/>
      <c r="M23" s="238"/>
      <c r="N23" s="238"/>
      <c r="O23" s="64"/>
      <c r="P23" s="64"/>
      <c r="Q23" s="64"/>
      <c r="R23" s="64"/>
      <c r="S23" s="64"/>
      <c r="T23" s="64"/>
    </row>
    <row r="24" spans="2:23" ht="15" customHeight="1" x14ac:dyDescent="0.15">
      <c r="B24" s="68" t="s">
        <v>946</v>
      </c>
      <c r="C24" s="235" t="e">
        <f>C22-C23</f>
        <v>#DIV/0!</v>
      </c>
      <c r="D24" s="235" t="e">
        <f t="shared" ref="D24:F24" si="3">D22-D23</f>
        <v>#DIV/0!</v>
      </c>
      <c r="E24" s="235" t="e">
        <f t="shared" si="3"/>
        <v>#DIV/0!</v>
      </c>
      <c r="F24" s="235" t="e">
        <f t="shared" si="3"/>
        <v>#DIV/0!</v>
      </c>
      <c r="G24" s="64"/>
      <c r="H24" s="64"/>
      <c r="I24" s="64"/>
      <c r="J24" s="238"/>
      <c r="K24" s="238"/>
      <c r="L24" s="238"/>
      <c r="M24" s="238"/>
      <c r="N24" s="238"/>
      <c r="O24" s="64"/>
      <c r="P24" s="64"/>
      <c r="Q24" s="64"/>
      <c r="R24" s="64"/>
      <c r="S24" s="64"/>
      <c r="T24" s="64"/>
    </row>
    <row r="25" spans="2:23" ht="15" customHeight="1" x14ac:dyDescent="0.15">
      <c r="B25" s="64"/>
      <c r="C25" s="64"/>
      <c r="D25" s="64"/>
      <c r="E25" s="64"/>
      <c r="F25" s="64"/>
      <c r="G25" s="64"/>
      <c r="H25" s="64"/>
      <c r="I25" s="64"/>
      <c r="J25" s="238"/>
      <c r="K25" s="238"/>
      <c r="L25" s="238"/>
      <c r="M25" s="238"/>
      <c r="N25" s="238"/>
      <c r="O25" s="64"/>
      <c r="P25" s="64"/>
      <c r="Q25" s="64"/>
      <c r="R25" s="64"/>
      <c r="S25" s="64"/>
      <c r="T25" s="64"/>
    </row>
    <row r="26" spans="2:23" ht="28.5" customHeight="1" x14ac:dyDescent="0.15">
      <c r="B26" s="297" t="s">
        <v>1025</v>
      </c>
      <c r="C26" s="295"/>
      <c r="D26" s="295"/>
      <c r="E26" s="295"/>
      <c r="F26" s="294"/>
      <c r="G26" s="64"/>
      <c r="H26" s="64"/>
      <c r="I26" s="64"/>
      <c r="J26" s="238"/>
      <c r="K26" s="238"/>
      <c r="L26" s="238"/>
      <c r="M26" s="238"/>
      <c r="N26" s="238"/>
      <c r="O26" s="64"/>
      <c r="P26" s="64"/>
      <c r="Q26" s="64"/>
      <c r="R26" s="64"/>
      <c r="S26" s="64"/>
      <c r="T26" s="64"/>
    </row>
    <row r="27" spans="2:23" ht="49" customHeight="1" x14ac:dyDescent="0.15">
      <c r="B27" s="306" t="str">
        <f>B5</f>
        <v>London</v>
      </c>
      <c r="C27" s="219" t="s">
        <v>1011</v>
      </c>
      <c r="D27" s="219" t="s">
        <v>1012</v>
      </c>
      <c r="E27" s="219" t="s">
        <v>1013</v>
      </c>
      <c r="F27" s="219" t="s">
        <v>1014</v>
      </c>
      <c r="G27" s="64"/>
      <c r="H27" s="64"/>
      <c r="I27" s="64"/>
      <c r="J27" s="238"/>
      <c r="K27" s="238"/>
      <c r="L27" s="238"/>
      <c r="M27" s="238"/>
      <c r="N27" s="238"/>
      <c r="O27" s="64"/>
      <c r="P27" s="64"/>
      <c r="Q27" s="64"/>
      <c r="R27" s="64"/>
      <c r="S27" s="64"/>
      <c r="T27" s="64"/>
    </row>
    <row r="28" spans="2:23" ht="15" customHeight="1" x14ac:dyDescent="0.15">
      <c r="B28" s="65" t="str">
        <f>B11</f>
        <v>Variance</v>
      </c>
      <c r="C28" s="235" t="e">
        <f>SUMIFS('caseload data'!V:V,'caseload data'!A:A, B5, 'caseload data'!D:D, "PO", 'caseload data'!B:B, "Custody")/((SUMIFS('capacity data'!I:I,'capacity data'!A:A,B5,'capacity data'!E:E,"PO")-(SUMIFS('capacity data'!J:J,'capacity data'!A:A,B5,'capacity data'!E:E,"PO")))/37)</f>
        <v>#DIV/0!</v>
      </c>
      <c r="D28" s="235" t="e">
        <f>SUMIFS('caseload data'!V:V,'caseload data'!A:A, B5, 'caseload data'!D:D, "PSO", 'caseload data'!B:B, "Custody")/((SUMIFS('capacity data'!I:I,'capacity data'!A:A,B5,'capacity data'!E:E,"PSO")-(SUMIFS('capacity data'!J:J,'capacity data'!A:A,B5,'capacity data'!E:E,"PSO")))/37)</f>
        <v>#DIV/0!</v>
      </c>
      <c r="E28" s="235" t="e">
        <f>SUMIFS('caseload data'!V:V,'caseload data'!A:A, B5, 'caseload data'!D:D, "TPO", 'caseload data'!B:B, "Custody")/((SUMIFS('capacity data'!I:I,'capacity data'!A:A,B5,'capacity data'!E:E,"TPO")-(SUMIFS('capacity data'!J:J,'capacity data'!A:A,B5,'capacity data'!E:E,"TPO")))/37)</f>
        <v>#DIV/0!</v>
      </c>
      <c r="F28" s="235" t="e">
        <f>SUMIFS('caseload data'!V:V,'caseload data'!B:B, "Custody", 'caseload data'!D:D, "&lt;&gt;DMY", 'caseload data'!A:A, B5) /((SUMIFS('capacity data'!I:I,'capacity data'!A:A,B5,'capacity data'!E:E,"&lt;&gt;DMY")-(SUMIFS('capacity data'!J:J,'capacity data'!A:A,B5,'capacity data'!E:E,"&lt;&gt;DMY")))/37)</f>
        <v>#DIV/0!</v>
      </c>
      <c r="G28" s="64"/>
      <c r="H28" s="64"/>
      <c r="I28" s="64"/>
      <c r="J28" s="238"/>
      <c r="K28" s="238"/>
      <c r="L28" s="238"/>
      <c r="M28" s="238"/>
      <c r="N28" s="238"/>
      <c r="O28" s="64"/>
      <c r="P28" s="64"/>
      <c r="Q28" s="64"/>
      <c r="R28" s="64"/>
      <c r="S28" s="64"/>
      <c r="T28" s="64"/>
    </row>
    <row r="29" spans="2:23" ht="15" customHeight="1" x14ac:dyDescent="0.15">
      <c r="B29" s="229" t="s">
        <v>1020</v>
      </c>
      <c r="C29" s="235" t="e">
        <f>SUMIFS('caseload data'!V:V, 'caseload data'!D:D, "PO", 'caseload data'!B:B, "Custody")/((SUMIFS('capacity data'!I:I,'capacity data'!E:E,"PO")-(SUMIFS('capacity data'!J:J,'capacity data'!E:E,"PO")))/37)</f>
        <v>#DIV/0!</v>
      </c>
      <c r="D29" s="235" t="e">
        <f>SUMIFS('caseload data'!V:V, 'caseload data'!D:D, "PSO", 'caseload data'!B:B, "Custody")/((SUMIFS('capacity data'!I:I,'capacity data'!E:E,"PSO")-(SUMIFS('capacity data'!J:J,'capacity data'!E:E,"PSO")))/37)</f>
        <v>#DIV/0!</v>
      </c>
      <c r="E29" s="235" t="e">
        <f>SUMIFS('caseload data'!V:V, 'caseload data'!D:D, "TPO", 'caseload data'!B:B, "Custody")/((SUMIFS('capacity data'!I:I,'capacity data'!E:E,"TPO")-(SUMIFS('capacity data'!J:J,'capacity data'!E:E,"TPO")))/37)</f>
        <v>#DIV/0!</v>
      </c>
      <c r="F29" s="235" t="e">
        <f>SUMIFS('caseload data'!V:V, 'caseload data'!D:D, "&lt;&gt;DMY", 'caseload data'!B:B, "Custody")/((SUMIFS('capacity data'!I:I,'capacity data'!E:E,"&lt;&gt;DMY")-(SUMIFS('capacity data'!J:J,'capacity data'!E:E,"&lt;&gt;DMY")))/37)</f>
        <v>#DIV/0!</v>
      </c>
      <c r="G29" s="64"/>
      <c r="H29" s="64"/>
      <c r="I29" s="64"/>
      <c r="J29" s="238"/>
      <c r="K29" s="238"/>
      <c r="L29" s="238"/>
      <c r="M29" s="238"/>
      <c r="N29" s="238"/>
      <c r="O29" s="64"/>
      <c r="P29" s="64"/>
      <c r="Q29" s="64"/>
      <c r="R29" s="64"/>
      <c r="S29" s="64"/>
      <c r="T29" s="64"/>
    </row>
    <row r="30" spans="2:23" ht="15" customHeight="1" x14ac:dyDescent="0.15">
      <c r="B30" s="68" t="s">
        <v>946</v>
      </c>
      <c r="C30" s="235" t="e">
        <f>C28-C29</f>
        <v>#DIV/0!</v>
      </c>
      <c r="D30" s="235" t="e">
        <f t="shared" ref="D30:F30" si="4">D28-D29</f>
        <v>#DIV/0!</v>
      </c>
      <c r="E30" s="235" t="e">
        <f t="shared" si="4"/>
        <v>#DIV/0!</v>
      </c>
      <c r="F30" s="235" t="e">
        <f t="shared" si="4"/>
        <v>#DIV/0!</v>
      </c>
      <c r="G30" s="64"/>
      <c r="H30" s="64"/>
      <c r="I30" s="64"/>
      <c r="J30" s="238"/>
      <c r="K30" s="238"/>
      <c r="L30" s="238"/>
      <c r="M30" s="238"/>
      <c r="N30" s="238"/>
      <c r="O30" s="64"/>
      <c r="P30" s="64"/>
      <c r="Q30" s="64"/>
      <c r="R30" s="64"/>
      <c r="S30" s="64"/>
      <c r="T30" s="64"/>
    </row>
    <row r="31" spans="2:23" ht="15" customHeight="1" x14ac:dyDescent="0.15">
      <c r="B31" s="64"/>
      <c r="C31" s="64"/>
      <c r="D31" s="64"/>
      <c r="E31" s="64"/>
      <c r="F31" s="64"/>
      <c r="G31" s="64"/>
      <c r="H31" s="64"/>
      <c r="I31" s="64"/>
      <c r="J31" s="238"/>
      <c r="K31" s="238"/>
      <c r="L31" s="238"/>
      <c r="M31" s="238"/>
      <c r="N31" s="238"/>
      <c r="O31" s="64"/>
      <c r="P31" s="64"/>
      <c r="Q31" s="64"/>
      <c r="R31" s="64"/>
      <c r="S31" s="64"/>
      <c r="T31" s="64"/>
    </row>
    <row r="32" spans="2:23" ht="15" customHeight="1" x14ac:dyDescent="0.15">
      <c r="B32" s="64"/>
      <c r="C32" s="64"/>
      <c r="D32" s="64"/>
      <c r="E32" s="64"/>
      <c r="F32" s="64"/>
      <c r="G32" s="64"/>
      <c r="H32" s="64"/>
      <c r="I32" s="64"/>
      <c r="J32" s="238"/>
      <c r="K32" s="238"/>
      <c r="L32" s="238"/>
      <c r="M32" s="238"/>
      <c r="N32" s="238"/>
      <c r="O32" s="64"/>
      <c r="P32" s="64"/>
      <c r="Q32" s="64"/>
      <c r="R32" s="64"/>
      <c r="S32" s="64"/>
      <c r="T32" s="64"/>
    </row>
    <row r="33" spans="2:20" ht="15.75" customHeight="1" x14ac:dyDescent="0.15">
      <c r="B33" s="64"/>
      <c r="C33" s="64"/>
      <c r="D33" s="64"/>
      <c r="E33" s="64"/>
      <c r="F33" s="64"/>
      <c r="G33" s="64"/>
      <c r="H33" s="64"/>
      <c r="I33" s="64"/>
      <c r="J33" s="64"/>
      <c r="K33" s="64"/>
      <c r="L33" s="64"/>
      <c r="M33" s="64"/>
      <c r="N33" s="64"/>
      <c r="O33" s="64"/>
      <c r="P33" s="64"/>
      <c r="Q33" s="64"/>
      <c r="R33" s="64"/>
      <c r="S33" s="64"/>
      <c r="T33" s="64"/>
    </row>
    <row r="34" spans="2:20" ht="29.25" customHeight="1" x14ac:dyDescent="0.15">
      <c r="B34" s="367" t="str">
        <f>B5</f>
        <v>London</v>
      </c>
      <c r="C34" s="432" t="s">
        <v>1007</v>
      </c>
      <c r="D34" s="433"/>
      <c r="E34" s="433"/>
      <c r="F34" s="433"/>
      <c r="G34" s="433"/>
      <c r="H34" s="433"/>
      <c r="I34" s="433"/>
      <c r="J34" s="433"/>
      <c r="K34" s="433"/>
      <c r="L34" s="433"/>
      <c r="M34" s="433"/>
      <c r="N34" s="433"/>
      <c r="O34" s="433"/>
      <c r="P34" s="433"/>
      <c r="Q34" s="433"/>
      <c r="R34" s="433"/>
      <c r="S34" s="433"/>
      <c r="T34" s="433"/>
    </row>
    <row r="35" spans="2:20" x14ac:dyDescent="0.15">
      <c r="B35" s="368" t="s">
        <v>1001</v>
      </c>
      <c r="C35" s="288" t="s">
        <v>864</v>
      </c>
      <c r="D35" s="288" t="s">
        <v>865</v>
      </c>
      <c r="E35" s="288" t="s">
        <v>866</v>
      </c>
      <c r="F35" s="288" t="s">
        <v>867</v>
      </c>
      <c r="G35" s="288" t="s">
        <v>868</v>
      </c>
      <c r="H35" s="288" t="s">
        <v>869</v>
      </c>
      <c r="I35" s="288" t="s">
        <v>870</v>
      </c>
      <c r="J35" s="288" t="s">
        <v>871</v>
      </c>
      <c r="K35" s="288" t="s">
        <v>872</v>
      </c>
      <c r="L35" s="288" t="s">
        <v>873</v>
      </c>
      <c r="M35" s="288" t="s">
        <v>874</v>
      </c>
      <c r="N35" s="288" t="s">
        <v>875</v>
      </c>
      <c r="O35" s="288" t="s">
        <v>876</v>
      </c>
      <c r="P35" s="288" t="s">
        <v>877</v>
      </c>
      <c r="Q35" s="288" t="s">
        <v>878</v>
      </c>
      <c r="R35" s="288" t="s">
        <v>879</v>
      </c>
      <c r="S35" s="288" t="s">
        <v>1026</v>
      </c>
      <c r="T35" s="288" t="s">
        <v>959</v>
      </c>
    </row>
    <row r="36" spans="2:20" x14ac:dyDescent="0.15">
      <c r="B36" s="365" t="s">
        <v>997</v>
      </c>
      <c r="C36" s="366">
        <f>SUMIFS('caseload data'!E:E,'caseload data'!$D:$D,"PO",'caseload data'!$A:$A,'HMIP caseload divisional'!$B$5)</f>
        <v>0</v>
      </c>
      <c r="D36" s="234">
        <f>SUMIFS('caseload data'!F:F,'caseload data'!$D:$D,"PO",'caseload data'!$A:$A,'HMIP caseload divisional'!$B$5)</f>
        <v>0</v>
      </c>
      <c r="E36" s="234">
        <f>SUMIFS('caseload data'!G:G,'caseload data'!$D:$D,"PO",'caseload data'!$A:$A,'HMIP caseload divisional'!$B$5)</f>
        <v>0</v>
      </c>
      <c r="F36" s="234">
        <f>SUMIFS('caseload data'!H:H,'caseload data'!$D:$D,"PO",'caseload data'!$A:$A,'HMIP caseload divisional'!$B$5)</f>
        <v>0</v>
      </c>
      <c r="G36" s="234">
        <f>SUMIFS('caseload data'!I:I,'caseload data'!$D:$D,"PO",'caseload data'!$A:$A,'HMIP caseload divisional'!$B$5)</f>
        <v>0</v>
      </c>
      <c r="H36" s="234">
        <f>SUMIFS('caseload data'!J:J,'caseload data'!$D:$D,"PO",'caseload data'!$A:$A,'HMIP caseload divisional'!$B$5)</f>
        <v>0</v>
      </c>
      <c r="I36" s="234">
        <f>SUMIFS('caseload data'!K:K,'caseload data'!$D:$D,"PO",'caseload data'!$A:$A,'HMIP caseload divisional'!$B$5)</f>
        <v>0</v>
      </c>
      <c r="J36" s="234">
        <f>SUMIFS('caseload data'!L:L,'caseload data'!$D:$D,"PO",'caseload data'!$A:$A,'HMIP caseload divisional'!$B$5)</f>
        <v>0</v>
      </c>
      <c r="K36" s="234">
        <f>SUMIFS('caseload data'!M:M,'caseload data'!$D:$D,"PO",'caseload data'!$A:$A,'HMIP caseload divisional'!$B$5)</f>
        <v>0</v>
      </c>
      <c r="L36" s="234">
        <f>SUMIFS('caseload data'!N:N,'caseload data'!$D:$D,"PO",'caseload data'!$A:$A,'HMIP caseload divisional'!$B$5)</f>
        <v>0</v>
      </c>
      <c r="M36" s="234">
        <f>SUMIFS('caseload data'!O:O,'caseload data'!$D:$D,"PO",'caseload data'!$A:$A,'HMIP caseload divisional'!$B$5)</f>
        <v>0</v>
      </c>
      <c r="N36" s="234">
        <f>SUMIFS('caseload data'!P:P,'caseload data'!$D:$D,"PO",'caseload data'!$A:$A,'HMIP caseload divisional'!$B$5)</f>
        <v>0</v>
      </c>
      <c r="O36" s="234">
        <f>SUMIFS('caseload data'!Q:Q,'caseload data'!$D:$D,"PO",'caseload data'!$A:$A,'HMIP caseload divisional'!$B$5)</f>
        <v>0</v>
      </c>
      <c r="P36" s="234">
        <f>SUMIFS('caseload data'!R:R,'caseload data'!$D:$D,"PO",'caseload data'!$A:$A,'HMIP caseload divisional'!$B$5)</f>
        <v>0</v>
      </c>
      <c r="Q36" s="234">
        <f>SUMIFS('caseload data'!S:S,'caseload data'!$D:$D,"PO",'caseload data'!$A:$A,'HMIP caseload divisional'!$B$5)</f>
        <v>0</v>
      </c>
      <c r="R36" s="234">
        <f>SUMIFS('caseload data'!T:T,'caseload data'!$D:$D,"PO",'caseload data'!$A:$A,'HMIP caseload divisional'!$B$5)</f>
        <v>0</v>
      </c>
      <c r="S36" s="234">
        <f>SUMIFS('caseload data'!U:U,'caseload data'!$D:$D,"PO",'caseload data'!$A:$A,'HMIP caseload divisional'!$B$5)</f>
        <v>0</v>
      </c>
      <c r="T36" s="234">
        <f>SUM(C36:S36)</f>
        <v>0</v>
      </c>
    </row>
    <row r="37" spans="2:20" x14ac:dyDescent="0.15">
      <c r="B37" s="365" t="s">
        <v>1002</v>
      </c>
      <c r="C37" s="366">
        <f>SUMIFS('caseload data'!E:E,'caseload data'!$D:$D,"PSO",'caseload data'!$A:$A,'HMIP caseload divisional'!$B$5)</f>
        <v>0</v>
      </c>
      <c r="D37" s="234">
        <f>SUMIFS('caseload data'!F:F,'caseload data'!$D:$D,"PSO",'caseload data'!$A:$A,'HMIP caseload divisional'!$B$5)</f>
        <v>0</v>
      </c>
      <c r="E37" s="234">
        <f>SUMIFS('caseload data'!G:G,'caseload data'!$D:$D,"PSO",'caseload data'!$A:$A,'HMIP caseload divisional'!$B$5)</f>
        <v>0</v>
      </c>
      <c r="F37" s="234">
        <f>SUMIFS('caseload data'!H:H,'caseload data'!$D:$D,"PSO",'caseload data'!$A:$A,'HMIP caseload divisional'!$B$5)</f>
        <v>0</v>
      </c>
      <c r="G37" s="234">
        <f>SUMIFS('caseload data'!I:I,'caseload data'!$D:$D,"PSO",'caseload data'!$A:$A,'HMIP caseload divisional'!$B$5)</f>
        <v>0</v>
      </c>
      <c r="H37" s="234">
        <f>SUMIFS('caseload data'!J:J,'caseload data'!$D:$D,"PSO",'caseload data'!$A:$A,'HMIP caseload divisional'!$B$5)</f>
        <v>0</v>
      </c>
      <c r="I37" s="234">
        <f>SUMIFS('caseload data'!K:K,'caseload data'!$D:$D,"PSO",'caseload data'!$A:$A,'HMIP caseload divisional'!$B$5)</f>
        <v>0</v>
      </c>
      <c r="J37" s="234">
        <f>SUMIFS('caseload data'!L:L,'caseload data'!$D:$D,"PSO",'caseload data'!$A:$A,'HMIP caseload divisional'!$B$5)</f>
        <v>0</v>
      </c>
      <c r="K37" s="234">
        <f>SUMIFS('caseload data'!M:M,'caseload data'!$D:$D,"PSO",'caseload data'!$A:$A,'HMIP caseload divisional'!$B$5)</f>
        <v>0</v>
      </c>
      <c r="L37" s="234">
        <f>SUMIFS('caseload data'!N:N,'caseload data'!$D:$D,"PSO",'caseload data'!$A:$A,'HMIP caseload divisional'!$B$5)</f>
        <v>0</v>
      </c>
      <c r="M37" s="234">
        <f>SUMIFS('caseload data'!O:O,'caseload data'!$D:$D,"PSO",'caseload data'!$A:$A,'HMIP caseload divisional'!$B$5)</f>
        <v>0</v>
      </c>
      <c r="N37" s="234">
        <f>SUMIFS('caseload data'!P:P,'caseload data'!$D:$D,"PSO",'caseload data'!$A:$A,'HMIP caseload divisional'!$B$5)</f>
        <v>0</v>
      </c>
      <c r="O37" s="234">
        <f>SUMIFS('caseload data'!Q:Q,'caseload data'!$D:$D,"PSO",'caseload data'!$A:$A,'HMIP caseload divisional'!$B$5)</f>
        <v>0</v>
      </c>
      <c r="P37" s="234">
        <f>SUMIFS('caseload data'!R:R,'caseload data'!$D:$D,"PSO",'caseload data'!$A:$A,'HMIP caseload divisional'!$B$5)</f>
        <v>0</v>
      </c>
      <c r="Q37" s="234">
        <f>SUMIFS('caseload data'!S:S,'caseload data'!$D:$D,"PSO",'caseload data'!$A:$A,'HMIP caseload divisional'!$B$5)</f>
        <v>0</v>
      </c>
      <c r="R37" s="234">
        <f>SUMIFS('caseload data'!T:T,'caseload data'!$D:$D,"PSO",'caseload data'!$A:$A,'HMIP caseload divisional'!$B$5)</f>
        <v>0</v>
      </c>
      <c r="S37" s="234">
        <f>SUMIFS('caseload data'!U:U,'caseload data'!$D:$D,"PSO",'caseload data'!$A:$A,'HMIP caseload divisional'!$B$5)</f>
        <v>0</v>
      </c>
      <c r="T37" s="234">
        <f t="shared" ref="T37:T39" si="5">SUM(C37:S37)</f>
        <v>0</v>
      </c>
    </row>
    <row r="38" spans="2:20" x14ac:dyDescent="0.15">
      <c r="B38" s="365" t="s">
        <v>1003</v>
      </c>
      <c r="C38" s="366">
        <f>SUMIFS('caseload data'!E:E,'caseload data'!$D:$D,"TPO",'caseload data'!$A:$A,'HMIP caseload divisional'!$B$5)</f>
        <v>0</v>
      </c>
      <c r="D38" s="234">
        <f>SUMIFS('caseload data'!F:F,'caseload data'!$D:$D,"TPO",'caseload data'!$A:$A,'HMIP caseload divisional'!$B$5)</f>
        <v>0</v>
      </c>
      <c r="E38" s="234">
        <f>SUMIFS('caseload data'!G:G,'caseload data'!$D:$D,"TPO",'caseload data'!$A:$A,'HMIP caseload divisional'!$B$5)</f>
        <v>0</v>
      </c>
      <c r="F38" s="234">
        <f>SUMIFS('caseload data'!H:H,'caseload data'!$D:$D,"TPO",'caseload data'!$A:$A,'HMIP caseload divisional'!$B$5)</f>
        <v>0</v>
      </c>
      <c r="G38" s="234">
        <f>SUMIFS('caseload data'!I:I,'caseload data'!$D:$D,"TPO",'caseload data'!$A:$A,'HMIP caseload divisional'!$B$5)</f>
        <v>0</v>
      </c>
      <c r="H38" s="234">
        <f>SUMIFS('caseload data'!J:J,'caseload data'!$D:$D,"TPO",'caseload data'!$A:$A,'HMIP caseload divisional'!$B$5)</f>
        <v>0</v>
      </c>
      <c r="I38" s="234">
        <f>SUMIFS('caseload data'!K:K,'caseload data'!$D:$D,"TPO",'caseload data'!$A:$A,'HMIP caseload divisional'!$B$5)</f>
        <v>0</v>
      </c>
      <c r="J38" s="234">
        <f>SUMIFS('caseload data'!L:L,'caseload data'!$D:$D,"TPO",'caseload data'!$A:$A,'HMIP caseload divisional'!$B$5)</f>
        <v>0</v>
      </c>
      <c r="K38" s="234">
        <f>SUMIFS('caseload data'!M:M,'caseload data'!$D:$D,"TPO",'caseload data'!$A:$A,'HMIP caseload divisional'!$B$5)</f>
        <v>0</v>
      </c>
      <c r="L38" s="234">
        <f>SUMIFS('caseload data'!N:N,'caseload data'!$D:$D,"TPO",'caseload data'!$A:$A,'HMIP caseload divisional'!$B$5)</f>
        <v>0</v>
      </c>
      <c r="M38" s="234">
        <f>SUMIFS('caseload data'!O:O,'caseload data'!$D:$D,"TPO",'caseload data'!$A:$A,'HMIP caseload divisional'!$B$5)</f>
        <v>0</v>
      </c>
      <c r="N38" s="234">
        <f>SUMIFS('caseload data'!P:P,'caseload data'!$D:$D,"TPO",'caseload data'!$A:$A,'HMIP caseload divisional'!$B$5)</f>
        <v>0</v>
      </c>
      <c r="O38" s="234">
        <f>SUMIFS('caseload data'!Q:Q,'caseload data'!$D:$D,"TPO",'caseload data'!$A:$A,'HMIP caseload divisional'!$B$5)</f>
        <v>0</v>
      </c>
      <c r="P38" s="234">
        <f>SUMIFS('caseload data'!R:R,'caseload data'!$D:$D,"TPO",'caseload data'!$A:$A,'HMIP caseload divisional'!$B$5)</f>
        <v>0</v>
      </c>
      <c r="Q38" s="234">
        <f>SUMIFS('caseload data'!S:S,'caseload data'!$D:$D,"TPO",'caseload data'!$A:$A,'HMIP caseload divisional'!$B$5)</f>
        <v>0</v>
      </c>
      <c r="R38" s="234">
        <f>SUMIFS('caseload data'!T:T,'caseload data'!$D:$D,"TPO",'caseload data'!$A:$A,'HMIP caseload divisional'!$B$5)</f>
        <v>0</v>
      </c>
      <c r="S38" s="234">
        <f>SUMIFS('caseload data'!U:U,'caseload data'!$D:$D,"TPO",'caseload data'!$A:$A,'HMIP caseload divisional'!$B$5)</f>
        <v>0</v>
      </c>
      <c r="T38" s="234">
        <f t="shared" si="5"/>
        <v>0</v>
      </c>
    </row>
    <row r="39" spans="2:20" x14ac:dyDescent="0.15">
      <c r="B39" s="365" t="s">
        <v>1004</v>
      </c>
      <c r="C39" s="366">
        <f>SUMIFS('caseload data'!E:E,'caseload data'!$D:$D,"SPO",'caseload data'!$A:$A,$B$5)</f>
        <v>0</v>
      </c>
      <c r="D39" s="234">
        <f>SUMIFS('caseload data'!F:F,'caseload data'!$D:$D,"SPO",'caseload data'!$A:$A,$B$5)</f>
        <v>0</v>
      </c>
      <c r="E39" s="234">
        <f>SUMIFS('caseload data'!G:G,'caseload data'!$D:$D,"SPO",'caseload data'!$A:$A,$B$5)</f>
        <v>0</v>
      </c>
      <c r="F39" s="234">
        <f>SUMIFS('caseload data'!H:H,'caseload data'!$D:$D,"SPO",'caseload data'!$A:$A,$B$5)</f>
        <v>0</v>
      </c>
      <c r="G39" s="234">
        <f>SUMIFS('caseload data'!I:I,'caseload data'!$D:$D,"SPO",'caseload data'!$A:$A,$B$5)</f>
        <v>0</v>
      </c>
      <c r="H39" s="234">
        <f>SUMIFS('caseload data'!J:J,'caseload data'!$D:$D,"SPO",'caseload data'!$A:$A,$B$5)</f>
        <v>0</v>
      </c>
      <c r="I39" s="234">
        <f>SUMIFS('caseload data'!K:K,'caseload data'!$D:$D,"SPO",'caseload data'!$A:$A,$B$5)</f>
        <v>0</v>
      </c>
      <c r="J39" s="234">
        <f>SUMIFS('caseload data'!L:L,'caseload data'!$D:$D,"SPO",'caseload data'!$A:$A,$B$5)</f>
        <v>0</v>
      </c>
      <c r="K39" s="234">
        <f>SUMIFS('caseload data'!M:M,'caseload data'!$D:$D,"SPO",'caseload data'!$A:$A,$B$5)</f>
        <v>0</v>
      </c>
      <c r="L39" s="234">
        <f>SUMIFS('caseload data'!N:N,'caseload data'!$D:$D,"SPO",'caseload data'!$A:$A,$B$5)</f>
        <v>0</v>
      </c>
      <c r="M39" s="234">
        <f>SUMIFS('caseload data'!O:O,'caseload data'!$D:$D,"SPO",'caseload data'!$A:$A,$B$5)</f>
        <v>0</v>
      </c>
      <c r="N39" s="234">
        <f>SUMIFS('caseload data'!P:P,'caseload data'!$D:$D,"SPO",'caseload data'!$A:$A,$B$5)</f>
        <v>0</v>
      </c>
      <c r="O39" s="234">
        <f>SUMIFS('caseload data'!Q:Q,'caseload data'!$D:$D,"SPO",'caseload data'!$A:$A,$B$5)</f>
        <v>0</v>
      </c>
      <c r="P39" s="234">
        <f>SUMIFS('caseload data'!R:R,'caseload data'!$D:$D,"SPO",'caseload data'!$A:$A,$B$5)</f>
        <v>0</v>
      </c>
      <c r="Q39" s="234">
        <f>SUMIFS('caseload data'!S:S,'caseload data'!$D:$D,"SPO",'caseload data'!$A:$A,$B$5)</f>
        <v>0</v>
      </c>
      <c r="R39" s="234">
        <f>SUMIFS('caseload data'!T:T,'caseload data'!$D:$D,"SPO",'caseload data'!$A:$A,$B$5)</f>
        <v>0</v>
      </c>
      <c r="S39" s="234">
        <f>SUMIFS('caseload data'!U:U,'caseload data'!$D:$D,"SPO",'caseload data'!$A:$A,$B$5)</f>
        <v>0</v>
      </c>
      <c r="T39" s="234">
        <f t="shared" si="5"/>
        <v>0</v>
      </c>
    </row>
    <row r="40" spans="2:20" x14ac:dyDescent="0.15">
      <c r="B40" s="144" t="s">
        <v>1339</v>
      </c>
      <c r="C40" s="366">
        <f>SUMIFS('caseload data'!E:E,'caseload data'!$D:$D,"DMY",'caseload data'!$A:$A,'HMIP caseload divisional'!$B$5)</f>
        <v>0</v>
      </c>
      <c r="D40" s="234">
        <f>SUMIFS('caseload data'!F:F,'caseload data'!$D:$D,"DMY",'caseload data'!$A:$A,'HMIP caseload divisional'!$B$5)</f>
        <v>0</v>
      </c>
      <c r="E40" s="234">
        <f>SUMIFS('caseload data'!G:G,'caseload data'!$D:$D,"DMY",'caseload data'!$A:$A,'HMIP caseload divisional'!$B$5)</f>
        <v>0</v>
      </c>
      <c r="F40" s="234">
        <f>SUMIFS('caseload data'!H:H,'caseload data'!$D:$D,"DMY",'caseload data'!$A:$A,'HMIP caseload divisional'!$B$5)</f>
        <v>0</v>
      </c>
      <c r="G40" s="234">
        <f>SUMIFS('caseload data'!I:I,'caseload data'!$D:$D,"DMY",'caseload data'!$A:$A,'HMIP caseload divisional'!$B$5)</f>
        <v>0</v>
      </c>
      <c r="H40" s="234">
        <f>SUMIFS('caseload data'!J:J,'caseload data'!$D:$D,"DMY",'caseload data'!$A:$A,'HMIP caseload divisional'!$B$5)</f>
        <v>0</v>
      </c>
      <c r="I40" s="234">
        <f>SUMIFS('caseload data'!K:K,'caseload data'!$D:$D,"DMY",'caseload data'!$A:$A,'HMIP caseload divisional'!$B$5)</f>
        <v>0</v>
      </c>
      <c r="J40" s="234">
        <f>SUMIFS('caseload data'!L:L,'caseload data'!$D:$D,"DMY",'caseload data'!$A:$A,'HMIP caseload divisional'!$B$5)</f>
        <v>0</v>
      </c>
      <c r="K40" s="234">
        <f>SUMIFS('caseload data'!M:M,'caseload data'!$D:$D,"DMY",'caseload data'!$A:$A,'HMIP caseload divisional'!$B$5)</f>
        <v>0</v>
      </c>
      <c r="L40" s="234">
        <f>SUMIFS('caseload data'!N:N,'caseload data'!$D:$D,"DMY",'caseload data'!$A:$A,'HMIP caseload divisional'!$B$5)</f>
        <v>0</v>
      </c>
      <c r="M40" s="234">
        <f>SUMIFS('caseload data'!O:O,'caseload data'!$D:$D,"DMY",'caseload data'!$A:$A,'HMIP caseload divisional'!$B$5)</f>
        <v>0</v>
      </c>
      <c r="N40" s="234">
        <f>SUMIFS('caseload data'!P:P,'caseload data'!$D:$D,"DMY",'caseload data'!$A:$A,'HMIP caseload divisional'!$B$5)</f>
        <v>0</v>
      </c>
      <c r="O40" s="234">
        <f>SUMIFS('caseload data'!Q:Q,'caseload data'!$D:$D,"DMY",'caseload data'!$A:$A,'HMIP caseload divisional'!$B$5)</f>
        <v>0</v>
      </c>
      <c r="P40" s="234">
        <f>SUMIFS('caseload data'!R:R,'caseload data'!$D:$D,"DMY",'caseload data'!$A:$A,'HMIP caseload divisional'!$B$5)</f>
        <v>0</v>
      </c>
      <c r="Q40" s="234">
        <f>SUMIFS('caseload data'!S:S,'caseload data'!$D:$D,"DMY",'caseload data'!$A:$A,'HMIP caseload divisional'!$B$5)</f>
        <v>0</v>
      </c>
      <c r="R40" s="234">
        <f>SUMIFS('caseload data'!T:T,'caseload data'!$D:$D,"DMY",'caseload data'!$A:$A,'HMIP caseload divisional'!$B$5)</f>
        <v>0</v>
      </c>
      <c r="S40" s="234">
        <f>SUMIFS('caseload data'!U:U,'caseload data'!$D:$D,"DMY",'caseload data'!$A:$A,'HMIP caseload divisional'!$B$5)</f>
        <v>0</v>
      </c>
      <c r="T40" s="234">
        <f t="shared" ref="T40" si="6">SUM(C40:S40)</f>
        <v>0</v>
      </c>
    </row>
    <row r="41" spans="2:20" x14ac:dyDescent="0.15">
      <c r="B41" s="171"/>
      <c r="C41" s="237"/>
      <c r="D41" s="237"/>
      <c r="E41" s="237"/>
      <c r="F41" s="237"/>
      <c r="G41" s="237"/>
      <c r="H41" s="237"/>
      <c r="I41" s="237"/>
      <c r="J41" s="237"/>
      <c r="K41" s="237"/>
      <c r="L41" s="237"/>
      <c r="M41" s="237"/>
      <c r="N41" s="237"/>
      <c r="O41" s="237"/>
      <c r="P41" s="237"/>
      <c r="Q41" s="237"/>
      <c r="R41" s="237"/>
      <c r="S41" s="237"/>
      <c r="T41" s="64"/>
    </row>
    <row r="42" spans="2:20" ht="29.25" customHeight="1" x14ac:dyDescent="0.15">
      <c r="B42" s="367" t="str">
        <f>B5</f>
        <v>London</v>
      </c>
      <c r="C42" s="432" t="s">
        <v>1027</v>
      </c>
      <c r="D42" s="433"/>
      <c r="E42" s="433"/>
      <c r="F42" s="433"/>
      <c r="G42" s="433"/>
      <c r="H42" s="433"/>
      <c r="I42" s="433"/>
      <c r="J42" s="433"/>
      <c r="K42" s="433"/>
      <c r="L42" s="433"/>
      <c r="M42" s="433"/>
      <c r="N42" s="433"/>
      <c r="O42" s="433"/>
      <c r="P42" s="433"/>
      <c r="Q42" s="433"/>
      <c r="R42" s="433"/>
      <c r="S42" s="433"/>
      <c r="T42" s="433"/>
    </row>
    <row r="43" spans="2:20" x14ac:dyDescent="0.15">
      <c r="B43" s="368" t="s">
        <v>1001</v>
      </c>
      <c r="C43" s="288" t="s">
        <v>864</v>
      </c>
      <c r="D43" s="288" t="s">
        <v>865</v>
      </c>
      <c r="E43" s="288" t="s">
        <v>866</v>
      </c>
      <c r="F43" s="288" t="s">
        <v>867</v>
      </c>
      <c r="G43" s="288" t="s">
        <v>868</v>
      </c>
      <c r="H43" s="288" t="s">
        <v>869</v>
      </c>
      <c r="I43" s="288" t="s">
        <v>870</v>
      </c>
      <c r="J43" s="288" t="s">
        <v>871</v>
      </c>
      <c r="K43" s="288" t="s">
        <v>872</v>
      </c>
      <c r="L43" s="288" t="s">
        <v>873</v>
      </c>
      <c r="M43" s="288" t="s">
        <v>874</v>
      </c>
      <c r="N43" s="288" t="s">
        <v>875</v>
      </c>
      <c r="O43" s="288" t="s">
        <v>876</v>
      </c>
      <c r="P43" s="288" t="s">
        <v>877</v>
      </c>
      <c r="Q43" s="288" t="s">
        <v>878</v>
      </c>
      <c r="R43" s="288" t="s">
        <v>879</v>
      </c>
      <c r="S43" s="288" t="s">
        <v>1026</v>
      </c>
      <c r="T43" s="288" t="s">
        <v>959</v>
      </c>
    </row>
    <row r="44" spans="2:20" x14ac:dyDescent="0.15">
      <c r="B44" s="365" t="s">
        <v>997</v>
      </c>
      <c r="C44" s="366">
        <f>SUMIFS('caseload data'!E:E,'caseload data'!$D:$D,"PO",'caseload data'!$A:$A,'HMIP caseload divisional'!$B$5, 'caseload data'!$B:$B, "community")</f>
        <v>0</v>
      </c>
      <c r="D44" s="234">
        <f>SUMIFS('caseload data'!F:F,'caseload data'!$D:$D,"PO",'caseload data'!$A:$A,'HMIP caseload divisional'!$B$5, 'caseload data'!$B:$B, "community")</f>
        <v>0</v>
      </c>
      <c r="E44" s="234">
        <f>SUMIFS('caseload data'!G:G,'caseload data'!$D:$D,"PO",'caseload data'!$A:$A,'HMIP caseload divisional'!$B$5, 'caseload data'!$B:$B, "community")</f>
        <v>0</v>
      </c>
      <c r="F44" s="234">
        <f>SUMIFS('caseload data'!H:H,'caseload data'!$D:$D,"PO",'caseload data'!$A:$A,'HMIP caseload divisional'!$B$5, 'caseload data'!$B:$B, "community")</f>
        <v>0</v>
      </c>
      <c r="G44" s="234">
        <f>SUMIFS('caseload data'!I:I,'caseload data'!$D:$D,"PO",'caseload data'!$A:$A,'HMIP caseload divisional'!$B$5, 'caseload data'!$B:$B, "community")</f>
        <v>0</v>
      </c>
      <c r="H44" s="234">
        <f>SUMIFS('caseload data'!J:J,'caseload data'!$D:$D,"PO",'caseload data'!$A:$A,'HMIP caseload divisional'!$B$5, 'caseload data'!$B:$B, "community")</f>
        <v>0</v>
      </c>
      <c r="I44" s="234">
        <f>SUMIFS('caseload data'!K:K,'caseload data'!$D:$D,"PO",'caseload data'!$A:$A,'HMIP caseload divisional'!$B$5, 'caseload data'!$B:$B, "community")</f>
        <v>0</v>
      </c>
      <c r="J44" s="234">
        <f>SUMIFS('caseload data'!L:L,'caseload data'!$D:$D,"PO",'caseload data'!$A:$A,'HMIP caseload divisional'!$B$5, 'caseload data'!$B:$B, "community")</f>
        <v>0</v>
      </c>
      <c r="K44" s="234">
        <f>SUMIFS('caseload data'!M:M,'caseload data'!$D:$D,"PO",'caseload data'!$A:$A,'HMIP caseload divisional'!$B$5, 'caseload data'!$B:$B, "community")</f>
        <v>0</v>
      </c>
      <c r="L44" s="234">
        <f>SUMIFS('caseload data'!N:N,'caseload data'!$D:$D,"PO",'caseload data'!$A:$A,'HMIP caseload divisional'!$B$5, 'caseload data'!$B:$B, "community")</f>
        <v>0</v>
      </c>
      <c r="M44" s="234">
        <f>SUMIFS('caseload data'!O:O,'caseload data'!$D:$D,"PO",'caseload data'!$A:$A,'HMIP caseload divisional'!$B$5, 'caseload data'!$B:$B, "community")</f>
        <v>0</v>
      </c>
      <c r="N44" s="234">
        <f>SUMIFS('caseload data'!P:P,'caseload data'!$D:$D,"PO",'caseload data'!$A:$A,'HMIP caseload divisional'!$B$5, 'caseload data'!$B:$B, "community")</f>
        <v>0</v>
      </c>
      <c r="O44" s="234">
        <f>SUMIFS('caseload data'!Q:Q,'caseload data'!$D:$D,"PO",'caseload data'!$A:$A,'HMIP caseload divisional'!$B$5, 'caseload data'!$B:$B, "community")</f>
        <v>0</v>
      </c>
      <c r="P44" s="234">
        <f>SUMIFS('caseload data'!R:R,'caseload data'!$D:$D,"PO",'caseload data'!$A:$A,'HMIP caseload divisional'!$B$5, 'caseload data'!$B:$B, "community")</f>
        <v>0</v>
      </c>
      <c r="Q44" s="234">
        <f>SUMIFS('caseload data'!S:S,'caseload data'!$D:$D,"PO",'caseload data'!$A:$A,'HMIP caseload divisional'!$B$5, 'caseload data'!$B:$B, "community")</f>
        <v>0</v>
      </c>
      <c r="R44" s="234">
        <f>SUMIFS('caseload data'!T:T,'caseload data'!$D:$D,"PO",'caseload data'!$A:$A,'HMIP caseload divisional'!$B$5, 'caseload data'!$B:$B, "community")</f>
        <v>0</v>
      </c>
      <c r="S44" s="234">
        <f>SUMIFS('caseload data'!U:U,'caseload data'!$D:$D,"PO",'caseload data'!$A:$A,'HMIP caseload divisional'!$B$5, 'caseload data'!$B:$B, "community")</f>
        <v>0</v>
      </c>
      <c r="T44" s="234">
        <f>SUM(C44:S44)</f>
        <v>0</v>
      </c>
    </row>
    <row r="45" spans="2:20" x14ac:dyDescent="0.15">
      <c r="B45" s="365" t="s">
        <v>1002</v>
      </c>
      <c r="C45" s="366">
        <f>SUMIFS('caseload data'!E:E,'caseload data'!$D:$D,"PSO",'caseload data'!$A:$A,'HMIP caseload divisional'!$B$5, 'caseload data'!$B:$B, "community")</f>
        <v>0</v>
      </c>
      <c r="D45" s="234">
        <f>SUMIFS('caseload data'!F:F,'caseload data'!$D:$D,"PSO",'caseload data'!$A:$A,'HMIP caseload divisional'!$B$5, 'caseload data'!$B:$B, "community")</f>
        <v>0</v>
      </c>
      <c r="E45" s="234">
        <f>SUMIFS('caseload data'!G:G,'caseload data'!$D:$D,"PSO",'caseload data'!$A:$A,'HMIP caseload divisional'!$B$5, 'caseload data'!$B:$B, "community")</f>
        <v>0</v>
      </c>
      <c r="F45" s="234">
        <f>SUMIFS('caseload data'!H:H,'caseload data'!$D:$D,"PSO",'caseload data'!$A:$A,'HMIP caseload divisional'!$B$5, 'caseload data'!$B:$B, "community")</f>
        <v>0</v>
      </c>
      <c r="G45" s="234">
        <f>SUMIFS('caseload data'!I:I,'caseload data'!$D:$D,"PSO",'caseload data'!$A:$A,'HMIP caseload divisional'!$B$5, 'caseload data'!$B:$B, "community")</f>
        <v>0</v>
      </c>
      <c r="H45" s="234">
        <f>SUMIFS('caseload data'!J:J,'caseload data'!$D:$D,"PSO",'caseload data'!$A:$A,'HMIP caseload divisional'!$B$5, 'caseload data'!$B:$B, "community")</f>
        <v>0</v>
      </c>
      <c r="I45" s="234">
        <f>SUMIFS('caseload data'!K:K,'caseload data'!$D:$D,"PSO",'caseload data'!$A:$A,'HMIP caseload divisional'!$B$5, 'caseload data'!$B:$B, "community")</f>
        <v>0</v>
      </c>
      <c r="J45" s="234">
        <f>SUMIFS('caseload data'!L:L,'caseload data'!$D:$D,"PSO",'caseload data'!$A:$A,'HMIP caseload divisional'!$B$5, 'caseload data'!$B:$B, "community")</f>
        <v>0</v>
      </c>
      <c r="K45" s="234">
        <f>SUMIFS('caseload data'!M:M,'caseload data'!$D:$D,"PSO",'caseload data'!$A:$A,'HMIP caseload divisional'!$B$5, 'caseload data'!$B:$B, "community")</f>
        <v>0</v>
      </c>
      <c r="L45" s="234">
        <f>SUMIFS('caseload data'!N:N,'caseload data'!$D:$D,"PSO",'caseload data'!$A:$A,'HMIP caseload divisional'!$B$5, 'caseload data'!$B:$B, "community")</f>
        <v>0</v>
      </c>
      <c r="M45" s="234">
        <f>SUMIFS('caseload data'!O:O,'caseload data'!$D:$D,"PSO",'caseload data'!$A:$A,'HMIP caseload divisional'!$B$5, 'caseload data'!$B:$B, "community")</f>
        <v>0</v>
      </c>
      <c r="N45" s="234">
        <f>SUMIFS('caseload data'!P:P,'caseload data'!$D:$D,"PSO",'caseload data'!$A:$A,'HMIP caseload divisional'!$B$5, 'caseload data'!$B:$B, "community")</f>
        <v>0</v>
      </c>
      <c r="O45" s="234">
        <f>SUMIFS('caseload data'!Q:Q,'caseload data'!$D:$D,"PSO",'caseload data'!$A:$A,'HMIP caseload divisional'!$B$5, 'caseload data'!$B:$B, "community")</f>
        <v>0</v>
      </c>
      <c r="P45" s="234">
        <f>SUMIFS('caseload data'!R:R,'caseload data'!$D:$D,"PSO",'caseload data'!$A:$A,'HMIP caseload divisional'!$B$5, 'caseload data'!$B:$B, "community")</f>
        <v>0</v>
      </c>
      <c r="Q45" s="234">
        <f>SUMIFS('caseload data'!S:S,'caseload data'!$D:$D,"PSO",'caseload data'!$A:$A,'HMIP caseload divisional'!$B$5, 'caseload data'!$B:$B, "community")</f>
        <v>0</v>
      </c>
      <c r="R45" s="234">
        <f>SUMIFS('caseload data'!T:T,'caseload data'!$D:$D,"PSO",'caseload data'!$A:$A,'HMIP caseload divisional'!$B$5, 'caseload data'!$B:$B, "community")</f>
        <v>0</v>
      </c>
      <c r="S45" s="234">
        <f>SUMIFS('caseload data'!U:U,'caseload data'!$D:$D,"PSO",'caseload data'!$A:$A,'HMIP caseload divisional'!$B$5, 'caseload data'!$B:$B, "community")</f>
        <v>0</v>
      </c>
      <c r="T45" s="234">
        <f t="shared" ref="T45:T47" si="7">SUM(C45:S45)</f>
        <v>0</v>
      </c>
    </row>
    <row r="46" spans="2:20" x14ac:dyDescent="0.15">
      <c r="B46" s="365" t="s">
        <v>1003</v>
      </c>
      <c r="C46" s="366">
        <f>SUMIFS('caseload data'!E:E,'caseload data'!$D:$D,"TPO",'caseload data'!$A:$A,'HMIP caseload divisional'!$B$5, 'caseload data'!$B:$B, "community")</f>
        <v>0</v>
      </c>
      <c r="D46" s="234">
        <f>SUMIFS('caseload data'!F:F,'caseload data'!$D:$D,"TPO",'caseload data'!$A:$A,'HMIP caseload divisional'!$B$5, 'caseload data'!$B:$B, "community")</f>
        <v>0</v>
      </c>
      <c r="E46" s="234">
        <f>SUMIFS('caseload data'!G:G,'caseload data'!$D:$D,"TPO",'caseload data'!$A:$A,'HMIP caseload divisional'!$B$5, 'caseload data'!$B:$B, "community")</f>
        <v>0</v>
      </c>
      <c r="F46" s="234">
        <f>SUMIFS('caseload data'!H:H,'caseload data'!$D:$D,"TPO",'caseload data'!$A:$A,'HMIP caseload divisional'!$B$5, 'caseload data'!$B:$B, "community")</f>
        <v>0</v>
      </c>
      <c r="G46" s="234">
        <f>SUMIFS('caseload data'!I:I,'caseload data'!$D:$D,"TPO",'caseload data'!$A:$A,'HMIP caseload divisional'!$B$5, 'caseload data'!$B:$B, "community")</f>
        <v>0</v>
      </c>
      <c r="H46" s="234">
        <f>SUMIFS('caseload data'!J:J,'caseload data'!$D:$D,"TPO",'caseload data'!$A:$A,'HMIP caseload divisional'!$B$5, 'caseload data'!$B:$B, "community")</f>
        <v>0</v>
      </c>
      <c r="I46" s="234">
        <f>SUMIFS('caseload data'!K:K,'caseload data'!$D:$D,"TPO",'caseload data'!$A:$A,'HMIP caseload divisional'!$B$5, 'caseload data'!$B:$B, "community")</f>
        <v>0</v>
      </c>
      <c r="J46" s="234">
        <f>SUMIFS('caseload data'!L:L,'caseload data'!$D:$D,"TPO",'caseload data'!$A:$A,'HMIP caseload divisional'!$B$5, 'caseload data'!$B:$B, "community")</f>
        <v>0</v>
      </c>
      <c r="K46" s="234">
        <f>SUMIFS('caseload data'!M:M,'caseload data'!$D:$D,"TPO",'caseload data'!$A:$A,'HMIP caseload divisional'!$B$5, 'caseload data'!$B:$B, "community")</f>
        <v>0</v>
      </c>
      <c r="L46" s="234">
        <f>SUMIFS('caseload data'!N:N,'caseload data'!$D:$D,"TPO",'caseload data'!$A:$A,'HMIP caseload divisional'!$B$5, 'caseload data'!$B:$B, "community")</f>
        <v>0</v>
      </c>
      <c r="M46" s="234">
        <f>SUMIFS('caseload data'!O:O,'caseload data'!$D:$D,"TPO",'caseload data'!$A:$A,'HMIP caseload divisional'!$B$5, 'caseload data'!$B:$B, "community")</f>
        <v>0</v>
      </c>
      <c r="N46" s="234">
        <f>SUMIFS('caseload data'!P:P,'caseload data'!$D:$D,"TPO",'caseload data'!$A:$A,'HMIP caseload divisional'!$B$5, 'caseload data'!$B:$B, "community")</f>
        <v>0</v>
      </c>
      <c r="O46" s="234">
        <f>SUMIFS('caseload data'!Q:Q,'caseload data'!$D:$D,"TPO",'caseload data'!$A:$A,'HMIP caseload divisional'!$B$5, 'caseload data'!$B:$B, "community")</f>
        <v>0</v>
      </c>
      <c r="P46" s="234">
        <f>SUMIFS('caseload data'!R:R,'caseload data'!$D:$D,"TPO",'caseload data'!$A:$A,'HMIP caseload divisional'!$B$5, 'caseload data'!$B:$B, "community")</f>
        <v>0</v>
      </c>
      <c r="Q46" s="234">
        <f>SUMIFS('caseload data'!S:S,'caseload data'!$D:$D,"TPO",'caseload data'!$A:$A,'HMIP caseload divisional'!$B$5, 'caseload data'!$B:$B, "community")</f>
        <v>0</v>
      </c>
      <c r="R46" s="234">
        <f>SUMIFS('caseload data'!T:T,'caseload data'!$D:$D,"TPO",'caseload data'!$A:$A,'HMIP caseload divisional'!$B$5, 'caseload data'!$B:$B, "community")</f>
        <v>0</v>
      </c>
      <c r="S46" s="234">
        <f>SUMIFS('caseload data'!U:U,'caseload data'!$D:$D,"TPO",'caseload data'!$A:$A,'HMIP caseload divisional'!$B$5, 'caseload data'!$B:$B, "community")</f>
        <v>0</v>
      </c>
      <c r="T46" s="234">
        <f t="shared" si="7"/>
        <v>0</v>
      </c>
    </row>
    <row r="47" spans="2:20" x14ac:dyDescent="0.15">
      <c r="B47" s="365" t="s">
        <v>1004</v>
      </c>
      <c r="C47" s="366">
        <f>SUMIFS('caseload data'!E:E,'caseload data'!$D:$D,"SPO",'caseload data'!$A:$A,$B$5, 'caseload data'!$B:$B, "community")</f>
        <v>0</v>
      </c>
      <c r="D47" s="234">
        <f>SUMIFS('caseload data'!F:F,'caseload data'!$D:$D,"SPO",'caseload data'!$A:$A,$B$5, 'caseload data'!$B:$B, "community")</f>
        <v>0</v>
      </c>
      <c r="E47" s="234">
        <f>SUMIFS('caseload data'!G:G,'caseload data'!$D:$D,"SPO",'caseload data'!$A:$A,$B$5, 'caseload data'!$B:$B, "community")</f>
        <v>0</v>
      </c>
      <c r="F47" s="234">
        <f>SUMIFS('caseload data'!H:H,'caseload data'!$D:$D,"SPO",'caseload data'!$A:$A,$B$5, 'caseload data'!$B:$B, "community")</f>
        <v>0</v>
      </c>
      <c r="G47" s="234">
        <f>SUMIFS('caseload data'!I:I,'caseload data'!$D:$D,"SPO",'caseload data'!$A:$A,$B$5, 'caseload data'!$B:$B, "community")</f>
        <v>0</v>
      </c>
      <c r="H47" s="234">
        <f>SUMIFS('caseload data'!J:J,'caseload data'!$D:$D,"SPO",'caseload data'!$A:$A,$B$5, 'caseload data'!$B:$B, "community")</f>
        <v>0</v>
      </c>
      <c r="I47" s="234">
        <f>SUMIFS('caseload data'!K:K,'caseload data'!$D:$D,"SPO",'caseload data'!$A:$A,$B$5, 'caseload data'!$B:$B, "community")</f>
        <v>0</v>
      </c>
      <c r="J47" s="234">
        <f>SUMIFS('caseload data'!L:L,'caseload data'!$D:$D,"SPO",'caseload data'!$A:$A,$B$5, 'caseload data'!$B:$B, "community")</f>
        <v>0</v>
      </c>
      <c r="K47" s="234">
        <f>SUMIFS('caseload data'!M:M,'caseload data'!$D:$D,"SPO",'caseload data'!$A:$A,$B$5, 'caseload data'!$B:$B, "community")</f>
        <v>0</v>
      </c>
      <c r="L47" s="234">
        <f>SUMIFS('caseload data'!N:N,'caseload data'!$D:$D,"SPO",'caseload data'!$A:$A,$B$5, 'caseload data'!$B:$B, "community")</f>
        <v>0</v>
      </c>
      <c r="M47" s="234">
        <f>SUMIFS('caseload data'!O:O,'caseload data'!$D:$D,"SPO",'caseload data'!$A:$A,$B$5, 'caseload data'!$B:$B, "community")</f>
        <v>0</v>
      </c>
      <c r="N47" s="234">
        <f>SUMIFS('caseload data'!P:P,'caseload data'!$D:$D,"SPO",'caseload data'!$A:$A,$B$5, 'caseload data'!$B:$B, "community")</f>
        <v>0</v>
      </c>
      <c r="O47" s="234">
        <f>SUMIFS('caseload data'!Q:Q,'caseload data'!$D:$D,"SPO",'caseload data'!$A:$A,$B$5, 'caseload data'!$B:$B, "community")</f>
        <v>0</v>
      </c>
      <c r="P47" s="234">
        <f>SUMIFS('caseload data'!R:R,'caseload data'!$D:$D,"SPO",'caseload data'!$A:$A,$B$5, 'caseload data'!$B:$B, "community")</f>
        <v>0</v>
      </c>
      <c r="Q47" s="234">
        <f>SUMIFS('caseload data'!S:S,'caseload data'!$D:$D,"SPO",'caseload data'!$A:$A,$B$5, 'caseload data'!$B:$B, "community")</f>
        <v>0</v>
      </c>
      <c r="R47" s="234">
        <f>SUMIFS('caseload data'!T:T,'caseload data'!$D:$D,"SPO",'caseload data'!$A:$A,$B$5, 'caseload data'!$B:$B, "community")</f>
        <v>0</v>
      </c>
      <c r="S47" s="234">
        <f>SUMIFS('caseload data'!U:U,'caseload data'!$D:$D,"SPO",'caseload data'!$A:$A,$B$5, 'caseload data'!$B:$B, "community")</f>
        <v>0</v>
      </c>
      <c r="T47" s="234">
        <f t="shared" si="7"/>
        <v>0</v>
      </c>
    </row>
    <row r="48" spans="2:20" x14ac:dyDescent="0.15">
      <c r="B48" s="144" t="s">
        <v>1339</v>
      </c>
      <c r="C48" s="366">
        <f>SUMIFS('caseload data'!E:E,'caseload data'!$D:$D,"DMY",'caseload data'!$A:$A,'HMIP caseload divisional'!$B$5, 'caseload data'!$B:$B, "community")</f>
        <v>0</v>
      </c>
      <c r="D48" s="234">
        <f>SUMIFS('caseload data'!F:F,'caseload data'!$D:$D,"DMY",'caseload data'!$A:$A,'HMIP caseload divisional'!$B$5, 'caseload data'!$B:$B, "community")</f>
        <v>0</v>
      </c>
      <c r="E48" s="234">
        <f>SUMIFS('caseload data'!G:G,'caseload data'!$D:$D,"DMY",'caseload data'!$A:$A,'HMIP caseload divisional'!$B$5, 'caseload data'!$B:$B, "community")</f>
        <v>0</v>
      </c>
      <c r="F48" s="234">
        <f>SUMIFS('caseload data'!H:H,'caseload data'!$D:$D,"DMY",'caseload data'!$A:$A,'HMIP caseload divisional'!$B$5, 'caseload data'!$B:$B, "community")</f>
        <v>0</v>
      </c>
      <c r="G48" s="234">
        <f>SUMIFS('caseload data'!I:I,'caseload data'!$D:$D,"DMY",'caseload data'!$A:$A,'HMIP caseload divisional'!$B$5, 'caseload data'!$B:$B, "community")</f>
        <v>0</v>
      </c>
      <c r="H48" s="234">
        <f>SUMIFS('caseload data'!J:J,'caseload data'!$D:$D,"DMY",'caseload data'!$A:$A,'HMIP caseload divisional'!$B$5, 'caseload data'!$B:$B, "community")</f>
        <v>0</v>
      </c>
      <c r="I48" s="234">
        <f>SUMIFS('caseload data'!K:K,'caseload data'!$D:$D,"DMY",'caseload data'!$A:$A,'HMIP caseload divisional'!$B$5, 'caseload data'!$B:$B, "community")</f>
        <v>0</v>
      </c>
      <c r="J48" s="234">
        <f>SUMIFS('caseload data'!L:L,'caseload data'!$D:$D,"DMY",'caseload data'!$A:$A,'HMIP caseload divisional'!$B$5, 'caseload data'!$B:$B, "community")</f>
        <v>0</v>
      </c>
      <c r="K48" s="234">
        <f>SUMIFS('caseload data'!M:M,'caseload data'!$D:$D,"DMY",'caseload data'!$A:$A,'HMIP caseload divisional'!$B$5, 'caseload data'!$B:$B, "community")</f>
        <v>0</v>
      </c>
      <c r="L48" s="234">
        <f>SUMIFS('caseload data'!N:N,'caseload data'!$D:$D,"DMY",'caseload data'!$A:$A,'HMIP caseload divisional'!$B$5, 'caseload data'!$B:$B, "community")</f>
        <v>0</v>
      </c>
      <c r="M48" s="234">
        <f>SUMIFS('caseload data'!O:O,'caseload data'!$D:$D,"DMY",'caseload data'!$A:$A,'HMIP caseload divisional'!$B$5, 'caseload data'!$B:$B, "community")</f>
        <v>0</v>
      </c>
      <c r="N48" s="234">
        <f>SUMIFS('caseload data'!P:P,'caseload data'!$D:$D,"DMY",'caseload data'!$A:$A,'HMIP caseload divisional'!$B$5, 'caseload data'!$B:$B, "community")</f>
        <v>0</v>
      </c>
      <c r="O48" s="234">
        <f>SUMIFS('caseload data'!Q:Q,'caseload data'!$D:$D,"DMY",'caseload data'!$A:$A,'HMIP caseload divisional'!$B$5, 'caseload data'!$B:$B, "community")</f>
        <v>0</v>
      </c>
      <c r="P48" s="234">
        <f>SUMIFS('caseload data'!R:R,'caseload data'!$D:$D,"DMY",'caseload data'!$A:$A,'HMIP caseload divisional'!$B$5, 'caseload data'!$B:$B, "community")</f>
        <v>0</v>
      </c>
      <c r="Q48" s="234">
        <f>SUMIFS('caseload data'!S:S,'caseload data'!$D:$D,"DMY",'caseload data'!$A:$A,'HMIP caseload divisional'!$B$5, 'caseload data'!$B:$B, "community")</f>
        <v>0</v>
      </c>
      <c r="R48" s="234">
        <f>SUMIFS('caseload data'!T:T,'caseload data'!$D:$D,"DMY",'caseload data'!$A:$A,'HMIP caseload divisional'!$B$5, 'caseload data'!$B:$B, "community")</f>
        <v>0</v>
      </c>
      <c r="S48" s="234">
        <f>SUMIFS('caseload data'!U:U,'caseload data'!$D:$D,"DMY",'caseload data'!$A:$A,'HMIP caseload divisional'!$B$5, 'caseload data'!$B:$B, "community")</f>
        <v>0</v>
      </c>
      <c r="T48" s="234">
        <f t="shared" ref="T48" si="8">SUM(C48:S48)</f>
        <v>0</v>
      </c>
    </row>
    <row r="49" spans="2:20" x14ac:dyDescent="0.15">
      <c r="B49" s="171"/>
      <c r="C49" s="237"/>
      <c r="D49" s="237"/>
      <c r="E49" s="237"/>
      <c r="F49" s="237"/>
      <c r="G49" s="237"/>
      <c r="H49" s="237"/>
      <c r="I49" s="237"/>
      <c r="J49" s="237"/>
      <c r="K49" s="237"/>
      <c r="L49" s="237"/>
      <c r="M49" s="237"/>
      <c r="N49" s="237"/>
      <c r="O49" s="237"/>
      <c r="P49" s="237"/>
      <c r="Q49" s="237"/>
      <c r="R49" s="237"/>
      <c r="S49" s="237"/>
      <c r="T49" s="64"/>
    </row>
    <row r="50" spans="2:20" ht="27.75" customHeight="1" x14ac:dyDescent="0.15">
      <c r="B50" s="298" t="str">
        <f>B5</f>
        <v>London</v>
      </c>
      <c r="C50" s="432" t="s">
        <v>1028</v>
      </c>
      <c r="D50" s="433"/>
      <c r="E50" s="433"/>
      <c r="F50" s="433"/>
      <c r="G50" s="433"/>
      <c r="H50" s="433"/>
      <c r="I50" s="433"/>
      <c r="J50" s="433"/>
      <c r="K50" s="433"/>
      <c r="L50" s="433"/>
      <c r="M50" s="433"/>
      <c r="N50" s="433"/>
      <c r="O50" s="433"/>
      <c r="P50" s="433"/>
      <c r="Q50" s="433"/>
      <c r="R50" s="433"/>
      <c r="S50" s="433"/>
      <c r="T50" s="433"/>
    </row>
    <row r="51" spans="2:20" x14ac:dyDescent="0.15">
      <c r="B51" s="95" t="s">
        <v>1001</v>
      </c>
      <c r="C51" s="288" t="s">
        <v>864</v>
      </c>
      <c r="D51" s="288" t="s">
        <v>865</v>
      </c>
      <c r="E51" s="288" t="s">
        <v>866</v>
      </c>
      <c r="F51" s="288" t="s">
        <v>867</v>
      </c>
      <c r="G51" s="288" t="s">
        <v>868</v>
      </c>
      <c r="H51" s="288" t="s">
        <v>869</v>
      </c>
      <c r="I51" s="288" t="s">
        <v>870</v>
      </c>
      <c r="J51" s="288" t="s">
        <v>871</v>
      </c>
      <c r="K51" s="288" t="s">
        <v>872</v>
      </c>
      <c r="L51" s="288" t="s">
        <v>873</v>
      </c>
      <c r="M51" s="288" t="s">
        <v>874</v>
      </c>
      <c r="N51" s="288" t="s">
        <v>875</v>
      </c>
      <c r="O51" s="288" t="s">
        <v>876</v>
      </c>
      <c r="P51" s="288" t="s">
        <v>877</v>
      </c>
      <c r="Q51" s="288" t="s">
        <v>878</v>
      </c>
      <c r="R51" s="288" t="s">
        <v>879</v>
      </c>
      <c r="S51" s="288" t="s">
        <v>1026</v>
      </c>
      <c r="T51" s="288" t="s">
        <v>959</v>
      </c>
    </row>
    <row r="52" spans="2:20" x14ac:dyDescent="0.15">
      <c r="B52" s="365" t="s">
        <v>997</v>
      </c>
      <c r="C52" s="366">
        <f>SUMIFS('caseload data'!E:E,'caseload data'!$D:$D,"PO",'caseload data'!$A:$A,'HMIP caseload divisional'!$B$5, 'caseload data'!$B:$B, "licence")</f>
        <v>0</v>
      </c>
      <c r="D52" s="234">
        <f>SUMIFS('caseload data'!F:F,'caseload data'!$D:$D,"PO",'caseload data'!$A:$A,'HMIP caseload divisional'!$B$5, 'caseload data'!$B:$B, "licence")</f>
        <v>0</v>
      </c>
      <c r="E52" s="234">
        <f>SUMIFS('caseload data'!G:G,'caseload data'!$D:$D,"PO",'caseload data'!$A:$A,'HMIP caseload divisional'!$B$5, 'caseload data'!$B:$B, "licence")</f>
        <v>0</v>
      </c>
      <c r="F52" s="234">
        <f>SUMIFS('caseload data'!H:H,'caseload data'!$D:$D,"PO",'caseload data'!$A:$A,'HMIP caseload divisional'!$B$5, 'caseload data'!$B:$B, "licence")</f>
        <v>0</v>
      </c>
      <c r="G52" s="234">
        <f>SUMIFS('caseload data'!I:I,'caseload data'!$D:$D,"PO",'caseload data'!$A:$A,'HMIP caseload divisional'!$B$5, 'caseload data'!$B:$B, "licence")</f>
        <v>0</v>
      </c>
      <c r="H52" s="234">
        <f>SUMIFS('caseload data'!J:J,'caseload data'!$D:$D,"PO",'caseload data'!$A:$A,'HMIP caseload divisional'!$B$5, 'caseload data'!$B:$B, "licence")</f>
        <v>0</v>
      </c>
      <c r="I52" s="234">
        <f>SUMIFS('caseload data'!K:K,'caseload data'!$D:$D,"PO",'caseload data'!$A:$A,'HMIP caseload divisional'!$B$5, 'caseload data'!$B:$B, "licence")</f>
        <v>0</v>
      </c>
      <c r="J52" s="234">
        <f>SUMIFS('caseload data'!L:L,'caseload data'!$D:$D,"PO",'caseload data'!$A:$A,'HMIP caseload divisional'!$B$5, 'caseload data'!$B:$B, "licence")</f>
        <v>0</v>
      </c>
      <c r="K52" s="234">
        <f>SUMIFS('caseload data'!M:M,'caseload data'!$D:$D,"PO",'caseload data'!$A:$A,'HMIP caseload divisional'!$B$5, 'caseload data'!$B:$B, "licence")</f>
        <v>0</v>
      </c>
      <c r="L52" s="234">
        <f>SUMIFS('caseload data'!N:N,'caseload data'!$D:$D,"PO",'caseload data'!$A:$A,'HMIP caseload divisional'!$B$5, 'caseload data'!$B:$B, "licence")</f>
        <v>0</v>
      </c>
      <c r="M52" s="234">
        <f>SUMIFS('caseload data'!O:O,'caseload data'!$D:$D,"PO",'caseload data'!$A:$A,'HMIP caseload divisional'!$B$5, 'caseload data'!$B:$B, "licence")</f>
        <v>0</v>
      </c>
      <c r="N52" s="234">
        <f>SUMIFS('caseload data'!P:P,'caseload data'!$D:$D,"PO",'caseload data'!$A:$A,'HMIP caseload divisional'!$B$5, 'caseload data'!$B:$B, "licence")</f>
        <v>0</v>
      </c>
      <c r="O52" s="234">
        <f>SUMIFS('caseload data'!Q:Q,'caseload data'!$D:$D,"PO",'caseload data'!$A:$A,'HMIP caseload divisional'!$B$5, 'caseload data'!$B:$B, "licence")</f>
        <v>0</v>
      </c>
      <c r="P52" s="234">
        <f>SUMIFS('caseload data'!R:R,'caseload data'!$D:$D,"PO",'caseload data'!$A:$A,'HMIP caseload divisional'!$B$5, 'caseload data'!$B:$B, "licence")</f>
        <v>0</v>
      </c>
      <c r="Q52" s="234">
        <f>SUMIFS('caseload data'!S:S,'caseload data'!$D:$D,"PO",'caseload data'!$A:$A,'HMIP caseload divisional'!$B$5, 'caseload data'!$B:$B, "licence")</f>
        <v>0</v>
      </c>
      <c r="R52" s="234">
        <f>SUMIFS('caseload data'!T:T,'caseload data'!$D:$D,"PO",'caseload data'!$A:$A,'HMIP caseload divisional'!$B$5, 'caseload data'!$B:$B, "licence")</f>
        <v>0</v>
      </c>
      <c r="S52" s="234">
        <f>SUMIFS('caseload data'!U:U,'caseload data'!$D:$D,"PO",'caseload data'!$A:$A,'HMIP caseload divisional'!$B$5, 'caseload data'!$B:$B, "licence")</f>
        <v>0</v>
      </c>
      <c r="T52" s="234">
        <f>SUM(C52:S52)</f>
        <v>0</v>
      </c>
    </row>
    <row r="53" spans="2:20" x14ac:dyDescent="0.15">
      <c r="B53" s="365" t="s">
        <v>1002</v>
      </c>
      <c r="C53" s="366">
        <f>SUMIFS('caseload data'!E:E,'caseload data'!$D:$D,"PSO",'caseload data'!$A:$A,'HMIP caseload divisional'!$B$5, 'caseload data'!$B:$B, "licence")</f>
        <v>0</v>
      </c>
      <c r="D53" s="234">
        <f>SUMIFS('caseload data'!F:F,'caseload data'!$D:$D,"PSO",'caseload data'!$A:$A,'HMIP caseload divisional'!$B$5, 'caseload data'!$B:$B, "licence")</f>
        <v>0</v>
      </c>
      <c r="E53" s="234">
        <f>SUMIFS('caseload data'!G:G,'caseload data'!$D:$D,"PSO",'caseload data'!$A:$A,'HMIP caseload divisional'!$B$5, 'caseload data'!$B:$B, "licence")</f>
        <v>0</v>
      </c>
      <c r="F53" s="234">
        <f>SUMIFS('caseload data'!H:H,'caseload data'!$D:$D,"PSO",'caseload data'!$A:$A,'HMIP caseload divisional'!$B$5, 'caseload data'!$B:$B, "licence")</f>
        <v>0</v>
      </c>
      <c r="G53" s="234">
        <f>SUMIFS('caseload data'!I:I,'caseload data'!$D:$D,"PSO",'caseload data'!$A:$A,'HMIP caseload divisional'!$B$5, 'caseload data'!$B:$B, "licence")</f>
        <v>0</v>
      </c>
      <c r="H53" s="234">
        <f>SUMIFS('caseload data'!J:J,'caseload data'!$D:$D,"PSO",'caseload data'!$A:$A,'HMIP caseload divisional'!$B$5, 'caseload data'!$B:$B, "licence")</f>
        <v>0</v>
      </c>
      <c r="I53" s="234">
        <f>SUMIFS('caseload data'!K:K,'caseload data'!$D:$D,"PSO",'caseload data'!$A:$A,'HMIP caseload divisional'!$B$5, 'caseload data'!$B:$B, "licence")</f>
        <v>0</v>
      </c>
      <c r="J53" s="234">
        <f>SUMIFS('caseload data'!L:L,'caseload data'!$D:$D,"PSO",'caseload data'!$A:$A,'HMIP caseload divisional'!$B$5, 'caseload data'!$B:$B, "licence")</f>
        <v>0</v>
      </c>
      <c r="K53" s="234">
        <f>SUMIFS('caseload data'!M:M,'caseload data'!$D:$D,"PSO",'caseload data'!$A:$A,'HMIP caseload divisional'!$B$5, 'caseload data'!$B:$B, "licence")</f>
        <v>0</v>
      </c>
      <c r="L53" s="234">
        <f>SUMIFS('caseload data'!N:N,'caseload data'!$D:$D,"PSO",'caseload data'!$A:$A,'HMIP caseload divisional'!$B$5, 'caseload data'!$B:$B, "licence")</f>
        <v>0</v>
      </c>
      <c r="M53" s="234">
        <f>SUMIFS('caseload data'!O:O,'caseload data'!$D:$D,"PSO",'caseload data'!$A:$A,'HMIP caseload divisional'!$B$5, 'caseload data'!$B:$B, "licence")</f>
        <v>0</v>
      </c>
      <c r="N53" s="234">
        <f>SUMIFS('caseload data'!P:P,'caseload data'!$D:$D,"PSO",'caseload data'!$A:$A,'HMIP caseload divisional'!$B$5, 'caseload data'!$B:$B, "licence")</f>
        <v>0</v>
      </c>
      <c r="O53" s="234">
        <f>SUMIFS('caseload data'!Q:Q,'caseload data'!$D:$D,"PSO",'caseload data'!$A:$A,'HMIP caseload divisional'!$B$5, 'caseload data'!$B:$B, "licence")</f>
        <v>0</v>
      </c>
      <c r="P53" s="234">
        <f>SUMIFS('caseload data'!R:R,'caseload data'!$D:$D,"PSO",'caseload data'!$A:$A,'HMIP caseload divisional'!$B$5, 'caseload data'!$B:$B, "licence")</f>
        <v>0</v>
      </c>
      <c r="Q53" s="234">
        <f>SUMIFS('caseload data'!S:S,'caseload data'!$D:$D,"PSO",'caseload data'!$A:$A,'HMIP caseload divisional'!$B$5, 'caseload data'!$B:$B, "licence")</f>
        <v>0</v>
      </c>
      <c r="R53" s="234">
        <f>SUMIFS('caseload data'!T:T,'caseload data'!$D:$D,"PSO",'caseload data'!$A:$A,'HMIP caseload divisional'!$B$5, 'caseload data'!$B:$B, "licence")</f>
        <v>0</v>
      </c>
      <c r="S53" s="234">
        <f>SUMIFS('caseload data'!U:U,'caseload data'!$D:$D,"PSO",'caseload data'!$A:$A,'HMIP caseload divisional'!$B$5, 'caseload data'!$B:$B, "licence")</f>
        <v>0</v>
      </c>
      <c r="T53" s="234">
        <f t="shared" ref="T53:T55" si="9">SUM(C53:S53)</f>
        <v>0</v>
      </c>
    </row>
    <row r="54" spans="2:20" x14ac:dyDescent="0.15">
      <c r="B54" s="365" t="s">
        <v>1003</v>
      </c>
      <c r="C54" s="366">
        <f>SUMIFS('caseload data'!E:E,'caseload data'!$D:$D,"TPO",'caseload data'!$A:$A,'HMIP caseload divisional'!$B$5, 'caseload data'!$B:$B, "licence")</f>
        <v>0</v>
      </c>
      <c r="D54" s="234">
        <f>SUMIFS('caseload data'!F:F,'caseload data'!$D:$D,"TPO",'caseload data'!$A:$A,'HMIP caseload divisional'!$B$5, 'caseload data'!$B:$B, "licence")</f>
        <v>0</v>
      </c>
      <c r="E54" s="234">
        <f>SUMIFS('caseload data'!G:G,'caseload data'!$D:$D,"TPO",'caseload data'!$A:$A,'HMIP caseload divisional'!$B$5, 'caseload data'!$B:$B, "licence")</f>
        <v>0</v>
      </c>
      <c r="F54" s="234">
        <f>SUMIFS('caseload data'!H:H,'caseload data'!$D:$D,"TPO",'caseload data'!$A:$A,'HMIP caseload divisional'!$B$5, 'caseload data'!$B:$B, "licence")</f>
        <v>0</v>
      </c>
      <c r="G54" s="234">
        <f>SUMIFS('caseload data'!I:I,'caseload data'!$D:$D,"TPO",'caseload data'!$A:$A,'HMIP caseload divisional'!$B$5, 'caseload data'!$B:$B, "licence")</f>
        <v>0</v>
      </c>
      <c r="H54" s="234">
        <f>SUMIFS('caseload data'!J:J,'caseload data'!$D:$D,"TPO",'caseload data'!$A:$A,'HMIP caseload divisional'!$B$5, 'caseload data'!$B:$B, "licence")</f>
        <v>0</v>
      </c>
      <c r="I54" s="234">
        <f>SUMIFS('caseload data'!K:K,'caseload data'!$D:$D,"TPO",'caseload data'!$A:$A,'HMIP caseload divisional'!$B$5, 'caseload data'!$B:$B, "licence")</f>
        <v>0</v>
      </c>
      <c r="J54" s="234">
        <f>SUMIFS('caseload data'!L:L,'caseload data'!$D:$D,"TPO",'caseload data'!$A:$A,'HMIP caseload divisional'!$B$5, 'caseload data'!$B:$B, "licence")</f>
        <v>0</v>
      </c>
      <c r="K54" s="234">
        <f>SUMIFS('caseload data'!M:M,'caseload data'!$D:$D,"TPO",'caseload data'!$A:$A,'HMIP caseload divisional'!$B$5, 'caseload data'!$B:$B, "licence")</f>
        <v>0</v>
      </c>
      <c r="L54" s="234">
        <f>SUMIFS('caseload data'!N:N,'caseload data'!$D:$D,"TPO",'caseload data'!$A:$A,'HMIP caseload divisional'!$B$5, 'caseload data'!$B:$B, "licence")</f>
        <v>0</v>
      </c>
      <c r="M54" s="234">
        <f>SUMIFS('caseload data'!O:O,'caseload data'!$D:$D,"TPO",'caseload data'!$A:$A,'HMIP caseload divisional'!$B$5, 'caseload data'!$B:$B, "licence")</f>
        <v>0</v>
      </c>
      <c r="N54" s="234">
        <f>SUMIFS('caseload data'!P:P,'caseload data'!$D:$D,"TPO",'caseload data'!$A:$A,'HMIP caseload divisional'!$B$5, 'caseload data'!$B:$B, "licence")</f>
        <v>0</v>
      </c>
      <c r="O54" s="234">
        <f>SUMIFS('caseload data'!Q:Q,'caseload data'!$D:$D,"TPO",'caseload data'!$A:$A,'HMIP caseload divisional'!$B$5, 'caseload data'!$B:$B, "licence")</f>
        <v>0</v>
      </c>
      <c r="P54" s="234">
        <f>SUMIFS('caseload data'!R:R,'caseload data'!$D:$D,"TPO",'caseload data'!$A:$A,'HMIP caseload divisional'!$B$5, 'caseload data'!$B:$B, "licence")</f>
        <v>0</v>
      </c>
      <c r="Q54" s="234">
        <f>SUMIFS('caseload data'!S:S,'caseload data'!$D:$D,"TPO",'caseload data'!$A:$A,'HMIP caseload divisional'!$B$5, 'caseload data'!$B:$B, "licence")</f>
        <v>0</v>
      </c>
      <c r="R54" s="234">
        <f>SUMIFS('caseload data'!T:T,'caseload data'!$D:$D,"TPO",'caseload data'!$A:$A,'HMIP caseload divisional'!$B$5, 'caseload data'!$B:$B, "licence")</f>
        <v>0</v>
      </c>
      <c r="S54" s="234">
        <f>SUMIFS('caseload data'!U:U,'caseload data'!$D:$D,"TPO",'caseload data'!$A:$A,'HMIP caseload divisional'!$B$5, 'caseload data'!$B:$B, "licence")</f>
        <v>0</v>
      </c>
      <c r="T54" s="234">
        <f t="shared" si="9"/>
        <v>0</v>
      </c>
    </row>
    <row r="55" spans="2:20" ht="12.75" customHeight="1" x14ac:dyDescent="0.15">
      <c r="B55" s="365" t="s">
        <v>1004</v>
      </c>
      <c r="C55" s="366">
        <f>SUMIFS('caseload data'!E:E,'caseload data'!$D:$D,"SPO",'caseload data'!$A:$A,$B$5, 'caseload data'!$B:$B, "licence")</f>
        <v>0</v>
      </c>
      <c r="D55" s="234">
        <f>SUMIFS('caseload data'!F:F,'caseload data'!$D:$D,"SPO",'caseload data'!$A:$A,$B$5, 'caseload data'!$B:$B, "licence")</f>
        <v>0</v>
      </c>
      <c r="E55" s="234">
        <f>SUMIFS('caseload data'!G:G,'caseload data'!$D:$D,"SPO",'caseload data'!$A:$A,$B$5, 'caseload data'!$B:$B, "licence")</f>
        <v>0</v>
      </c>
      <c r="F55" s="234">
        <f>SUMIFS('caseload data'!H:H,'caseload data'!$D:$D,"SPO",'caseload data'!$A:$A,$B$5, 'caseload data'!$B:$B, "licence")</f>
        <v>0</v>
      </c>
      <c r="G55" s="234">
        <f>SUMIFS('caseload data'!I:I,'caseload data'!$D:$D,"SPO",'caseload data'!$A:$A,$B$5, 'caseload data'!$B:$B, "licence")</f>
        <v>0</v>
      </c>
      <c r="H55" s="234">
        <f>SUMIFS('caseload data'!J:J,'caseload data'!$D:$D,"SPO",'caseload data'!$A:$A,$B$5, 'caseload data'!$B:$B, "licence")</f>
        <v>0</v>
      </c>
      <c r="I55" s="234">
        <f>SUMIFS('caseload data'!K:K,'caseload data'!$D:$D,"SPO",'caseload data'!$A:$A,$B$5, 'caseload data'!$B:$B, "licence")</f>
        <v>0</v>
      </c>
      <c r="J55" s="234">
        <f>SUMIFS('caseload data'!L:L,'caseload data'!$D:$D,"SPO",'caseload data'!$A:$A,$B$5, 'caseload data'!$B:$B, "licence")</f>
        <v>0</v>
      </c>
      <c r="K55" s="234">
        <f>SUMIFS('caseload data'!M:M,'caseload data'!$D:$D,"SPO",'caseload data'!$A:$A,$B$5, 'caseload data'!$B:$B, "licence")</f>
        <v>0</v>
      </c>
      <c r="L55" s="234">
        <f>SUMIFS('caseload data'!N:N,'caseload data'!$D:$D,"SPO",'caseload data'!$A:$A,$B$5, 'caseload data'!$B:$B, "licence")</f>
        <v>0</v>
      </c>
      <c r="M55" s="234">
        <f>SUMIFS('caseload data'!O:O,'caseload data'!$D:$D,"SPO",'caseload data'!$A:$A,$B$5, 'caseload data'!$B:$B, "licence")</f>
        <v>0</v>
      </c>
      <c r="N55" s="234">
        <f>SUMIFS('caseload data'!P:P,'caseload data'!$D:$D,"SPO",'caseload data'!$A:$A,$B$5, 'caseload data'!$B:$B, "licence")</f>
        <v>0</v>
      </c>
      <c r="O55" s="234">
        <f>SUMIFS('caseload data'!Q:Q,'caseload data'!$D:$D,"SPO",'caseload data'!$A:$A,$B$5, 'caseload data'!$B:$B, "licence")</f>
        <v>0</v>
      </c>
      <c r="P55" s="234">
        <f>SUMIFS('caseload data'!R:R,'caseload data'!$D:$D,"SPO",'caseload data'!$A:$A,$B$5, 'caseload data'!$B:$B, "licence")</f>
        <v>0</v>
      </c>
      <c r="Q55" s="234">
        <f>SUMIFS('caseload data'!S:S,'caseload data'!$D:$D,"SPO",'caseload data'!$A:$A,$B$5, 'caseload data'!$B:$B, "licence")</f>
        <v>0</v>
      </c>
      <c r="R55" s="234">
        <f>SUMIFS('caseload data'!T:T,'caseload data'!$D:$D,"SPO",'caseload data'!$A:$A,$B$5, 'caseload data'!$B:$B, "licence")</f>
        <v>0</v>
      </c>
      <c r="S55" s="234">
        <f>SUMIFS('caseload data'!U:U,'caseload data'!$D:$D,"SPO",'caseload data'!$A:$A,$B$5, 'caseload data'!$B:$B, "licence")</f>
        <v>0</v>
      </c>
      <c r="T55" s="234">
        <f t="shared" si="9"/>
        <v>0</v>
      </c>
    </row>
    <row r="56" spans="2:20" x14ac:dyDescent="0.15">
      <c r="B56" s="144" t="s">
        <v>1339</v>
      </c>
      <c r="C56" s="366">
        <f>SUMIFS('caseload data'!E:E,'caseload data'!$D:$D,"DMY",'caseload data'!$A:$A,'HMIP caseload divisional'!$B$5, 'caseload data'!$B:$B, "licence")</f>
        <v>0</v>
      </c>
      <c r="D56" s="234">
        <f>SUMIFS('caseload data'!F:F,'caseload data'!$D:$D,"DMY",'caseload data'!$A:$A,'HMIP caseload divisional'!$B$5, 'caseload data'!$B:$B, "licence")</f>
        <v>0</v>
      </c>
      <c r="E56" s="234">
        <f>SUMIFS('caseload data'!G:G,'caseload data'!$D:$D,"DMY",'caseload data'!$A:$A,'HMIP caseload divisional'!$B$5, 'caseload data'!$B:$B, "licence")</f>
        <v>0</v>
      </c>
      <c r="F56" s="234">
        <f>SUMIFS('caseload data'!H:H,'caseload data'!$D:$D,"DMY",'caseload data'!$A:$A,'HMIP caseload divisional'!$B$5, 'caseload data'!$B:$B, "licence")</f>
        <v>0</v>
      </c>
      <c r="G56" s="234">
        <f>SUMIFS('caseload data'!I:I,'caseload data'!$D:$D,"DMY",'caseload data'!$A:$A,'HMIP caseload divisional'!$B$5, 'caseload data'!$B:$B, "licence")</f>
        <v>0</v>
      </c>
      <c r="H56" s="234">
        <f>SUMIFS('caseload data'!J:J,'caseload data'!$D:$D,"DMY",'caseload data'!$A:$A,'HMIP caseload divisional'!$B$5, 'caseload data'!$B:$B, "licence")</f>
        <v>0</v>
      </c>
      <c r="I56" s="234">
        <f>SUMIFS('caseload data'!K:K,'caseload data'!$D:$D,"DMY",'caseload data'!$A:$A,'HMIP caseload divisional'!$B$5, 'caseload data'!$B:$B, "licence")</f>
        <v>0</v>
      </c>
      <c r="J56" s="234">
        <f>SUMIFS('caseload data'!L:L,'caseload data'!$D:$D,"DMY",'caseload data'!$A:$A,'HMIP caseload divisional'!$B$5, 'caseload data'!$B:$B, "licence")</f>
        <v>0</v>
      </c>
      <c r="K56" s="234">
        <f>SUMIFS('caseload data'!M:M,'caseload data'!$D:$D,"DMY",'caseload data'!$A:$A,'HMIP caseload divisional'!$B$5, 'caseload data'!$B:$B, "licence")</f>
        <v>0</v>
      </c>
      <c r="L56" s="234">
        <f>SUMIFS('caseload data'!N:N,'caseload data'!$D:$D,"DMY",'caseload data'!$A:$A,'HMIP caseload divisional'!$B$5, 'caseload data'!$B:$B, "licence")</f>
        <v>0</v>
      </c>
      <c r="M56" s="234">
        <f>SUMIFS('caseload data'!O:O,'caseload data'!$D:$D,"DMY",'caseload data'!$A:$A,'HMIP caseload divisional'!$B$5, 'caseload data'!$B:$B, "licence")</f>
        <v>0</v>
      </c>
      <c r="N56" s="234">
        <f>SUMIFS('caseload data'!P:P,'caseload data'!$D:$D,"DMY",'caseload data'!$A:$A,'HMIP caseload divisional'!$B$5, 'caseload data'!$B:$B, "licence")</f>
        <v>0</v>
      </c>
      <c r="O56" s="234">
        <f>SUMIFS('caseload data'!Q:Q,'caseload data'!$D:$D,"DMY",'caseload data'!$A:$A,'HMIP caseload divisional'!$B$5, 'caseload data'!$B:$B, "licence")</f>
        <v>0</v>
      </c>
      <c r="P56" s="234">
        <f>SUMIFS('caseload data'!R:R,'caseload data'!$D:$D,"DMY",'caseload data'!$A:$A,'HMIP caseload divisional'!$B$5, 'caseload data'!$B:$B, "licence")</f>
        <v>0</v>
      </c>
      <c r="Q56" s="234">
        <f>SUMIFS('caseload data'!S:S,'caseload data'!$D:$D,"DMY",'caseload data'!$A:$A,'HMIP caseload divisional'!$B$5, 'caseload data'!$B:$B, "licence")</f>
        <v>0</v>
      </c>
      <c r="R56" s="234">
        <f>SUMIFS('caseload data'!T:T,'caseload data'!$D:$D,"DMY",'caseload data'!$A:$A,'HMIP caseload divisional'!$B$5, 'caseload data'!$B:$B, "licence")</f>
        <v>0</v>
      </c>
      <c r="S56" s="234">
        <f>SUMIFS('caseload data'!U:U,'caseload data'!$D:$D,"DMY",'caseload data'!$A:$A,'HMIP caseload divisional'!$B$5, 'caseload data'!$B:$B, "licence")</f>
        <v>0</v>
      </c>
      <c r="T56" s="234">
        <f t="shared" ref="T56" si="10">SUM(C56:S56)</f>
        <v>0</v>
      </c>
    </row>
    <row r="57" spans="2:20" ht="12.75" customHeight="1" x14ac:dyDescent="0.15">
      <c r="B57" s="171"/>
      <c r="C57" s="237"/>
      <c r="D57" s="237"/>
      <c r="E57" s="237"/>
      <c r="F57" s="237"/>
      <c r="G57" s="237"/>
      <c r="H57" s="237"/>
      <c r="I57" s="237"/>
      <c r="J57" s="237"/>
      <c r="K57" s="237"/>
      <c r="L57" s="237"/>
      <c r="M57" s="237"/>
      <c r="N57" s="237"/>
      <c r="O57" s="237"/>
      <c r="P57" s="237"/>
      <c r="Q57" s="237"/>
      <c r="R57" s="237"/>
      <c r="S57" s="237"/>
      <c r="T57" s="64"/>
    </row>
    <row r="58" spans="2:20" ht="25.5" customHeight="1" x14ac:dyDescent="0.15">
      <c r="B58" s="298" t="str">
        <f>B5</f>
        <v>London</v>
      </c>
      <c r="C58" s="432" t="s">
        <v>1029</v>
      </c>
      <c r="D58" s="433"/>
      <c r="E58" s="433"/>
      <c r="F58" s="433"/>
      <c r="G58" s="433"/>
      <c r="H58" s="433"/>
      <c r="I58" s="433"/>
      <c r="J58" s="433"/>
      <c r="K58" s="433"/>
      <c r="L58" s="433"/>
      <c r="M58" s="433"/>
      <c r="N58" s="433"/>
      <c r="O58" s="433"/>
      <c r="P58" s="433"/>
      <c r="Q58" s="433"/>
      <c r="R58" s="433"/>
      <c r="S58" s="433"/>
      <c r="T58" s="433"/>
    </row>
    <row r="59" spans="2:20" x14ac:dyDescent="0.15">
      <c r="B59" s="95" t="s">
        <v>1001</v>
      </c>
      <c r="C59" s="288" t="s">
        <v>864</v>
      </c>
      <c r="D59" s="288" t="s">
        <v>865</v>
      </c>
      <c r="E59" s="288" t="s">
        <v>866</v>
      </c>
      <c r="F59" s="288" t="s">
        <v>867</v>
      </c>
      <c r="G59" s="288" t="s">
        <v>868</v>
      </c>
      <c r="H59" s="288" t="s">
        <v>869</v>
      </c>
      <c r="I59" s="288" t="s">
        <v>870</v>
      </c>
      <c r="J59" s="288" t="s">
        <v>871</v>
      </c>
      <c r="K59" s="288" t="s">
        <v>872</v>
      </c>
      <c r="L59" s="288" t="s">
        <v>873</v>
      </c>
      <c r="M59" s="288" t="s">
        <v>874</v>
      </c>
      <c r="N59" s="288" t="s">
        <v>875</v>
      </c>
      <c r="O59" s="288" t="s">
        <v>876</v>
      </c>
      <c r="P59" s="288" t="s">
        <v>877</v>
      </c>
      <c r="Q59" s="288" t="s">
        <v>878</v>
      </c>
      <c r="R59" s="288" t="s">
        <v>879</v>
      </c>
      <c r="S59" s="288" t="s">
        <v>1026</v>
      </c>
      <c r="T59" s="288" t="s">
        <v>959</v>
      </c>
    </row>
    <row r="60" spans="2:20" x14ac:dyDescent="0.15">
      <c r="B60" s="364" t="s">
        <v>997</v>
      </c>
      <c r="C60" s="366">
        <f>SUMIFS('caseload data'!E:E,'caseload data'!$D:$D,"PO",'caseload data'!$A:$A,'HMIP caseload divisional'!$B$5, 'caseload data'!$B:$B, "custody")</f>
        <v>0</v>
      </c>
      <c r="D60" s="234">
        <f>SUMIFS('caseload data'!F:F,'caseload data'!$D:$D,"PO",'caseload data'!$A:$A,'HMIP caseload divisional'!$B$5, 'caseload data'!$B:$B, "custody")</f>
        <v>0</v>
      </c>
      <c r="E60" s="234">
        <f>SUMIFS('caseload data'!G:G,'caseload data'!$D:$D,"PO",'caseload data'!$A:$A,'HMIP caseload divisional'!$B$5, 'caseload data'!$B:$B, "custody")</f>
        <v>0</v>
      </c>
      <c r="F60" s="234">
        <f>SUMIFS('caseload data'!H:H,'caseload data'!$D:$D,"PO",'caseload data'!$A:$A,'HMIP caseload divisional'!$B$5, 'caseload data'!$B:$B, "custody")</f>
        <v>0</v>
      </c>
      <c r="G60" s="234">
        <f>SUMIFS('caseload data'!I:I,'caseload data'!$D:$D,"PO",'caseload data'!$A:$A,'HMIP caseload divisional'!$B$5, 'caseload data'!$B:$B, "custody")</f>
        <v>0</v>
      </c>
      <c r="H60" s="234">
        <f>SUMIFS('caseload data'!J:J,'caseload data'!$D:$D,"PO",'caseload data'!$A:$A,'HMIP caseload divisional'!$B$5, 'caseload data'!$B:$B, "custody")</f>
        <v>0</v>
      </c>
      <c r="I60" s="234">
        <f>SUMIFS('caseload data'!K:K,'caseload data'!$D:$D,"PO",'caseload data'!$A:$A,'HMIP caseload divisional'!$B$5, 'caseload data'!$B:$B, "custody")</f>
        <v>0</v>
      </c>
      <c r="J60" s="234">
        <f>SUMIFS('caseload data'!L:L,'caseload data'!$D:$D,"PO",'caseload data'!$A:$A,'HMIP caseload divisional'!$B$5, 'caseload data'!$B:$B, "custody")</f>
        <v>0</v>
      </c>
      <c r="K60" s="234">
        <f>SUMIFS('caseload data'!M:M,'caseload data'!$D:$D,"PO",'caseload data'!$A:$A,'HMIP caseload divisional'!$B$5, 'caseload data'!$B:$B, "custody")</f>
        <v>0</v>
      </c>
      <c r="L60" s="234">
        <f>SUMIFS('caseload data'!N:N,'caseload data'!$D:$D,"PO",'caseload data'!$A:$A,'HMIP caseload divisional'!$B$5, 'caseload data'!$B:$B, "custody")</f>
        <v>0</v>
      </c>
      <c r="M60" s="234">
        <f>SUMIFS('caseload data'!O:O,'caseload data'!$D:$D,"PO",'caseload data'!$A:$A,'HMIP caseload divisional'!$B$5, 'caseload data'!$B:$B, "custody")</f>
        <v>0</v>
      </c>
      <c r="N60" s="234">
        <f>SUMIFS('caseload data'!P:P,'caseload data'!$D:$D,"PO",'caseload data'!$A:$A,'HMIP caseload divisional'!$B$5, 'caseload data'!$B:$B, "custody")</f>
        <v>0</v>
      </c>
      <c r="O60" s="234">
        <f>SUMIFS('caseload data'!Q:Q,'caseload data'!$D:$D,"PO",'caseload data'!$A:$A,'HMIP caseload divisional'!$B$5, 'caseload data'!$B:$B, "custody")</f>
        <v>0</v>
      </c>
      <c r="P60" s="234">
        <f>SUMIFS('caseload data'!R:R,'caseload data'!$D:$D,"PO",'caseload data'!$A:$A,'HMIP caseload divisional'!$B$5, 'caseload data'!$B:$B, "custody")</f>
        <v>0</v>
      </c>
      <c r="Q60" s="234">
        <f>SUMIFS('caseload data'!S:S,'caseload data'!$D:$D,"PO",'caseload data'!$A:$A,'HMIP caseload divisional'!$B$5, 'caseload data'!$B:$B, "custody")</f>
        <v>0</v>
      </c>
      <c r="R60" s="234">
        <f>SUMIFS('caseload data'!T:T,'caseload data'!$D:$D,"PO",'caseload data'!$A:$A,'HMIP caseload divisional'!$B$5, 'caseload data'!$B:$B, "custody")</f>
        <v>0</v>
      </c>
      <c r="S60" s="234">
        <f>SUMIFS('caseload data'!U:U,'caseload data'!$D:$D,"PO",'caseload data'!$A:$A,'HMIP caseload divisional'!$B$5, 'caseload data'!$B:$B, "custody")</f>
        <v>0</v>
      </c>
      <c r="T60" s="234">
        <f>SUM(C60:S60)</f>
        <v>0</v>
      </c>
    </row>
    <row r="61" spans="2:20" x14ac:dyDescent="0.15">
      <c r="B61" s="365" t="s">
        <v>1002</v>
      </c>
      <c r="C61" s="366">
        <f>SUMIFS('caseload data'!E:E,'caseload data'!$D:$D,"PSO",'caseload data'!$A:$A,'HMIP caseload divisional'!$B$5, 'caseload data'!$B:$B, "custody")</f>
        <v>0</v>
      </c>
      <c r="D61" s="234">
        <f>SUMIFS('caseload data'!F:F,'caseload data'!$D:$D,"PSO",'caseload data'!$A:$A,'HMIP caseload divisional'!$B$5, 'caseload data'!$B:$B, "custody")</f>
        <v>0</v>
      </c>
      <c r="E61" s="234">
        <f>SUMIFS('caseload data'!G:G,'caseload data'!$D:$D,"PSO",'caseload data'!$A:$A,'HMIP caseload divisional'!$B$5, 'caseload data'!$B:$B, "custody")</f>
        <v>0</v>
      </c>
      <c r="F61" s="234">
        <f>SUMIFS('caseload data'!H:H,'caseload data'!$D:$D,"PSO",'caseload data'!$A:$A,'HMIP caseload divisional'!$B$5, 'caseload data'!$B:$B, "custody")</f>
        <v>0</v>
      </c>
      <c r="G61" s="234">
        <f>SUMIFS('caseload data'!I:I,'caseload data'!$D:$D,"PSO",'caseload data'!$A:$A,'HMIP caseload divisional'!$B$5, 'caseload data'!$B:$B, "custody")</f>
        <v>0</v>
      </c>
      <c r="H61" s="234">
        <f>SUMIFS('caseload data'!J:J,'caseload data'!$D:$D,"PSO",'caseload data'!$A:$A,'HMIP caseload divisional'!$B$5, 'caseload data'!$B:$B, "custody")</f>
        <v>0</v>
      </c>
      <c r="I61" s="234">
        <f>SUMIFS('caseload data'!K:K,'caseload data'!$D:$D,"PSO",'caseload data'!$A:$A,'HMIP caseload divisional'!$B$5, 'caseload data'!$B:$B, "custody")</f>
        <v>0</v>
      </c>
      <c r="J61" s="234">
        <f>SUMIFS('caseload data'!L:L,'caseload data'!$D:$D,"PSO",'caseload data'!$A:$A,'HMIP caseload divisional'!$B$5, 'caseload data'!$B:$B, "custody")</f>
        <v>0</v>
      </c>
      <c r="K61" s="234">
        <f>SUMIFS('caseload data'!M:M,'caseload data'!$D:$D,"PSO",'caseload data'!$A:$A,'HMIP caseload divisional'!$B$5, 'caseload data'!$B:$B, "custody")</f>
        <v>0</v>
      </c>
      <c r="L61" s="234">
        <f>SUMIFS('caseload data'!N:N,'caseload data'!$D:$D,"PSO",'caseload data'!$A:$A,'HMIP caseload divisional'!$B$5, 'caseload data'!$B:$B, "custody")</f>
        <v>0</v>
      </c>
      <c r="M61" s="234">
        <f>SUMIFS('caseload data'!O:O,'caseload data'!$D:$D,"PSO",'caseload data'!$A:$A,'HMIP caseload divisional'!$B$5, 'caseload data'!$B:$B, "custody")</f>
        <v>0</v>
      </c>
      <c r="N61" s="234">
        <f>SUMIFS('caseload data'!P:P,'caseload data'!$D:$D,"PSO",'caseload data'!$A:$A,'HMIP caseload divisional'!$B$5, 'caseload data'!$B:$B, "custody")</f>
        <v>0</v>
      </c>
      <c r="O61" s="234">
        <f>SUMIFS('caseload data'!Q:Q,'caseload data'!$D:$D,"PSO",'caseload data'!$A:$A,'HMIP caseload divisional'!$B$5, 'caseload data'!$B:$B, "custody")</f>
        <v>0</v>
      </c>
      <c r="P61" s="234">
        <f>SUMIFS('caseload data'!R:R,'caseload data'!$D:$D,"PSO",'caseload data'!$A:$A,'HMIP caseload divisional'!$B$5, 'caseload data'!$B:$B, "custody")</f>
        <v>0</v>
      </c>
      <c r="Q61" s="234">
        <f>SUMIFS('caseload data'!S:S,'caseload data'!$D:$D,"PSO",'caseload data'!$A:$A,'HMIP caseload divisional'!$B$5, 'caseload data'!$B:$B, "custody")</f>
        <v>0</v>
      </c>
      <c r="R61" s="234">
        <f>SUMIFS('caseload data'!T:T,'caseload data'!$D:$D,"PSO",'caseload data'!$A:$A,'HMIP caseload divisional'!$B$5, 'caseload data'!$B:$B, "custody")</f>
        <v>0</v>
      </c>
      <c r="S61" s="234">
        <f>SUMIFS('caseload data'!U:U,'caseload data'!$D:$D,"PSO",'caseload data'!$A:$A,'HMIP caseload divisional'!$B$5, 'caseload data'!$B:$B, "custody")</f>
        <v>0</v>
      </c>
      <c r="T61" s="234">
        <f t="shared" ref="T61:T63" si="11">SUM(C61:S61)</f>
        <v>0</v>
      </c>
    </row>
    <row r="62" spans="2:20" x14ac:dyDescent="0.15">
      <c r="B62" s="365" t="s">
        <v>1003</v>
      </c>
      <c r="C62" s="366">
        <f>SUMIFS('caseload data'!E:E,'caseload data'!$D:$D,"TPO",'caseload data'!$A:$A,'HMIP caseload divisional'!$B$5, 'caseload data'!$B:$B, "custody")</f>
        <v>0</v>
      </c>
      <c r="D62" s="234">
        <f>SUMIFS('caseload data'!F:F,'caseload data'!$D:$D,"TPO",'caseload data'!$A:$A,'HMIP caseload divisional'!$B$5, 'caseload data'!$B:$B, "custody")</f>
        <v>0</v>
      </c>
      <c r="E62" s="234">
        <f>SUMIFS('caseload data'!G:G,'caseload data'!$D:$D,"TPO",'caseload data'!$A:$A,'HMIP caseload divisional'!$B$5, 'caseload data'!$B:$B, "custody")</f>
        <v>0</v>
      </c>
      <c r="F62" s="234">
        <f>SUMIFS('caseload data'!H:H,'caseload data'!$D:$D,"TPO",'caseload data'!$A:$A,'HMIP caseload divisional'!$B$5, 'caseload data'!$B:$B, "custody")</f>
        <v>0</v>
      </c>
      <c r="G62" s="234">
        <f>SUMIFS('caseload data'!I:I,'caseload data'!$D:$D,"TPO",'caseload data'!$A:$A,'HMIP caseload divisional'!$B$5, 'caseload data'!$B:$B, "custody")</f>
        <v>0</v>
      </c>
      <c r="H62" s="234">
        <f>SUMIFS('caseload data'!J:J,'caseload data'!$D:$D,"TPO",'caseload data'!$A:$A,'HMIP caseload divisional'!$B$5, 'caseload data'!$B:$B, "custody")</f>
        <v>0</v>
      </c>
      <c r="I62" s="234">
        <f>SUMIFS('caseload data'!K:K,'caseload data'!$D:$D,"TPO",'caseload data'!$A:$A,'HMIP caseload divisional'!$B$5, 'caseload data'!$B:$B, "custody")</f>
        <v>0</v>
      </c>
      <c r="J62" s="234">
        <f>SUMIFS('caseload data'!L:L,'caseload data'!$D:$D,"TPO",'caseload data'!$A:$A,'HMIP caseload divisional'!$B$5, 'caseload data'!$B:$B, "custody")</f>
        <v>0</v>
      </c>
      <c r="K62" s="234">
        <f>SUMIFS('caseload data'!M:M,'caseload data'!$D:$D,"TPO",'caseload data'!$A:$A,'HMIP caseload divisional'!$B$5, 'caseload data'!$B:$B, "custody")</f>
        <v>0</v>
      </c>
      <c r="L62" s="234">
        <f>SUMIFS('caseload data'!N:N,'caseload data'!$D:$D,"TPO",'caseload data'!$A:$A,'HMIP caseload divisional'!$B$5, 'caseload data'!$B:$B, "custody")</f>
        <v>0</v>
      </c>
      <c r="M62" s="234">
        <f>SUMIFS('caseload data'!O:O,'caseload data'!$D:$D,"TPO",'caseload data'!$A:$A,'HMIP caseload divisional'!$B$5, 'caseload data'!$B:$B, "custody")</f>
        <v>0</v>
      </c>
      <c r="N62" s="234">
        <f>SUMIFS('caseload data'!P:P,'caseload data'!$D:$D,"TPO",'caseload data'!$A:$A,'HMIP caseload divisional'!$B$5, 'caseload data'!$B:$B, "custody")</f>
        <v>0</v>
      </c>
      <c r="O62" s="234">
        <f>SUMIFS('caseload data'!Q:Q,'caseload data'!$D:$D,"TPO",'caseload data'!$A:$A,'HMIP caseload divisional'!$B$5, 'caseload data'!$B:$B, "custody")</f>
        <v>0</v>
      </c>
      <c r="P62" s="234">
        <f>SUMIFS('caseload data'!R:R,'caseload data'!$D:$D,"TPO",'caseload data'!$A:$A,'HMIP caseload divisional'!$B$5, 'caseload data'!$B:$B, "custody")</f>
        <v>0</v>
      </c>
      <c r="Q62" s="234">
        <f>SUMIFS('caseload data'!S:S,'caseload data'!$D:$D,"TPO",'caseload data'!$A:$A,'HMIP caseload divisional'!$B$5, 'caseload data'!$B:$B, "custody")</f>
        <v>0</v>
      </c>
      <c r="R62" s="234">
        <f>SUMIFS('caseload data'!T:T,'caseload data'!$D:$D,"TPO",'caseload data'!$A:$A,'HMIP caseload divisional'!$B$5, 'caseload data'!$B:$B, "custody")</f>
        <v>0</v>
      </c>
      <c r="S62" s="234">
        <f>SUMIFS('caseload data'!U:U,'caseload data'!$D:$D,"TPO",'caseload data'!$A:$A,'HMIP caseload divisional'!$B$5, 'caseload data'!$B:$B, "custody")</f>
        <v>0</v>
      </c>
      <c r="T62" s="234">
        <f t="shared" si="11"/>
        <v>0</v>
      </c>
    </row>
    <row r="63" spans="2:20" x14ac:dyDescent="0.15">
      <c r="B63" s="365" t="s">
        <v>1004</v>
      </c>
      <c r="C63" s="366">
        <f>SUMIFS('caseload data'!E:E,'caseload data'!$D:$D,"SPO",'caseload data'!$A:$A,$B$5, 'caseload data'!$B:$B, "custody")</f>
        <v>0</v>
      </c>
      <c r="D63" s="234">
        <f>SUMIFS('caseload data'!F:F,'caseload data'!$D:$D,"SPO",'caseload data'!$A:$A,$B$5, 'caseload data'!$B:$B, "custody")</f>
        <v>0</v>
      </c>
      <c r="E63" s="234">
        <f>SUMIFS('caseload data'!G:G,'caseload data'!$D:$D,"SPO",'caseload data'!$A:$A,$B$5, 'caseload data'!$B:$B, "custody")</f>
        <v>0</v>
      </c>
      <c r="F63" s="234">
        <f>SUMIFS('caseload data'!H:H,'caseload data'!$D:$D,"SPO",'caseload data'!$A:$A,$B$5, 'caseload data'!$B:$B, "custody")</f>
        <v>0</v>
      </c>
      <c r="G63" s="234">
        <f>SUMIFS('caseload data'!I:I,'caseload data'!$D:$D,"SPO",'caseload data'!$A:$A,$B$5, 'caseload data'!$B:$B, "custody")</f>
        <v>0</v>
      </c>
      <c r="H63" s="234">
        <f>SUMIFS('caseload data'!J:J,'caseload data'!$D:$D,"SPO",'caseload data'!$A:$A,$B$5, 'caseload data'!$B:$B, "custody")</f>
        <v>0</v>
      </c>
      <c r="I63" s="234">
        <f>SUMIFS('caseload data'!K:K,'caseload data'!$D:$D,"SPO",'caseload data'!$A:$A,$B$5, 'caseload data'!$B:$B, "custody")</f>
        <v>0</v>
      </c>
      <c r="J63" s="234">
        <f>SUMIFS('caseload data'!L:L,'caseload data'!$D:$D,"SPO",'caseload data'!$A:$A,$B$5, 'caseload data'!$B:$B, "custody")</f>
        <v>0</v>
      </c>
      <c r="K63" s="234">
        <f>SUMIFS('caseload data'!M:M,'caseload data'!$D:$D,"SPO",'caseload data'!$A:$A,$B$5, 'caseload data'!$B:$B, "custody")</f>
        <v>0</v>
      </c>
      <c r="L63" s="234">
        <f>SUMIFS('caseload data'!N:N,'caseload data'!$D:$D,"SPO",'caseload data'!$A:$A,$B$5, 'caseload data'!$B:$B, "custody")</f>
        <v>0</v>
      </c>
      <c r="M63" s="234">
        <f>SUMIFS('caseload data'!O:O,'caseload data'!$D:$D,"SPO",'caseload data'!$A:$A,$B$5, 'caseload data'!$B:$B, "custody")</f>
        <v>0</v>
      </c>
      <c r="N63" s="234">
        <f>SUMIFS('caseload data'!P:P,'caseload data'!$D:$D,"SPO",'caseload data'!$A:$A,$B$5, 'caseload data'!$B:$B, "custody")</f>
        <v>0</v>
      </c>
      <c r="O63" s="234">
        <f>SUMIFS('caseload data'!Q:Q,'caseload data'!$D:$D,"SPO",'caseload data'!$A:$A,$B$5, 'caseload data'!$B:$B, "custody")</f>
        <v>0</v>
      </c>
      <c r="P63" s="234">
        <f>SUMIFS('caseload data'!R:R,'caseload data'!$D:$D,"SPO",'caseload data'!$A:$A,$B$5, 'caseload data'!$B:$B, "custody")</f>
        <v>0</v>
      </c>
      <c r="Q63" s="234">
        <f>SUMIFS('caseload data'!S:S,'caseload data'!$D:$D,"SPO",'caseload data'!$A:$A,$B$5, 'caseload data'!$B:$B, "custody")</f>
        <v>0</v>
      </c>
      <c r="R63" s="234">
        <f>SUMIFS('caseload data'!T:T,'caseload data'!$D:$D,"SPO",'caseload data'!$A:$A,$B$5, 'caseload data'!$B:$B, "custody")</f>
        <v>0</v>
      </c>
      <c r="S63" s="234">
        <f>SUMIFS('caseload data'!U:U,'caseload data'!$D:$D,"SPO",'caseload data'!$A:$A,$B$5, 'caseload data'!$B:$B, "custody")</f>
        <v>0</v>
      </c>
      <c r="T63" s="234">
        <f t="shared" si="11"/>
        <v>0</v>
      </c>
    </row>
    <row r="64" spans="2:20" x14ac:dyDescent="0.15">
      <c r="B64" s="144" t="s">
        <v>1339</v>
      </c>
      <c r="C64" s="366">
        <f>SUMIFS('caseload data'!E:E,'caseload data'!$D:$D,"DMY",'caseload data'!$A:$A,'HMIP caseload divisional'!$B$5, 'caseload data'!$B:$B, "custody")</f>
        <v>0</v>
      </c>
      <c r="D64" s="234">
        <f>SUMIFS('caseload data'!F:F,'caseload data'!$D:$D,"DMY",'caseload data'!$A:$A,'HMIP caseload divisional'!$B$5, 'caseload data'!$B:$B, "custody")</f>
        <v>0</v>
      </c>
      <c r="E64" s="234">
        <f>SUMIFS('caseload data'!G:G,'caseload data'!$D:$D,"DMY",'caseload data'!$A:$A,'HMIP caseload divisional'!$B$5, 'caseload data'!$B:$B, "custody")</f>
        <v>0</v>
      </c>
      <c r="F64" s="234">
        <f>SUMIFS('caseload data'!H:H,'caseload data'!$D:$D,"DMY",'caseload data'!$A:$A,'HMIP caseload divisional'!$B$5, 'caseload data'!$B:$B, "custody")</f>
        <v>0</v>
      </c>
      <c r="G64" s="234">
        <f>SUMIFS('caseload data'!I:I,'caseload data'!$D:$D,"DMY",'caseload data'!$A:$A,'HMIP caseload divisional'!$B$5, 'caseload data'!$B:$B, "custody")</f>
        <v>0</v>
      </c>
      <c r="H64" s="234">
        <f>SUMIFS('caseload data'!J:J,'caseload data'!$D:$D,"DMY",'caseload data'!$A:$A,'HMIP caseload divisional'!$B$5, 'caseload data'!$B:$B, "custody")</f>
        <v>0</v>
      </c>
      <c r="I64" s="234">
        <f>SUMIFS('caseload data'!K:K,'caseload data'!$D:$D,"DMY",'caseload data'!$A:$A,'HMIP caseload divisional'!$B$5, 'caseload data'!$B:$B, "custody")</f>
        <v>0</v>
      </c>
      <c r="J64" s="234">
        <f>SUMIFS('caseload data'!L:L,'caseload data'!$D:$D,"DMY",'caseload data'!$A:$A,'HMIP caseload divisional'!$B$5, 'caseload data'!$B:$B, "custody")</f>
        <v>0</v>
      </c>
      <c r="K64" s="234">
        <f>SUMIFS('caseload data'!M:M,'caseload data'!$D:$D,"DMY",'caseload data'!$A:$A,'HMIP caseload divisional'!$B$5, 'caseload data'!$B:$B, "custody")</f>
        <v>0</v>
      </c>
      <c r="L64" s="234">
        <f>SUMIFS('caseload data'!N:N,'caseload data'!$D:$D,"DMY",'caseload data'!$A:$A,'HMIP caseload divisional'!$B$5, 'caseload data'!$B:$B, "custody")</f>
        <v>0</v>
      </c>
      <c r="M64" s="234">
        <f>SUMIFS('caseload data'!O:O,'caseload data'!$D:$D,"DMY",'caseload data'!$A:$A,'HMIP caseload divisional'!$B$5, 'caseload data'!$B:$B, "custody")</f>
        <v>0</v>
      </c>
      <c r="N64" s="234">
        <f>SUMIFS('caseload data'!P:P,'caseload data'!$D:$D,"DMY",'caseload data'!$A:$A,'HMIP caseload divisional'!$B$5, 'caseload data'!$B:$B, "custody")</f>
        <v>0</v>
      </c>
      <c r="O64" s="234">
        <f>SUMIFS('caseload data'!Q:Q,'caseload data'!$D:$D,"DMY",'caseload data'!$A:$A,'HMIP caseload divisional'!$B$5, 'caseload data'!$B:$B, "custody")</f>
        <v>0</v>
      </c>
      <c r="P64" s="234">
        <f>SUMIFS('caseload data'!R:R,'caseload data'!$D:$D,"DMY",'caseload data'!$A:$A,'HMIP caseload divisional'!$B$5, 'caseload data'!$B:$B, "custody")</f>
        <v>0</v>
      </c>
      <c r="Q64" s="234">
        <f>SUMIFS('caseload data'!S:S,'caseload data'!$D:$D,"DMY",'caseload data'!$A:$A,'HMIP caseload divisional'!$B$5, 'caseload data'!$B:$B, "custody")</f>
        <v>0</v>
      </c>
      <c r="R64" s="234">
        <f>SUMIFS('caseload data'!T:T,'caseload data'!$D:$D,"DMY",'caseload data'!$A:$A,'HMIP caseload divisional'!$B$5, 'caseload data'!$B:$B, "custody")</f>
        <v>0</v>
      </c>
      <c r="S64" s="234">
        <f>SUMIFS('caseload data'!U:U,'caseload data'!$D:$D,"DMY",'caseload data'!$A:$A,'HMIP caseload divisional'!$B$5, 'caseload data'!$B:$B, "custody")</f>
        <v>0</v>
      </c>
      <c r="T64" s="234">
        <f t="shared" ref="T64" si="12">SUM(C64:S64)</f>
        <v>0</v>
      </c>
    </row>
    <row r="65" spans="2:20" x14ac:dyDescent="0.15">
      <c r="B65" s="171"/>
      <c r="C65" s="237"/>
      <c r="D65" s="237"/>
      <c r="E65" s="237"/>
      <c r="F65" s="237"/>
      <c r="G65" s="237"/>
      <c r="H65" s="237"/>
      <c r="I65" s="237"/>
      <c r="J65" s="237"/>
      <c r="K65" s="237"/>
      <c r="L65" s="237"/>
      <c r="M65" s="237"/>
      <c r="N65" s="237"/>
      <c r="O65" s="237"/>
      <c r="P65" s="237"/>
      <c r="Q65" s="237"/>
      <c r="R65" s="237"/>
      <c r="S65" s="237"/>
      <c r="T65" s="64"/>
    </row>
    <row r="66" spans="2:20" x14ac:dyDescent="0.15">
      <c r="B66" s="64"/>
      <c r="C66" s="64"/>
      <c r="D66" s="64"/>
      <c r="E66" s="64"/>
      <c r="F66" s="64"/>
      <c r="G66" s="64"/>
      <c r="H66" s="64"/>
      <c r="I66" s="64"/>
      <c r="J66" s="64"/>
      <c r="K66" s="64"/>
      <c r="L66" s="64"/>
      <c r="M66" s="64"/>
      <c r="N66" s="64"/>
      <c r="O66" s="64"/>
      <c r="P66" s="64"/>
      <c r="Q66" s="64"/>
      <c r="R66" s="64"/>
      <c r="S66" s="64"/>
      <c r="T66" s="64"/>
    </row>
    <row r="67" spans="2:20" ht="27.75" customHeight="1" x14ac:dyDescent="0.15">
      <c r="B67" s="298" t="str">
        <f>B5</f>
        <v>London</v>
      </c>
      <c r="C67" s="432" t="s">
        <v>1030</v>
      </c>
      <c r="D67" s="433"/>
      <c r="E67" s="433"/>
      <c r="F67" s="433"/>
      <c r="G67" s="433"/>
      <c r="H67" s="433"/>
      <c r="I67" s="433"/>
      <c r="J67" s="433"/>
      <c r="K67" s="433"/>
      <c r="L67" s="433"/>
      <c r="M67" s="433"/>
      <c r="N67" s="433"/>
      <c r="O67" s="433"/>
      <c r="P67" s="433"/>
      <c r="Q67" s="433"/>
      <c r="R67" s="433"/>
      <c r="S67" s="433"/>
      <c r="T67" s="64"/>
    </row>
    <row r="68" spans="2:20" x14ac:dyDescent="0.15">
      <c r="B68" s="95" t="s">
        <v>1001</v>
      </c>
      <c r="C68" s="288" t="s">
        <v>864</v>
      </c>
      <c r="D68" s="288" t="s">
        <v>865</v>
      </c>
      <c r="E68" s="288" t="s">
        <v>866</v>
      </c>
      <c r="F68" s="288" t="s">
        <v>867</v>
      </c>
      <c r="G68" s="288" t="s">
        <v>868</v>
      </c>
      <c r="H68" s="288" t="s">
        <v>869</v>
      </c>
      <c r="I68" s="288" t="s">
        <v>870</v>
      </c>
      <c r="J68" s="288" t="s">
        <v>871</v>
      </c>
      <c r="K68" s="288" t="s">
        <v>872</v>
      </c>
      <c r="L68" s="288" t="s">
        <v>873</v>
      </c>
      <c r="M68" s="288" t="s">
        <v>874</v>
      </c>
      <c r="N68" s="288" t="s">
        <v>875</v>
      </c>
      <c r="O68" s="288" t="s">
        <v>876</v>
      </c>
      <c r="P68" s="288" t="s">
        <v>877</v>
      </c>
      <c r="Q68" s="288" t="s">
        <v>878</v>
      </c>
      <c r="R68" s="288" t="s">
        <v>879</v>
      </c>
      <c r="S68" s="288" t="s">
        <v>1026</v>
      </c>
      <c r="T68" s="64"/>
    </row>
    <row r="69" spans="2:20" x14ac:dyDescent="0.15">
      <c r="B69" s="364" t="s">
        <v>997</v>
      </c>
      <c r="C69" s="369" t="e">
        <f>AVERAGEIFS('caseload data'!E:E,'caseload data'!$D:$D,"PO",'caseload data'!$A:$A,$B$5)</f>
        <v>#DIV/0!</v>
      </c>
      <c r="D69" s="233" t="e">
        <f>AVERAGEIFS('caseload data'!F:F,'caseload data'!$D:$D,"PO",'caseload data'!$A:$A,$B$5)</f>
        <v>#DIV/0!</v>
      </c>
      <c r="E69" s="233" t="e">
        <f>AVERAGEIFS('caseload data'!G:G,'caseload data'!$D:$D,"PO",'caseload data'!$A:$A,$B$5)</f>
        <v>#DIV/0!</v>
      </c>
      <c r="F69" s="233" t="e">
        <f>AVERAGEIFS('caseload data'!H:H,'caseload data'!$D:$D,"PO",'caseload data'!$A:$A,$B$5)</f>
        <v>#DIV/0!</v>
      </c>
      <c r="G69" s="233" t="e">
        <f>AVERAGEIFS('caseload data'!I:I,'caseload data'!$D:$D,"PO",'caseload data'!$A:$A,$B$5)</f>
        <v>#DIV/0!</v>
      </c>
      <c r="H69" s="233" t="e">
        <f>AVERAGEIFS('caseload data'!J:J,'caseload data'!$D:$D,"PO",'caseload data'!$A:$A,$B$5)</f>
        <v>#DIV/0!</v>
      </c>
      <c r="I69" s="233" t="e">
        <f>AVERAGEIFS('caseload data'!K:K,'caseload data'!$D:$D,"PO",'caseload data'!$A:$A,$B$5)</f>
        <v>#DIV/0!</v>
      </c>
      <c r="J69" s="233" t="e">
        <f>AVERAGEIFS('caseload data'!L:L,'caseload data'!$D:$D,"PO",'caseload data'!$A:$A,$B$5)</f>
        <v>#DIV/0!</v>
      </c>
      <c r="K69" s="233" t="e">
        <f>AVERAGEIFS('caseload data'!M:M,'caseload data'!$D:$D,"PO",'caseload data'!$A:$A,$B$5)</f>
        <v>#DIV/0!</v>
      </c>
      <c r="L69" s="233" t="e">
        <f>AVERAGEIFS('caseload data'!N:N,'caseload data'!$D:$D,"PO",'caseload data'!$A:$A,$B$5)</f>
        <v>#DIV/0!</v>
      </c>
      <c r="M69" s="233" t="e">
        <f>AVERAGEIFS('caseload data'!O:O,'caseload data'!$D:$D,"PO",'caseload data'!$A:$A,$B$5)</f>
        <v>#DIV/0!</v>
      </c>
      <c r="N69" s="233" t="e">
        <f>AVERAGEIFS('caseload data'!P:P,'caseload data'!$D:$D,"PO",'caseload data'!$A:$A,$B$5)</f>
        <v>#DIV/0!</v>
      </c>
      <c r="O69" s="233" t="e">
        <f>AVERAGEIFS('caseload data'!Q:Q,'caseload data'!$D:$D,"PO",'caseload data'!$A:$A,$B$5)</f>
        <v>#DIV/0!</v>
      </c>
      <c r="P69" s="233" t="e">
        <f>AVERAGEIFS('caseload data'!R:R,'caseload data'!$D:$D,"PO",'caseload data'!$A:$A,$B$5)</f>
        <v>#DIV/0!</v>
      </c>
      <c r="Q69" s="233" t="e">
        <f>AVERAGEIFS('caseload data'!S:S,'caseload data'!$D:$D,"PO",'caseload data'!$A:$A,$B$5)</f>
        <v>#DIV/0!</v>
      </c>
      <c r="R69" s="233" t="e">
        <f>AVERAGEIFS('caseload data'!T:T,'caseload data'!$D:$D,"PO",'caseload data'!$A:$A,$B$5)</f>
        <v>#DIV/0!</v>
      </c>
      <c r="S69" s="233" t="e">
        <f>AVERAGEIFS('caseload data'!U:U,'caseload data'!$D:$D,"PO",'caseload data'!$A:$A,$B$5)</f>
        <v>#DIV/0!</v>
      </c>
      <c r="T69" s="64"/>
    </row>
    <row r="70" spans="2:20" x14ac:dyDescent="0.15">
      <c r="B70" s="365" t="s">
        <v>1002</v>
      </c>
      <c r="C70" s="369" t="e">
        <f>AVERAGEIFS('caseload data'!E:E,'caseload data'!$D:$D,"PSO",'caseload data'!$A:$A,$B$5)</f>
        <v>#DIV/0!</v>
      </c>
      <c r="D70" s="233" t="e">
        <f>AVERAGEIFS('caseload data'!F:F,'caseload data'!$D:$D,"PSO",'caseload data'!$A:$A,$B$5)</f>
        <v>#DIV/0!</v>
      </c>
      <c r="E70" s="233" t="e">
        <f>AVERAGEIFS('caseload data'!G:G,'caseload data'!$D:$D,"PSO",'caseload data'!$A:$A,$B$5)</f>
        <v>#DIV/0!</v>
      </c>
      <c r="F70" s="233" t="e">
        <f>AVERAGEIFS('caseload data'!H:H,'caseload data'!$D:$D,"PSO",'caseload data'!$A:$A,$B$5)</f>
        <v>#DIV/0!</v>
      </c>
      <c r="G70" s="233" t="e">
        <f>AVERAGEIFS('caseload data'!I:I,'caseload data'!$D:$D,"PSO",'caseload data'!$A:$A,$B$5)</f>
        <v>#DIV/0!</v>
      </c>
      <c r="H70" s="233" t="e">
        <f>AVERAGEIFS('caseload data'!J:J,'caseload data'!$D:$D,"PSO",'caseload data'!$A:$A,$B$5)</f>
        <v>#DIV/0!</v>
      </c>
      <c r="I70" s="233" t="e">
        <f>AVERAGEIFS('caseload data'!K:K,'caseload data'!$D:$D,"PSO",'caseload data'!$A:$A,$B$5)</f>
        <v>#DIV/0!</v>
      </c>
      <c r="J70" s="233" t="e">
        <f>AVERAGEIFS('caseload data'!L:L,'caseload data'!$D:$D,"PSO",'caseload data'!$A:$A,$B$5)</f>
        <v>#DIV/0!</v>
      </c>
      <c r="K70" s="233" t="e">
        <f>AVERAGEIFS('caseload data'!M:M,'caseload data'!$D:$D,"PSO",'caseload data'!$A:$A,$B$5)</f>
        <v>#DIV/0!</v>
      </c>
      <c r="L70" s="233" t="e">
        <f>AVERAGEIFS('caseload data'!N:N,'caseload data'!$D:$D,"PSO",'caseload data'!$A:$A,$B$5)</f>
        <v>#DIV/0!</v>
      </c>
      <c r="M70" s="233" t="e">
        <f>AVERAGEIFS('caseload data'!O:O,'caseload data'!$D:$D,"PSO",'caseload data'!$A:$A,$B$5)</f>
        <v>#DIV/0!</v>
      </c>
      <c r="N70" s="233" t="e">
        <f>AVERAGEIFS('caseload data'!P:P,'caseload data'!$D:$D,"PSO",'caseload data'!$A:$A,$B$5)</f>
        <v>#DIV/0!</v>
      </c>
      <c r="O70" s="233" t="e">
        <f>AVERAGEIFS('caseload data'!Q:Q,'caseload data'!$D:$D,"PSO",'caseload data'!$A:$A,$B$5)</f>
        <v>#DIV/0!</v>
      </c>
      <c r="P70" s="233" t="e">
        <f>AVERAGEIFS('caseload data'!R:R,'caseload data'!$D:$D,"PSO",'caseload data'!$A:$A,$B$5)</f>
        <v>#DIV/0!</v>
      </c>
      <c r="Q70" s="233" t="e">
        <f>AVERAGEIFS('caseload data'!S:S,'caseload data'!$D:$D,"PSO",'caseload data'!$A:$A,$B$5)</f>
        <v>#DIV/0!</v>
      </c>
      <c r="R70" s="233" t="e">
        <f>AVERAGEIFS('caseload data'!T:T,'caseload data'!$D:$D,"PSO",'caseload data'!$A:$A,$B$5)</f>
        <v>#DIV/0!</v>
      </c>
      <c r="S70" s="233" t="e">
        <f>AVERAGEIFS('caseload data'!U:U,'caseload data'!$D:$D,"PSO",'caseload data'!$A:$A,$B$5)</f>
        <v>#DIV/0!</v>
      </c>
      <c r="T70" s="64"/>
    </row>
    <row r="71" spans="2:20" x14ac:dyDescent="0.15">
      <c r="B71" s="365" t="s">
        <v>1003</v>
      </c>
      <c r="C71" s="369" t="e">
        <f>AVERAGEIFS('caseload data'!E:E,'caseload data'!$D:$D,"TPO",'caseload data'!$A:$A,$B$5)</f>
        <v>#DIV/0!</v>
      </c>
      <c r="D71" s="233" t="e">
        <f>AVERAGEIFS('caseload data'!F:F,'caseload data'!$D:$D,"TPO",'caseload data'!$A:$A,$B$5)</f>
        <v>#DIV/0!</v>
      </c>
      <c r="E71" s="233" t="e">
        <f>AVERAGEIFS('caseload data'!G:G,'caseload data'!$D:$D,"TPO",'caseload data'!$A:$A,$B$5)</f>
        <v>#DIV/0!</v>
      </c>
      <c r="F71" s="233" t="e">
        <f>AVERAGEIFS('caseload data'!H:H,'caseload data'!$D:$D,"TPO",'caseload data'!$A:$A,$B$5)</f>
        <v>#DIV/0!</v>
      </c>
      <c r="G71" s="233" t="e">
        <f>AVERAGEIFS('caseload data'!I:I,'caseload data'!$D:$D,"TPO",'caseload data'!$A:$A,$B$5)</f>
        <v>#DIV/0!</v>
      </c>
      <c r="H71" s="233" t="e">
        <f>AVERAGEIFS('caseload data'!J:J,'caseload data'!$D:$D,"TPO",'caseload data'!$A:$A,$B$5)</f>
        <v>#DIV/0!</v>
      </c>
      <c r="I71" s="233" t="e">
        <f>AVERAGEIFS('caseload data'!K:K,'caseload data'!$D:$D,"TPO",'caseload data'!$A:$A,$B$5)</f>
        <v>#DIV/0!</v>
      </c>
      <c r="J71" s="233" t="e">
        <f>AVERAGEIFS('caseload data'!L:L,'caseload data'!$D:$D,"TPO",'caseload data'!$A:$A,$B$5)</f>
        <v>#DIV/0!</v>
      </c>
      <c r="K71" s="233" t="e">
        <f>AVERAGEIFS('caseload data'!M:M,'caseload data'!$D:$D,"TPO",'caseload data'!$A:$A,$B$5)</f>
        <v>#DIV/0!</v>
      </c>
      <c r="L71" s="233" t="e">
        <f>AVERAGEIFS('caseload data'!N:N,'caseload data'!$D:$D,"TPO",'caseload data'!$A:$A,$B$5)</f>
        <v>#DIV/0!</v>
      </c>
      <c r="M71" s="233" t="e">
        <f>AVERAGEIFS('caseload data'!O:O,'caseload data'!$D:$D,"TPO",'caseload data'!$A:$A,$B$5)</f>
        <v>#DIV/0!</v>
      </c>
      <c r="N71" s="233" t="e">
        <f>AVERAGEIFS('caseload data'!P:P,'caseload data'!$D:$D,"TPO",'caseload data'!$A:$A,$B$5)</f>
        <v>#DIV/0!</v>
      </c>
      <c r="O71" s="233" t="e">
        <f>AVERAGEIFS('caseload data'!Q:Q,'caseload data'!$D:$D,"TPO",'caseload data'!$A:$A,$B$5)</f>
        <v>#DIV/0!</v>
      </c>
      <c r="P71" s="233" t="e">
        <f>AVERAGEIFS('caseload data'!R:R,'caseload data'!$D:$D,"TPO",'caseload data'!$A:$A,$B$5)</f>
        <v>#DIV/0!</v>
      </c>
      <c r="Q71" s="233" t="e">
        <f>AVERAGEIFS('caseload data'!S:S,'caseload data'!$D:$D,"TPO",'caseload data'!$A:$A,$B$5)</f>
        <v>#DIV/0!</v>
      </c>
      <c r="R71" s="233" t="e">
        <f>AVERAGEIFS('caseload data'!T:T,'caseload data'!$D:$D,"TPO",'caseload data'!$A:$A,$B$5)</f>
        <v>#DIV/0!</v>
      </c>
      <c r="S71" s="233" t="e">
        <f>AVERAGEIFS('caseload data'!U:U,'caseload data'!$D:$D,"TPO",'caseload data'!$A:$A,$B$5)</f>
        <v>#DIV/0!</v>
      </c>
      <c r="T71" s="64"/>
    </row>
    <row r="72" spans="2:20" x14ac:dyDescent="0.15">
      <c r="B72" s="365" t="s">
        <v>1004</v>
      </c>
      <c r="C72" s="369" t="e">
        <f>AVERAGEIFS('caseload data'!E:E,'caseload data'!$D:$D,"SPO",'caseload data'!$A:$A,$B$5)</f>
        <v>#DIV/0!</v>
      </c>
      <c r="D72" s="233" t="e">
        <f>AVERAGEIFS('caseload data'!F:F,'caseload data'!$D:$D,"SPO",'caseload data'!$A:$A,$B$5)</f>
        <v>#DIV/0!</v>
      </c>
      <c r="E72" s="233" t="e">
        <f>AVERAGEIFS('caseload data'!G:G,'caseload data'!$D:$D,"SPO",'caseload data'!$A:$A,$B$5)</f>
        <v>#DIV/0!</v>
      </c>
      <c r="F72" s="233" t="e">
        <f>AVERAGEIFS('caseload data'!H:H,'caseload data'!$D:$D,"SPO",'caseload data'!$A:$A,$B$5)</f>
        <v>#DIV/0!</v>
      </c>
      <c r="G72" s="233" t="e">
        <f>AVERAGEIFS('caseload data'!I:I,'caseload data'!$D:$D,"SPO",'caseload data'!$A:$A,$B$5)</f>
        <v>#DIV/0!</v>
      </c>
      <c r="H72" s="233" t="e">
        <f>AVERAGEIFS('caseload data'!J:J,'caseload data'!$D:$D,"SPO",'caseload data'!$A:$A,$B$5)</f>
        <v>#DIV/0!</v>
      </c>
      <c r="I72" s="233" t="e">
        <f>AVERAGEIFS('caseload data'!K:K,'caseload data'!$D:$D,"SPO",'caseload data'!$A:$A,$B$5)</f>
        <v>#DIV/0!</v>
      </c>
      <c r="J72" s="233" t="e">
        <f>AVERAGEIFS('caseload data'!L:L,'caseload data'!$D:$D,"SPO",'caseload data'!$A:$A,$B$5)</f>
        <v>#DIV/0!</v>
      </c>
      <c r="K72" s="233" t="e">
        <f>AVERAGEIFS('caseload data'!M:M,'caseload data'!$D:$D,"SPO",'caseload data'!$A:$A,$B$5)</f>
        <v>#DIV/0!</v>
      </c>
      <c r="L72" s="233" t="e">
        <f>AVERAGEIFS('caseload data'!N:N,'caseload data'!$D:$D,"SPO",'caseload data'!$A:$A,$B$5)</f>
        <v>#DIV/0!</v>
      </c>
      <c r="M72" s="233" t="e">
        <f>AVERAGEIFS('caseload data'!O:O,'caseload data'!$D:$D,"SPO",'caseload data'!$A:$A,$B$5)</f>
        <v>#DIV/0!</v>
      </c>
      <c r="N72" s="233" t="e">
        <f>AVERAGEIFS('caseload data'!P:P,'caseload data'!$D:$D,"SPO",'caseload data'!$A:$A,$B$5)</f>
        <v>#DIV/0!</v>
      </c>
      <c r="O72" s="233" t="e">
        <f>AVERAGEIFS('caseload data'!Q:Q,'caseload data'!$D:$D,"SPO",'caseload data'!$A:$A,$B$5)</f>
        <v>#DIV/0!</v>
      </c>
      <c r="P72" s="233" t="e">
        <f>AVERAGEIFS('caseload data'!R:R,'caseload data'!$D:$D,"SPO",'caseload data'!$A:$A,$B$5)</f>
        <v>#DIV/0!</v>
      </c>
      <c r="Q72" s="233" t="e">
        <f>AVERAGEIFS('caseload data'!S:S,'caseload data'!$D:$D,"SPO",'caseload data'!$A:$A,$B$5)</f>
        <v>#DIV/0!</v>
      </c>
      <c r="R72" s="233" t="e">
        <f>AVERAGEIFS('caseload data'!T:T,'caseload data'!$D:$D,"SPO",'caseload data'!$A:$A,$B$5)</f>
        <v>#DIV/0!</v>
      </c>
      <c r="S72" s="233" t="e">
        <f>AVERAGEIFS('caseload data'!U:U,'caseload data'!$D:$D,"SPO",'caseload data'!$A:$A,$B$5)</f>
        <v>#DIV/0!</v>
      </c>
      <c r="T72" s="64"/>
    </row>
    <row r="73" spans="2:20" x14ac:dyDescent="0.15">
      <c r="B73" s="144" t="s">
        <v>1339</v>
      </c>
      <c r="C73" s="369" t="e">
        <f>AVERAGEIFS('caseload data'!E:E,'caseload data'!$D:$D,"DMY",'caseload data'!$A:$A,$B$5)</f>
        <v>#DIV/0!</v>
      </c>
      <c r="D73" s="233" t="e">
        <f>AVERAGEIFS('caseload data'!F:F,'caseload data'!$D:$D,"DMY",'caseload data'!$A:$A,$B$5)</f>
        <v>#DIV/0!</v>
      </c>
      <c r="E73" s="233" t="e">
        <f>AVERAGEIFS('caseload data'!G:G,'caseload data'!$D:$D,"DMY",'caseload data'!$A:$A,$B$5)</f>
        <v>#DIV/0!</v>
      </c>
      <c r="F73" s="233" t="e">
        <f>AVERAGEIFS('caseload data'!H:H,'caseload data'!$D:$D,"DMY",'caseload data'!$A:$A,$B$5)</f>
        <v>#DIV/0!</v>
      </c>
      <c r="G73" s="233" t="e">
        <f>AVERAGEIFS('caseload data'!I:I,'caseload data'!$D:$D,"DMY",'caseload data'!$A:$A,$B$5)</f>
        <v>#DIV/0!</v>
      </c>
      <c r="H73" s="233" t="e">
        <f>AVERAGEIFS('caseload data'!J:J,'caseload data'!$D:$D,"DMY",'caseload data'!$A:$A,$B$5)</f>
        <v>#DIV/0!</v>
      </c>
      <c r="I73" s="233" t="e">
        <f>AVERAGEIFS('caseload data'!K:K,'caseload data'!$D:$D,"DMY",'caseload data'!$A:$A,$B$5)</f>
        <v>#DIV/0!</v>
      </c>
      <c r="J73" s="233" t="e">
        <f>AVERAGEIFS('caseload data'!L:L,'caseload data'!$D:$D,"DMY",'caseload data'!$A:$A,$B$5)</f>
        <v>#DIV/0!</v>
      </c>
      <c r="K73" s="233" t="e">
        <f>AVERAGEIFS('caseload data'!M:M,'caseload data'!$D:$D,"DMY",'caseload data'!$A:$A,$B$5)</f>
        <v>#DIV/0!</v>
      </c>
      <c r="L73" s="233" t="e">
        <f>AVERAGEIFS('caseload data'!N:N,'caseload data'!$D:$D,"DMY",'caseload data'!$A:$A,$B$5)</f>
        <v>#DIV/0!</v>
      </c>
      <c r="M73" s="233" t="e">
        <f>AVERAGEIFS('caseload data'!O:O,'caseload data'!$D:$D,"DMY",'caseload data'!$A:$A,$B$5)</f>
        <v>#DIV/0!</v>
      </c>
      <c r="N73" s="233" t="e">
        <f>AVERAGEIFS('caseload data'!P:P,'caseload data'!$D:$D,"DMY",'caseload data'!$A:$A,$B$5)</f>
        <v>#DIV/0!</v>
      </c>
      <c r="O73" s="233" t="e">
        <f>AVERAGEIFS('caseload data'!Q:Q,'caseload data'!$D:$D,"DMY",'caseload data'!$A:$A,$B$5)</f>
        <v>#DIV/0!</v>
      </c>
      <c r="P73" s="233" t="e">
        <f>AVERAGEIFS('caseload data'!R:R,'caseload data'!$D:$D,"DMY",'caseload data'!$A:$A,$B$5)</f>
        <v>#DIV/0!</v>
      </c>
      <c r="Q73" s="233" t="e">
        <f>AVERAGEIFS('caseload data'!S:S,'caseload data'!$D:$D,"DMY",'caseload data'!$A:$A,$B$5)</f>
        <v>#DIV/0!</v>
      </c>
      <c r="R73" s="233" t="e">
        <f>AVERAGEIFS('caseload data'!T:T,'caseload data'!$D:$D,"DMY",'caseload data'!$A:$A,$B$5)</f>
        <v>#DIV/0!</v>
      </c>
      <c r="S73" s="233" t="e">
        <f>AVERAGEIFS('caseload data'!U:U,'caseload data'!$D:$D,"DMY",'caseload data'!$A:$A,$B$5)</f>
        <v>#DIV/0!</v>
      </c>
      <c r="T73" s="64"/>
    </row>
  </sheetData>
  <mergeCells count="9">
    <mergeCell ref="A1:L1"/>
    <mergeCell ref="A2:L2"/>
    <mergeCell ref="C67:S67"/>
    <mergeCell ref="C58:T58"/>
    <mergeCell ref="C50:T50"/>
    <mergeCell ref="C42:T42"/>
    <mergeCell ref="C34:T34"/>
    <mergeCell ref="H7:N7"/>
    <mergeCell ref="H15:M15"/>
  </mergeCells>
  <conditionalFormatting sqref="I9:L10">
    <cfRule type="cellIs" dxfId="6107" priority="4" operator="lessThan">
      <formula>0.9</formula>
    </cfRule>
    <cfRule type="cellIs" dxfId="6106" priority="5" operator="greaterThanOrEqual">
      <formula>1.1</formula>
    </cfRule>
  </conditionalFormatting>
  <conditionalFormatting sqref="M9:M10">
    <cfRule type="cellIs" dxfId="6105" priority="3" operator="greaterThan">
      <formula>1.1</formula>
    </cfRule>
  </conditionalFormatting>
  <conditionalFormatting sqref="N9">
    <cfRule type="cellIs" dxfId="6104" priority="2" operator="greaterThan">
      <formula>1.1</formula>
    </cfRule>
  </conditionalFormatting>
  <conditionalFormatting sqref="N10">
    <cfRule type="cellIs" dxfId="6103" priority="1" operator="greaterThan">
      <formula>1.1</formula>
    </cfRule>
  </conditionalFormatting>
  <dataValidations count="1">
    <dataValidation type="list" allowBlank="1" showInputMessage="1" showErrorMessage="1" sqref="B5" xr:uid="{C7345745-6219-470E-BFEF-983AE4F7F8C1}">
      <formula1>Regions</formula1>
    </dataValidation>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2359-19EC-457C-9B32-028E8EABE760}">
  <sheetPr>
    <tabColor rgb="FFFFFF00"/>
    <pageSetUpPr autoPageBreaks="0"/>
  </sheetPr>
  <dimension ref="A1:W75"/>
  <sheetViews>
    <sheetView showGridLines="0" topLeftCell="A25" zoomScale="70" zoomScaleNormal="70" workbookViewId="0">
      <selection activeCell="C62" sqref="C62"/>
    </sheetView>
  </sheetViews>
  <sheetFormatPr baseColWidth="10" defaultColWidth="8.83203125" defaultRowHeight="14" x14ac:dyDescent="0.15"/>
  <cols>
    <col min="2" max="2" width="48.83203125" customWidth="1"/>
    <col min="3" max="3" width="19.1640625" customWidth="1"/>
    <col min="4" max="4" width="20.5" bestFit="1" customWidth="1"/>
    <col min="5" max="5" width="14.83203125" customWidth="1"/>
    <col min="6" max="6" width="17.1640625" customWidth="1"/>
    <col min="7" max="7" width="12" customWidth="1"/>
    <col min="8" max="8" width="40.83203125" customWidth="1"/>
    <col min="9" max="9" width="15.5" customWidth="1"/>
    <col min="10" max="10" width="20.5" customWidth="1"/>
    <col min="11" max="11" width="18.6640625" customWidth="1"/>
    <col min="12" max="12" width="16.83203125" customWidth="1"/>
    <col min="13" max="13" width="17.83203125" bestFit="1" customWidth="1"/>
    <col min="14" max="14" width="17.1640625" bestFit="1" customWidth="1"/>
    <col min="17" max="17" width="10" bestFit="1" customWidth="1"/>
    <col min="19" max="19" width="10.5" customWidth="1"/>
    <col min="21" max="21" width="11.1640625" bestFit="1" customWidth="1"/>
    <col min="22" max="22" width="11.6640625" hidden="1" customWidth="1"/>
    <col min="23" max="23" width="13.1640625" hidden="1" customWidth="1"/>
  </cols>
  <sheetData>
    <row r="1" spans="1:23" ht="65.25" customHeight="1" x14ac:dyDescent="0.15">
      <c r="A1" s="436" t="s">
        <v>1031</v>
      </c>
      <c r="B1" s="436"/>
      <c r="C1" s="436"/>
      <c r="D1" s="436"/>
      <c r="E1" s="436"/>
      <c r="F1" s="436"/>
      <c r="G1" s="436"/>
      <c r="H1" s="436"/>
      <c r="I1" s="436"/>
      <c r="J1" s="436"/>
      <c r="K1" s="436"/>
      <c r="L1" s="436"/>
      <c r="M1" s="436"/>
      <c r="N1" s="252"/>
      <c r="O1" s="252"/>
      <c r="P1" s="252"/>
      <c r="Q1" s="252"/>
      <c r="R1" s="252"/>
      <c r="S1" s="252"/>
    </row>
    <row r="2" spans="1:23" ht="37.5" customHeight="1" x14ac:dyDescent="0.15">
      <c r="A2" s="426"/>
      <c r="B2" s="426"/>
      <c r="C2" s="426"/>
      <c r="D2" s="426"/>
      <c r="E2" s="426"/>
      <c r="F2" s="426"/>
      <c r="G2" s="426"/>
      <c r="H2" s="426"/>
      <c r="I2" s="426"/>
      <c r="J2" s="426"/>
      <c r="K2" s="426"/>
      <c r="L2" s="426"/>
      <c r="M2" s="426"/>
      <c r="N2" s="241"/>
      <c r="O2" s="241"/>
      <c r="P2" s="241"/>
      <c r="Q2" s="241"/>
      <c r="R2" s="241"/>
      <c r="S2" s="241"/>
    </row>
    <row r="4" spans="1:23" ht="33" customHeight="1" x14ac:dyDescent="0.15">
      <c r="B4" s="302" t="s">
        <v>1032</v>
      </c>
    </row>
    <row r="5" spans="1:23" ht="35.25" customHeight="1" x14ac:dyDescent="0.15">
      <c r="B5" s="242" t="s">
        <v>21</v>
      </c>
      <c r="F5" s="40"/>
      <c r="L5" s="40"/>
      <c r="V5" s="309" t="s">
        <v>1242</v>
      </c>
      <c r="W5" s="309" cm="1">
        <f t="array" ref="W5">SUM(SUMIFS('capacity data'!K:K,'capacity data'!B:B,B6,'capacity data'!E:E,{"PO","PSO"}))</f>
        <v>0</v>
      </c>
    </row>
    <row r="6" spans="1:23" ht="39.75" customHeight="1" x14ac:dyDescent="0.15">
      <c r="B6" s="300" t="s">
        <v>220</v>
      </c>
      <c r="V6" s="310" t="s">
        <v>1243</v>
      </c>
      <c r="W6" s="309" cm="1">
        <f t="array" ref="W6">SUM(SUMIFS('capacity data'!I:I,'capacity data'!B:B,B6,'capacity data'!E:E,{"PO","PSO"}))-SUM((SUMIFS('capacity data'!J:J,'capacity data'!B:B,B6,'capacity data'!E:E,{"PO","PSO"})))</f>
        <v>0</v>
      </c>
    </row>
    <row r="7" spans="1:23" ht="24" customHeight="1" x14ac:dyDescent="0.15">
      <c r="V7" s="309" t="s">
        <v>1244</v>
      </c>
      <c r="W7" s="309">
        <f>W6/37</f>
        <v>0</v>
      </c>
    </row>
    <row r="8" spans="1:23" x14ac:dyDescent="0.15">
      <c r="F8" s="238"/>
    </row>
    <row r="9" spans="1:23" ht="23" x14ac:dyDescent="0.15">
      <c r="B9" s="284" t="s">
        <v>1009</v>
      </c>
      <c r="C9" s="285"/>
      <c r="D9" s="285"/>
      <c r="E9" s="285"/>
      <c r="F9" s="286"/>
      <c r="H9" s="439" t="s">
        <v>1033</v>
      </c>
      <c r="I9" s="440"/>
      <c r="J9" s="440"/>
      <c r="K9" s="440"/>
      <c r="L9" s="440"/>
      <c r="M9" s="440"/>
      <c r="N9" s="440"/>
    </row>
    <row r="10" spans="1:23" ht="51" customHeight="1" x14ac:dyDescent="0.15">
      <c r="B10" s="62"/>
      <c r="C10" s="219" t="s">
        <v>1011</v>
      </c>
      <c r="D10" s="219" t="s">
        <v>1012</v>
      </c>
      <c r="E10" s="219" t="s">
        <v>1013</v>
      </c>
      <c r="F10" s="219" t="s">
        <v>1034</v>
      </c>
      <c r="H10" s="62"/>
      <c r="I10" s="219" t="s">
        <v>1015</v>
      </c>
      <c r="J10" s="63" t="s">
        <v>1016</v>
      </c>
      <c r="K10" s="63" t="s">
        <v>1017</v>
      </c>
      <c r="L10" s="63" t="s">
        <v>1035</v>
      </c>
      <c r="M10" s="219" t="s">
        <v>1019</v>
      </c>
      <c r="N10" s="219" t="s">
        <v>1241</v>
      </c>
    </row>
    <row r="11" spans="1:23" ht="15" x14ac:dyDescent="0.2">
      <c r="B11" s="299" t="str">
        <f>B6</f>
        <v>Hackney and City</v>
      </c>
      <c r="C11" s="235" t="e">
        <f>SUMIFS('capacity data'!K:K,'capacity data'!B:B,B6,'capacity data'!E:E,"PO")/((SUMIFS('capacity data'!I:I,'capacity data'!B:B,B6,'capacity data'!E:E,"PO")-(SUMIFS('capacity data'!J:J,'capacity data'!B:B,B6,'capacity data'!E:E,"PO")))/37)</f>
        <v>#DIV/0!</v>
      </c>
      <c r="D11" s="236" t="e">
        <f>SUMIFS('capacity data'!K:K,'capacity data'!B:B,B6,'capacity data'!E:E,"PSO")/((SUMIFS('capacity data'!I:I,'capacity data'!B:B,B6,'capacity data'!E:E,"PSO")-(SUMIFS('capacity data'!J:J,'capacity data'!B:B,B6,'capacity data'!E:E,"PSO")))/37)</f>
        <v>#DIV/0!</v>
      </c>
      <c r="E11" s="236" t="e">
        <f>SUMIFS('capacity data'!K:K,'capacity data'!B:B,B6,'capacity data'!E:E,"TPO")/((SUMIFS('capacity data'!I:I,'capacity data'!B:B,B6,'capacity data'!E:E,"TPO")-(SUMIFS('capacity data'!J:J,'capacity data'!B:B,B6,'capacity data'!E:E,"TPO")))/37)</f>
        <v>#DIV/0!</v>
      </c>
      <c r="F11" s="236" t="e">
        <f>SUMIFS('capacity data'!K:K,'capacity data'!B:B,B6,'capacity data'!E:E,"&lt;&gt;DMY")/((SUMIFS('capacity data'!I:I,'capacity data'!B:B,B6,'capacity data'!E:E,"&lt;&gt;DMY")-(SUMIFS('capacity data'!J:J,'capacity data'!B:B,B6,'capacity data'!E:E,"&lt;&gt;DMY")))/37)</f>
        <v>#DIV/0!</v>
      </c>
      <c r="H11" s="299" t="str">
        <f>B6</f>
        <v>Hackney and City</v>
      </c>
      <c r="I11" s="82" t="e">
        <f>SUMIFS('capacity data'!F:F, 'capacity data'!E:E, "PO",'capacity data'!F:F, "&lt;&gt;0", 'capacity data'!B:B, B6) / COUNTIFS('capacity data'!E:E, "PO",'capacity data'!F:F, "&lt;&gt;0",'capacity data'!B:B, B6)</f>
        <v>#DIV/0!</v>
      </c>
      <c r="J11" s="82" t="e">
        <f>SUMIFS('capacity data'!F:F, 'capacity data'!E:E, "PSO",'capacity data'!F:F, "&lt;&gt;0", 'capacity data'!B:B, B6) / COUNTIFS('capacity data'!E:E, "PSO",'capacity data'!F:F, "&lt;&gt;0",'capacity data'!B:B, B6)</f>
        <v>#DIV/0!</v>
      </c>
      <c r="K11" s="82" t="e">
        <f>SUMIFS('capacity data'!F:F, 'capacity data'!E:E, "TPO",'capacity data'!F:F, "&lt;&gt;0", 'capacity data'!B:B, B6) / COUNTIFS('capacity data'!E:E, "TPO",'capacity data'!F:F, "&lt;&gt;0",'capacity data'!B:B, B6)</f>
        <v>#DIV/0!</v>
      </c>
      <c r="L11" s="82" t="e">
        <f>SUMIFS('capacity data'!F:F, 'capacity data'!E:E, "&lt;&gt;DMY",'capacity data'!F:F, "&lt;&gt;0", 'capacity data'!B:B, B6) / COUNTIFS('capacity data'!E:E, "&lt;&gt;DMY",'capacity data'!F:F, "&lt;&gt;0",'capacity data'!B:B, B6)</f>
        <v>#DIV/0!</v>
      </c>
      <c r="M11" s="303" t="e" cm="1">
        <f t="array" ref="M11">SUM(SUMIFS('capacity data'!F:F, 'capacity data'!E:E, {"PO","PSO"},'capacity data'!F:F, "&lt;&gt;0", 'capacity data'!B:B, B6)) / SUM(COUNTIFS('capacity data'!E:E, {"PO","PSO"},'capacity data'!F:F, "&lt;&gt;0",'capacity data'!B:B, B6))</f>
        <v>#DIV/0!</v>
      </c>
      <c r="N11" s="313" t="e">
        <f>W5/W7</f>
        <v>#DIV/0!</v>
      </c>
    </row>
    <row r="12" spans="1:23" x14ac:dyDescent="0.15">
      <c r="B12" s="229" t="s">
        <v>1020</v>
      </c>
      <c r="C12" s="235" t="e">
        <f>SUMIFS('capacity data'!K:K,'capacity data'!E:E,"PO")/((SUMIFS('capacity data'!I:I,'capacity data'!E:E,"PO")-(SUMIFS('capacity data'!J:J,'capacity data'!E:E,"PO")))/37)</f>
        <v>#DIV/0!</v>
      </c>
      <c r="D12" s="236" t="e">
        <f>SUMIFS('capacity data'!K:K,'capacity data'!E:E,"PSO")/((SUMIFS('capacity data'!I:I,'capacity data'!E:E,"PSO")-(SUMIFS('capacity data'!J:J,'capacity data'!E:E,"PSO")))/37)</f>
        <v>#DIV/0!</v>
      </c>
      <c r="E12" s="236" t="e">
        <f>SUMIFS('capacity data'!K:K,'capacity data'!E:E,"TPO")/((SUMIFS('capacity data'!I:I,'capacity data'!E:E,"TPO")-(SUMIFS('capacity data'!J:J,'capacity data'!E:E,"TPO")))/37)</f>
        <v>#DIV/0!</v>
      </c>
      <c r="F12" s="236" t="e">
        <f>SUMIFS('capacity data'!K:K,'capacity data'!E:E,"&lt;&gt;DMY")/((SUMIFS('capacity data'!I:I,'capacity data'!E:E,"&lt;&gt;DMY")-(SUMIFS('capacity data'!J:J,'capacity data'!E:E,"&lt;&gt;DMY")))/37)</f>
        <v>#DIV/0!</v>
      </c>
      <c r="H12" s="229" t="s">
        <v>1020</v>
      </c>
      <c r="I12" s="82" t="e">
        <f>SUMIFS('capacity data'!F:F, 'capacity data'!E:E, "PO",'capacity data'!F:F, "&lt;&gt;0") / COUNTIFS('capacity data'!E:E, "PO",'capacity data'!F:F, "&lt;&gt;0")</f>
        <v>#DIV/0!</v>
      </c>
      <c r="J12" s="82" t="e">
        <f>SUMIFS('capacity data'!F:F, 'capacity data'!E:E, "PSO",'capacity data'!F:F, "&lt;&gt;0") / COUNTIFS('capacity data'!E:E, "PSO",'capacity data'!F:F, "&lt;&gt;0")</f>
        <v>#DIV/0!</v>
      </c>
      <c r="K12" s="82" t="e">
        <f>SUMIFS('capacity data'!F:F, 'capacity data'!E:E, "TPO",'capacity data'!F:F, "&lt;&gt;0") / COUNTIFS('capacity data'!E:E, "TPO",'capacity data'!F:F, "&lt;&gt;0")</f>
        <v>#DIV/0!</v>
      </c>
      <c r="L12" s="82">
        <f>SUMIFS('capacity data'!F:F, 'capacity data'!E:E, "&lt;&gt;DMY",'capacity data'!F:F, "&lt;&gt;0") / COUNTIFS('capacity data'!E:E, "&lt;&gt;DMY",'capacity data'!F:F, "&lt;&gt;0", 'capacity data'!A:A, "&lt;&gt;")</f>
        <v>0</v>
      </c>
      <c r="M12" s="293" t="e" cm="1">
        <f t="array" ref="M12">SUM(SUMIFS('capacity data'!F:F,'capacity data'!E:E,{"PO","PSO"},'capacity data'!F:F,"&lt;&gt;0"))/SUM(COUNTIFS('capacity data'!E:E,{"PO","PSO"},'capacity data'!F:F,"&lt;&gt;0"))</f>
        <v>#DIV/0!</v>
      </c>
      <c r="N12" s="311" t="e">
        <f>'HMIP caseload divisional'!N10</f>
        <v>#DIV/0!</v>
      </c>
    </row>
    <row r="13" spans="1:23" x14ac:dyDescent="0.15">
      <c r="B13" s="68" t="s">
        <v>1036</v>
      </c>
      <c r="C13" s="235" t="e">
        <f>C11-C12</f>
        <v>#DIV/0!</v>
      </c>
      <c r="D13" s="235" t="e">
        <f t="shared" ref="D13:F13" si="0">D11-D12</f>
        <v>#DIV/0!</v>
      </c>
      <c r="E13" s="235" t="e">
        <f t="shared" si="0"/>
        <v>#DIV/0!</v>
      </c>
      <c r="F13" s="235" t="e">
        <f t="shared" si="0"/>
        <v>#DIV/0!</v>
      </c>
      <c r="H13" s="68" t="s">
        <v>1036</v>
      </c>
      <c r="I13" s="102" t="e">
        <f>+I11-I12</f>
        <v>#DIV/0!</v>
      </c>
      <c r="J13" s="102" t="str">
        <f>IFERROR(+J11-J12,"N/A")</f>
        <v>N/A</v>
      </c>
      <c r="K13" s="102" t="str">
        <f>IFERROR(+K11-K12,"N/A")</f>
        <v>N/A</v>
      </c>
      <c r="L13" s="102" t="e">
        <f>+L11-L12</f>
        <v>#DIV/0!</v>
      </c>
      <c r="M13" s="102" t="e">
        <f>(M11-M12)</f>
        <v>#DIV/0!</v>
      </c>
      <c r="N13" s="312" t="e">
        <f>(N11-N12)</f>
        <v>#DIV/0!</v>
      </c>
    </row>
    <row r="14" spans="1:23" x14ac:dyDescent="0.15">
      <c r="C14" s="238"/>
      <c r="D14" s="238"/>
      <c r="E14" s="238"/>
      <c r="F14" s="238"/>
    </row>
    <row r="16" spans="1:23" ht="23" x14ac:dyDescent="0.15">
      <c r="B16" s="284" t="s">
        <v>1021</v>
      </c>
      <c r="C16" s="285"/>
      <c r="D16" s="285"/>
      <c r="E16" s="285"/>
      <c r="F16" s="286"/>
      <c r="H16" s="434" t="s">
        <v>1037</v>
      </c>
      <c r="I16" s="435"/>
      <c r="J16" s="435"/>
      <c r="K16" s="435"/>
      <c r="L16" s="435"/>
      <c r="M16" s="435"/>
    </row>
    <row r="17" spans="2:13" ht="50.25" customHeight="1" x14ac:dyDescent="0.15">
      <c r="B17" s="62"/>
      <c r="C17" s="219" t="s">
        <v>1011</v>
      </c>
      <c r="D17" s="219" t="s">
        <v>1012</v>
      </c>
      <c r="E17" s="219" t="s">
        <v>1013</v>
      </c>
      <c r="F17" s="219" t="s">
        <v>1034</v>
      </c>
      <c r="H17" s="299" t="str">
        <f>B6</f>
        <v>Hackney and City</v>
      </c>
      <c r="I17" s="219" t="s">
        <v>993</v>
      </c>
      <c r="J17" s="219" t="s">
        <v>992</v>
      </c>
      <c r="K17" s="219" t="s">
        <v>991</v>
      </c>
      <c r="L17" s="219" t="s">
        <v>1340</v>
      </c>
      <c r="M17" s="219" t="s">
        <v>994</v>
      </c>
    </row>
    <row r="18" spans="2:13" ht="15" x14ac:dyDescent="0.15">
      <c r="B18" s="299" t="str">
        <f>B6</f>
        <v>Hackney and City</v>
      </c>
      <c r="C18" s="235" t="e">
        <f>SUMIFS('caseload data'!V:V,'caseload data'!C:C, B6, 'caseload data'!D:D, "PO", 'caseload data'!B:B, "Community")/((SUMIFS('capacity data'!I:I,'capacity data'!B:B,B6,'capacity data'!E:E,"PO")-(SUMIFS('capacity data'!J:J,'capacity data'!B:B,B6,'capacity data'!E:E,"PO")))/37)</f>
        <v>#DIV/0!</v>
      </c>
      <c r="D18" s="236" t="e">
        <f>SUMIFS('caseload data'!V:V,'caseload data'!C:C, B6, 'caseload data'!D:D, "PSO", 'caseload data'!B:B, "Community")/((SUMIFS('capacity data'!I:I,'capacity data'!B:B,B6,'capacity data'!E:E,"PSO")-(SUMIFS('capacity data'!J:J,'capacity data'!B:B,B6,'capacity data'!E:E,"PSO")))/37)</f>
        <v>#DIV/0!</v>
      </c>
      <c r="E18" s="236" t="e">
        <f>SUMIFS('caseload data'!V:V,'caseload data'!C:C, B6, 'caseload data'!D:D, "TPO", 'caseload data'!B:B, "Community")/((SUMIFS('capacity data'!I:I,'capacity data'!B:B,B6,'capacity data'!E:E,"TPO")-(SUMIFS('capacity data'!J:J,'capacity data'!B:B,B6,'capacity data'!E:E,"TPO")))/37)</f>
        <v>#DIV/0!</v>
      </c>
      <c r="F18" s="236" t="e">
        <f>SUMIFS('caseload data'!V:V,'caseload data'!B:B, "Community", 'caseload data'!D:D, "&lt;&gt;DMY", 'caseload data'!C:C, B6) /((SUMIFS('capacity data'!I:I,'capacity data'!B:B,B6,'capacity data'!E:E,"&lt;&gt;DMY")-(SUMIFS('capacity data'!J:J,'capacity data'!B:B,B6,'capacity data'!E:E,"&lt;&gt;DMY")))/37)</f>
        <v>#DIV/0!</v>
      </c>
      <c r="H18" s="65" t="s">
        <v>1023</v>
      </c>
      <c r="I18" s="234">
        <f>SUM(T47:T50)</f>
        <v>0</v>
      </c>
      <c r="J18" s="234">
        <f>SUM(T55:T58)</f>
        <v>0</v>
      </c>
      <c r="K18" s="234">
        <f>SUM(T63:T66)</f>
        <v>0</v>
      </c>
      <c r="L18" s="234">
        <f>T43</f>
        <v>0</v>
      </c>
      <c r="M18" s="234">
        <f>SUM(I18:L18)</f>
        <v>0</v>
      </c>
    </row>
    <row r="19" spans="2:13" x14ac:dyDescent="0.15">
      <c r="B19" s="229" t="s">
        <v>1020</v>
      </c>
      <c r="C19" s="235" t="e">
        <f>SUMIFS('caseload data'!V:V, 'caseload data'!D:D, "PO", 'caseload data'!B:B, "Community")/((SUMIFS('capacity data'!I:I,'capacity data'!E:E,"PO")-(SUMIFS('capacity data'!J:J,'capacity data'!E:E,"PO")))/37)</f>
        <v>#DIV/0!</v>
      </c>
      <c r="D19" s="235" t="e">
        <f>SUMIFS('caseload data'!V:V, 'caseload data'!D:D, "PSO", 'caseload data'!B:B, "Community")/((SUMIFS('capacity data'!I:I,'capacity data'!E:E,"PSO")-(SUMIFS('capacity data'!J:J,'capacity data'!E:E,"PSO")))/37)</f>
        <v>#DIV/0!</v>
      </c>
      <c r="E19" s="235" t="e">
        <f>SUMIFS('caseload data'!V:V, 'caseload data'!D:D, "TPO", 'caseload data'!B:B, "Community")/((SUMIFS('capacity data'!I:I,'capacity data'!E:E,"TPO")-(SUMIFS('capacity data'!J:J,'capacity data'!E:E,"TPO")))/37)</f>
        <v>#DIV/0!</v>
      </c>
      <c r="F19" s="235" t="e">
        <f>SUMIFS('caseload data'!V:V, 'caseload data'!D:D, "&lt;&gt;DMY", 'caseload data'!B:B, "Community")/((SUMIFS('capacity data'!I:I,'capacity data'!E:E,"&lt;&gt;DMY")-(SUMIFS('capacity data'!J:J,'capacity data'!E:E,"&lt;&gt;DMY")))/37)</f>
        <v>#DIV/0!</v>
      </c>
    </row>
    <row r="20" spans="2:13" x14ac:dyDescent="0.15">
      <c r="B20" s="68" t="s">
        <v>1036</v>
      </c>
      <c r="C20" s="235" t="e">
        <f>C18-C19</f>
        <v>#DIV/0!</v>
      </c>
      <c r="D20" s="235" t="e">
        <f t="shared" ref="D20:F20" si="1">D18-D19</f>
        <v>#DIV/0!</v>
      </c>
      <c r="E20" s="235" t="e">
        <f t="shared" si="1"/>
        <v>#DIV/0!</v>
      </c>
      <c r="F20" s="235" t="e">
        <f t="shared" si="1"/>
        <v>#DIV/0!</v>
      </c>
    </row>
    <row r="21" spans="2:13" x14ac:dyDescent="0.15">
      <c r="C21" s="238"/>
      <c r="D21" s="238"/>
      <c r="E21" s="238"/>
      <c r="F21" s="238"/>
    </row>
    <row r="22" spans="2:13" ht="23" x14ac:dyDescent="0.15">
      <c r="B22" s="280" t="s">
        <v>1024</v>
      </c>
      <c r="C22" s="287"/>
      <c r="D22" s="287"/>
      <c r="E22" s="287"/>
      <c r="F22" s="286"/>
    </row>
    <row r="23" spans="2:13" ht="57.75" customHeight="1" x14ac:dyDescent="0.15">
      <c r="B23" s="62"/>
      <c r="C23" s="219" t="s">
        <v>1011</v>
      </c>
      <c r="D23" s="219" t="s">
        <v>1012</v>
      </c>
      <c r="E23" s="219" t="s">
        <v>1013</v>
      </c>
      <c r="F23" s="219" t="s">
        <v>1034</v>
      </c>
    </row>
    <row r="24" spans="2:13" ht="15" x14ac:dyDescent="0.15">
      <c r="B24" s="299" t="str">
        <f>B6</f>
        <v>Hackney and City</v>
      </c>
      <c r="C24" s="235" t="e">
        <f>SUMIFS('caseload data'!V:V,'caseload data'!C:C, B6, 'caseload data'!D:D, "PO", 'caseload data'!B:B, "Licence")/((SUMIFS('capacity data'!I:I,'capacity data'!B:B,B6,'capacity data'!E:E,"PO")-(SUMIFS('capacity data'!J:J,'capacity data'!B:B,B6,'capacity data'!E:E,"PO")))/37)</f>
        <v>#DIV/0!</v>
      </c>
      <c r="D24" s="236" t="e">
        <f>SUMIFS('caseload data'!V:V,'caseload data'!C:C, B6, 'caseload data'!D:D, "PSO", 'caseload data'!B:B, "Licence")/((SUMIFS('capacity data'!I:I,'capacity data'!B:B,B6,'capacity data'!E:E,"PSO")-(SUMIFS('capacity data'!J:J,'capacity data'!B:B,B6,'capacity data'!E:E,"PSO")))/37)</f>
        <v>#DIV/0!</v>
      </c>
      <c r="E24" s="236" t="e">
        <f>SUMIFS('caseload data'!V:V,'caseload data'!C:C, B6, 'caseload data'!D:D, "TPO", 'caseload data'!B:B, "Licence")/((SUMIFS('capacity data'!I:I,'capacity data'!B:B,B6,'capacity data'!E:E,"TPO")-(SUMIFS('capacity data'!J:J,'capacity data'!B:B,B6,'capacity data'!E:E,"TPO")))/37)</f>
        <v>#DIV/0!</v>
      </c>
      <c r="F24" s="236" t="e">
        <f>SUMIFS('caseload data'!V:V,'caseload data'!B:B, "Licence", 'caseload data'!D:D, "&lt;&gt;DMY", 'caseload data'!C:C, B6) /((SUMIFS('capacity data'!I:I,'capacity data'!B:B,B6,'capacity data'!E:E,"&lt;&gt;DMY")-(SUMIFS('capacity data'!J:J,'capacity data'!B:B,B6,'capacity data'!E:E,"&lt;&gt;DMY")))/37)</f>
        <v>#DIV/0!</v>
      </c>
    </row>
    <row r="25" spans="2:13" x14ac:dyDescent="0.15">
      <c r="B25" s="229" t="s">
        <v>1020</v>
      </c>
      <c r="C25" s="235" t="e">
        <f>SUMIFS('caseload data'!V:V, 'caseload data'!D:D, "PO", 'caseload data'!B:B, "Licence")/((SUMIFS('capacity data'!I:I,'capacity data'!E:E,"PO")-(SUMIFS('capacity data'!J:J,'capacity data'!E:E,"PO")))/37)</f>
        <v>#DIV/0!</v>
      </c>
      <c r="D25" s="235" t="e">
        <f>SUMIFS('caseload data'!V:V, 'caseload data'!D:D, "PSO", 'caseload data'!B:B, "Licence")/((SUMIFS('capacity data'!I:I,'capacity data'!E:E,"PSO")-(SUMIFS('capacity data'!J:J,'capacity data'!E:E,"PSO")))/37)</f>
        <v>#DIV/0!</v>
      </c>
      <c r="E25" s="235" t="e">
        <f>SUMIFS('caseload data'!V:V, 'caseload data'!D:D, "TPO", 'caseload data'!B:B, "Licence")/((SUMIFS('capacity data'!I:I,'capacity data'!E:E,"TPO")-(SUMIFS('capacity data'!J:J,'capacity data'!E:E,"TPO")))/37)</f>
        <v>#DIV/0!</v>
      </c>
      <c r="F25" s="235" t="e">
        <f>SUMIFS('caseload data'!V:V, 'caseload data'!D:D, "&lt;&gt;DMY", 'caseload data'!B:B, "Licence")/((SUMIFS('capacity data'!I:I,'capacity data'!E:E,"&lt;&gt;DMY")-(SUMIFS('capacity data'!J:J,'capacity data'!E:E,"&lt;&gt;DMY")))/37)</f>
        <v>#DIV/0!</v>
      </c>
    </row>
    <row r="26" spans="2:13" x14ac:dyDescent="0.15">
      <c r="B26" s="68" t="s">
        <v>1036</v>
      </c>
      <c r="C26" s="235" t="e">
        <f>C24-C25</f>
        <v>#DIV/0!</v>
      </c>
      <c r="D26" s="235" t="e">
        <f t="shared" ref="D26:F26" si="2">D24-D25</f>
        <v>#DIV/0!</v>
      </c>
      <c r="E26" s="235" t="e">
        <f t="shared" si="2"/>
        <v>#DIV/0!</v>
      </c>
      <c r="F26" s="235" t="e">
        <f t="shared" si="2"/>
        <v>#DIV/0!</v>
      </c>
    </row>
    <row r="28" spans="2:13" ht="23" x14ac:dyDescent="0.15">
      <c r="B28" s="280" t="s">
        <v>1038</v>
      </c>
      <c r="C28" s="287"/>
      <c r="D28" s="287"/>
      <c r="E28" s="287"/>
      <c r="F28" s="286"/>
    </row>
    <row r="29" spans="2:13" ht="54" customHeight="1" x14ac:dyDescent="0.15">
      <c r="B29" s="62"/>
      <c r="C29" s="219" t="s">
        <v>1011</v>
      </c>
      <c r="D29" s="219" t="s">
        <v>1012</v>
      </c>
      <c r="E29" s="219" t="s">
        <v>1013</v>
      </c>
      <c r="F29" s="219" t="s">
        <v>1034</v>
      </c>
    </row>
    <row r="30" spans="2:13" ht="15" x14ac:dyDescent="0.15">
      <c r="B30" s="299" t="str">
        <f>B6</f>
        <v>Hackney and City</v>
      </c>
      <c r="C30" s="235" t="e">
        <f>SUMIFS('caseload data'!V:V,'caseload data'!C:C, B6, 'caseload data'!D:D, "PO", 'caseload data'!B:B, "Custody")/((SUMIFS('capacity data'!I:I,'capacity data'!B:B,B6,'capacity data'!E:E,"PO")-(SUMIFS('capacity data'!J:J,'capacity data'!B:B,B6,'capacity data'!E:E,"PO")))/37)</f>
        <v>#DIV/0!</v>
      </c>
      <c r="D30" s="236" t="e">
        <f>SUMIFS('caseload data'!V:V,'caseload data'!C:C, B6, 'caseload data'!D:D, "PSO", 'caseload data'!B:B, "Custody")/((SUMIFS('capacity data'!I:I,'capacity data'!B:B,B6,'capacity data'!E:E,"PSO")-(SUMIFS('capacity data'!J:J,'capacity data'!B:B,B6,'capacity data'!E:E,"PSO")))/37)</f>
        <v>#DIV/0!</v>
      </c>
      <c r="E30" s="236" t="e">
        <f>SUMIFS('caseload data'!V:V,'caseload data'!C:C, B6, 'caseload data'!D:D, "TPO", 'caseload data'!B:B, "Custody")/((SUMIFS('capacity data'!I:I,'capacity data'!B:B,B6,'capacity data'!E:E,"TPO")-(SUMIFS('capacity data'!J:J,'capacity data'!B:B,B6,'capacity data'!E:E,"TPO")))/37)</f>
        <v>#DIV/0!</v>
      </c>
      <c r="F30" s="236" t="e">
        <f>SUMIFS('caseload data'!V:V,'caseload data'!B:B, "Custody", 'caseload data'!D:D, "&lt;&gt;DMY", 'caseload data'!C:C, B6) /((SUMIFS('capacity data'!I:I,'capacity data'!B:B,B6,'capacity data'!E:E,"&lt;&gt;DMY")-(SUMIFS('capacity data'!J:J,'capacity data'!B:B,B6,'capacity data'!E:E,"&lt;&gt;DMY")))/37)</f>
        <v>#DIV/0!</v>
      </c>
    </row>
    <row r="31" spans="2:13" x14ac:dyDescent="0.15">
      <c r="B31" s="229" t="s">
        <v>1020</v>
      </c>
      <c r="C31" s="235" t="e">
        <f>SUMIFS('caseload data'!V:V, 'caseload data'!D:D, "PO", 'caseload data'!B:B, "Custody")/((SUMIFS('capacity data'!I:I,'capacity data'!E:E,"PO")-(SUMIFS('capacity data'!J:J,'capacity data'!E:E,"PO")))/37)</f>
        <v>#DIV/0!</v>
      </c>
      <c r="D31" s="235" t="e">
        <f>SUMIFS('caseload data'!V:V, 'caseload data'!D:D, "PSO", 'caseload data'!B:B, "Custody")/((SUMIFS('capacity data'!I:I,'capacity data'!E:E,"PSO")-(SUMIFS('capacity data'!J:J,'capacity data'!E:E,"PSO")))/37)</f>
        <v>#DIV/0!</v>
      </c>
      <c r="E31" s="235" t="e">
        <f>SUMIFS('caseload data'!V:V, 'caseload data'!D:D, "TPO", 'caseload data'!B:B, "Custody")/((SUMIFS('capacity data'!I:I,'capacity data'!E:E,"TPO")-(SUMIFS('capacity data'!J:J,'capacity data'!E:E,"TPO")))/37)</f>
        <v>#DIV/0!</v>
      </c>
      <c r="F31" s="235" t="e">
        <f>SUMIFS('caseload data'!V:V, 'caseload data'!D:D, "&lt;&gt;DMY", 'caseload data'!B:B, "Custody")/((SUMIFS('capacity data'!I:I,'capacity data'!E:E,"&lt;&gt;DMY")-(SUMIFS('capacity data'!J:J,'capacity data'!E:E,"&lt;&gt;DMY")))/37)</f>
        <v>#DIV/0!</v>
      </c>
    </row>
    <row r="32" spans="2:13" x14ac:dyDescent="0.15">
      <c r="B32" s="68" t="s">
        <v>1036</v>
      </c>
      <c r="C32" s="235" t="e">
        <f>C30-C31</f>
        <v>#DIV/0!</v>
      </c>
      <c r="D32" s="235" t="e">
        <f t="shared" ref="D32:F32" si="3">D30-D31</f>
        <v>#DIV/0!</v>
      </c>
      <c r="E32" s="235" t="e">
        <f t="shared" si="3"/>
        <v>#DIV/0!</v>
      </c>
      <c r="F32" s="235" t="e">
        <f t="shared" si="3"/>
        <v>#DIV/0!</v>
      </c>
    </row>
    <row r="33" spans="2:21" x14ac:dyDescent="0.15">
      <c r="B33" s="238"/>
      <c r="C33" s="238"/>
      <c r="D33" s="238"/>
      <c r="E33" s="238"/>
      <c r="F33" s="238"/>
    </row>
    <row r="34" spans="2:21" x14ac:dyDescent="0.15">
      <c r="B34" s="238"/>
      <c r="C34" s="238"/>
      <c r="D34" s="238"/>
      <c r="E34" s="238"/>
      <c r="F34" s="238"/>
    </row>
    <row r="35" spans="2:21" ht="14.25" customHeight="1" x14ac:dyDescent="0.15"/>
    <row r="36" spans="2:21" ht="14.25" customHeight="1" x14ac:dyDescent="0.15"/>
    <row r="37" spans="2:21" ht="42" customHeight="1" x14ac:dyDescent="0.15">
      <c r="B37" s="301" t="str">
        <f>B6</f>
        <v>Hackney and City</v>
      </c>
      <c r="C37" s="438" t="s">
        <v>1007</v>
      </c>
      <c r="D37" s="438"/>
      <c r="E37" s="438"/>
      <c r="F37" s="438"/>
      <c r="G37" s="438"/>
      <c r="H37" s="438"/>
      <c r="I37" s="438"/>
      <c r="J37" s="438"/>
      <c r="K37" s="438"/>
      <c r="L37" s="438"/>
      <c r="M37" s="438"/>
      <c r="N37" s="438"/>
      <c r="O37" s="438"/>
      <c r="P37" s="438"/>
      <c r="Q37" s="438"/>
      <c r="R37" s="438"/>
      <c r="S37" s="438"/>
      <c r="T37" s="438"/>
    </row>
    <row r="38" spans="2:21" ht="19.5" customHeight="1" x14ac:dyDescent="0.15">
      <c r="B38" s="39" t="s">
        <v>1001</v>
      </c>
      <c r="C38" s="39" t="s">
        <v>864</v>
      </c>
      <c r="D38" s="39" t="s">
        <v>865</v>
      </c>
      <c r="E38" s="39" t="s">
        <v>866</v>
      </c>
      <c r="F38" s="39" t="s">
        <v>867</v>
      </c>
      <c r="G38" s="39" t="s">
        <v>868</v>
      </c>
      <c r="H38" s="39" t="s">
        <v>869</v>
      </c>
      <c r="I38" s="39" t="s">
        <v>870</v>
      </c>
      <c r="J38" s="39" t="s">
        <v>871</v>
      </c>
      <c r="K38" s="39" t="s">
        <v>872</v>
      </c>
      <c r="L38" s="39" t="s">
        <v>873</v>
      </c>
      <c r="M38" s="39" t="s">
        <v>874</v>
      </c>
      <c r="N38" s="39" t="s">
        <v>875</v>
      </c>
      <c r="O38" s="39" t="s">
        <v>876</v>
      </c>
      <c r="P38" s="39" t="s">
        <v>877</v>
      </c>
      <c r="Q38" s="39" t="s">
        <v>878</v>
      </c>
      <c r="R38" s="39" t="s">
        <v>879</v>
      </c>
      <c r="S38" s="39" t="s">
        <v>1026</v>
      </c>
      <c r="T38" s="39" t="s">
        <v>959</v>
      </c>
    </row>
    <row r="39" spans="2:21" ht="14.25" customHeight="1" x14ac:dyDescent="0.15">
      <c r="B39" s="75" t="s">
        <v>997</v>
      </c>
      <c r="C39" s="234">
        <f>SUMIFS('caseload data'!E:E,'caseload data'!$D:$D,"PO",'caseload data'!$C:$C,$B$6)</f>
        <v>0</v>
      </c>
      <c r="D39" s="234">
        <f>SUMIFS('caseload data'!F:F,'caseload data'!$D:$D,"PO",'caseload data'!$C:$C,$B$6)</f>
        <v>0</v>
      </c>
      <c r="E39" s="234">
        <f>SUMIFS('caseload data'!G:G,'caseload data'!$D:$D,"PO",'caseload data'!$C:$C,$B$6)</f>
        <v>0</v>
      </c>
      <c r="F39" s="234">
        <f>SUMIFS('caseload data'!H:H,'caseload data'!$D:$D,"PO",'caseload data'!$C:$C,$B$6)</f>
        <v>0</v>
      </c>
      <c r="G39" s="234">
        <f>SUMIFS('caseload data'!I:I,'caseload data'!$D:$D,"PO",'caseload data'!$C:$C,$B$6)</f>
        <v>0</v>
      </c>
      <c r="H39" s="234">
        <f>SUMIFS('caseload data'!J:J,'caseload data'!$D:$D,"PO",'caseload data'!$C:$C,$B$6)</f>
        <v>0</v>
      </c>
      <c r="I39" s="234">
        <f>SUMIFS('caseload data'!K:K,'caseload data'!$D:$D,"PO",'caseload data'!$C:$C,$B$6)</f>
        <v>0</v>
      </c>
      <c r="J39" s="234">
        <f>SUMIFS('caseload data'!L:L,'caseload data'!$D:$D,"PO",'caseload data'!$C:$C,$B$6)</f>
        <v>0</v>
      </c>
      <c r="K39" s="234">
        <f>SUMIFS('caseload data'!M:M,'caseload data'!$D:$D,"PO",'caseload data'!$C:$C,$B$6)</f>
        <v>0</v>
      </c>
      <c r="L39" s="234">
        <f>SUMIFS('caseload data'!N:N,'caseload data'!$D:$D,"PO",'caseload data'!$C:$C,$B$6)</f>
        <v>0</v>
      </c>
      <c r="M39" s="234">
        <f>SUMIFS('caseload data'!O:O,'caseload data'!$D:$D,"PO",'caseload data'!$C:$C,$B$6)</f>
        <v>0</v>
      </c>
      <c r="N39" s="234">
        <f>SUMIFS('caseload data'!P:P,'caseload data'!$D:$D,"PO",'caseload data'!$C:$C,$B$6)</f>
        <v>0</v>
      </c>
      <c r="O39" s="234">
        <f>SUMIFS('caseload data'!Q:Q,'caseload data'!$D:$D,"PO",'caseload data'!$C:$C,$B$6)</f>
        <v>0</v>
      </c>
      <c r="P39" s="234">
        <f>SUMIFS('caseload data'!R:R,'caseload data'!$D:$D,"PO",'caseload data'!$C:$C,$B$6)</f>
        <v>0</v>
      </c>
      <c r="Q39" s="234">
        <f>SUMIFS('caseload data'!S:S,'caseload data'!$D:$D,"PO",'caseload data'!$C:$C,$B$6)</f>
        <v>0</v>
      </c>
      <c r="R39" s="234">
        <f>SUMIFS('caseload data'!T:T,'caseload data'!$D:$D,"PO",'caseload data'!$C:$C,$B$6)</f>
        <v>0</v>
      </c>
      <c r="S39" s="234">
        <f>SUMIFS('caseload data'!U:U,'caseload data'!$D:$D,"PO",'caseload data'!$C:$C,$B$6)</f>
        <v>0</v>
      </c>
      <c r="T39" s="234">
        <f>SUM(C39:S39)</f>
        <v>0</v>
      </c>
    </row>
    <row r="40" spans="2:21" x14ac:dyDescent="0.15">
      <c r="B40" s="75" t="s">
        <v>1002</v>
      </c>
      <c r="C40" s="234">
        <f>SUMIFS('caseload data'!E:E,'caseload data'!$D:$D,"PSO",'caseload data'!$C:$C,$B$6)</f>
        <v>0</v>
      </c>
      <c r="D40" s="234">
        <f>SUMIFS('caseload data'!F:F,'caseload data'!$D:$D,"PSO",'caseload data'!$C:$C,$B$6)</f>
        <v>0</v>
      </c>
      <c r="E40" s="234">
        <f>SUMIFS('caseload data'!G:G,'caseload data'!$D:$D,"PSO",'caseload data'!$C:$C,$B$6)</f>
        <v>0</v>
      </c>
      <c r="F40" s="234">
        <f>SUMIFS('caseload data'!H:H,'caseload data'!$D:$D,"PSO",'caseload data'!$C:$C,$B$6)</f>
        <v>0</v>
      </c>
      <c r="G40" s="234">
        <f>SUMIFS('caseload data'!I:I,'caseload data'!$D:$D,"PSO",'caseload data'!$C:$C,$B$6)</f>
        <v>0</v>
      </c>
      <c r="H40" s="234">
        <f>SUMIFS('caseload data'!J:J,'caseload data'!$D:$D,"PSO",'caseload data'!$C:$C,$B$6)</f>
        <v>0</v>
      </c>
      <c r="I40" s="234">
        <f>SUMIFS('caseload data'!K:K,'caseload data'!$D:$D,"PSO",'caseload data'!$C:$C,$B$6)</f>
        <v>0</v>
      </c>
      <c r="J40" s="234">
        <f>SUMIFS('caseload data'!L:L,'caseload data'!$D:$D,"PSO",'caseload data'!$C:$C,$B$6)</f>
        <v>0</v>
      </c>
      <c r="K40" s="234">
        <f>SUMIFS('caseload data'!M:M,'caseload data'!$D:$D,"PSO",'caseload data'!$C:$C,$B$6)</f>
        <v>0</v>
      </c>
      <c r="L40" s="234">
        <f>SUMIFS('caseload data'!N:N,'caseload data'!$D:$D,"PSO",'caseload data'!$C:$C,$B$6)</f>
        <v>0</v>
      </c>
      <c r="M40" s="234">
        <f>SUMIFS('caseload data'!O:O,'caseload data'!$D:$D,"PSO",'caseload data'!$C:$C,$B$6)</f>
        <v>0</v>
      </c>
      <c r="N40" s="234">
        <f>SUMIFS('caseload data'!P:P,'caseload data'!$D:$D,"PSO",'caseload data'!$C:$C,$B$6)</f>
        <v>0</v>
      </c>
      <c r="O40" s="234">
        <f>SUMIFS('caseload data'!Q:Q,'caseload data'!$D:$D,"PSO",'caseload data'!$C:$C,$B$6)</f>
        <v>0</v>
      </c>
      <c r="P40" s="234">
        <f>SUMIFS('caseload data'!R:R,'caseload data'!$D:$D,"PSO",'caseload data'!$C:$C,$B$6)</f>
        <v>0</v>
      </c>
      <c r="Q40" s="234">
        <f>SUMIFS('caseload data'!S:S,'caseload data'!$D:$D,"PSO",'caseload data'!$C:$C,$B$6)</f>
        <v>0</v>
      </c>
      <c r="R40" s="234">
        <f>SUMIFS('caseload data'!T:T,'caseload data'!$D:$D,"PSO",'caseload data'!$C:$C,$B$6)</f>
        <v>0</v>
      </c>
      <c r="S40" s="234">
        <f>SUMIFS('caseload data'!U:U,'caseload data'!$D:$D,"PSO",'caseload data'!$C:$C,$B$6)</f>
        <v>0</v>
      </c>
      <c r="T40" s="234">
        <f t="shared" ref="T40:T66" si="4">SUM(C40:S40)</f>
        <v>0</v>
      </c>
    </row>
    <row r="41" spans="2:21" ht="14.25" customHeight="1" x14ac:dyDescent="0.15">
      <c r="B41" s="75" t="s">
        <v>1003</v>
      </c>
      <c r="C41" s="234">
        <f>SUMIFS('caseload data'!E:E,'caseload data'!$D:$D,"TPO",'caseload data'!$C:$C,$B$6)</f>
        <v>0</v>
      </c>
      <c r="D41" s="234">
        <f>SUMIFS('caseload data'!F:F,'caseload data'!$D:$D,"TPO",'caseload data'!$C:$C,$B$6)</f>
        <v>0</v>
      </c>
      <c r="E41" s="234">
        <f>SUMIFS('caseload data'!G:G,'caseload data'!$D:$D,"TPO",'caseload data'!$C:$C,$B$6)</f>
        <v>0</v>
      </c>
      <c r="F41" s="234">
        <f>SUMIFS('caseload data'!H:H,'caseload data'!$D:$D,"TPO",'caseload data'!$C:$C,$B$6)</f>
        <v>0</v>
      </c>
      <c r="G41" s="234">
        <f>SUMIFS('caseload data'!I:I,'caseload data'!$D:$D,"TPO",'caseload data'!$C:$C,$B$6)</f>
        <v>0</v>
      </c>
      <c r="H41" s="234">
        <f>SUMIFS('caseload data'!J:J,'caseload data'!$D:$D,"TPO",'caseload data'!$C:$C,$B$6)</f>
        <v>0</v>
      </c>
      <c r="I41" s="234">
        <f>SUMIFS('caseload data'!K:K,'caseload data'!$D:$D,"TPO",'caseload data'!$C:$C,$B$6)</f>
        <v>0</v>
      </c>
      <c r="J41" s="234">
        <f>SUMIFS('caseload data'!L:L,'caseload data'!$D:$D,"TPO",'caseload data'!$C:$C,$B$6)</f>
        <v>0</v>
      </c>
      <c r="K41" s="234">
        <f>SUMIFS('caseload data'!M:M,'caseload data'!$D:$D,"TPO",'caseload data'!$C:$C,$B$6)</f>
        <v>0</v>
      </c>
      <c r="L41" s="234">
        <f>SUMIFS('caseload data'!N:N,'caseload data'!$D:$D,"TPO",'caseload data'!$C:$C,$B$6)</f>
        <v>0</v>
      </c>
      <c r="M41" s="234">
        <f>SUMIFS('caseload data'!O:O,'caseload data'!$D:$D,"TPO",'caseload data'!$C:$C,$B$6)</f>
        <v>0</v>
      </c>
      <c r="N41" s="234">
        <f>SUMIFS('caseload data'!P:P,'caseload data'!$D:$D,"TPO",'caseload data'!$C:$C,$B$6)</f>
        <v>0</v>
      </c>
      <c r="O41" s="234">
        <f>SUMIFS('caseload data'!Q:Q,'caseload data'!$D:$D,"TPO",'caseload data'!$C:$C,$B$6)</f>
        <v>0</v>
      </c>
      <c r="P41" s="234">
        <f>SUMIFS('caseload data'!R:R,'caseload data'!$D:$D,"TPO",'caseload data'!$C:$C,$B$6)</f>
        <v>0</v>
      </c>
      <c r="Q41" s="234">
        <f>SUMIFS('caseload data'!S:S,'caseload data'!$D:$D,"TPO",'caseload data'!$C:$C,$B$6)</f>
        <v>0</v>
      </c>
      <c r="R41" s="234">
        <f>SUMIFS('caseload data'!T:T,'caseload data'!$D:$D,"TPO",'caseload data'!$C:$C,$B$6)</f>
        <v>0</v>
      </c>
      <c r="S41" s="234">
        <f>SUMIFS('caseload data'!U:U,'caseload data'!$D:$D,"TPO",'caseload data'!$C:$C,$B$6)</f>
        <v>0</v>
      </c>
      <c r="T41" s="234">
        <f t="shared" si="4"/>
        <v>0</v>
      </c>
    </row>
    <row r="42" spans="2:21" ht="14.25" customHeight="1" x14ac:dyDescent="0.15">
      <c r="B42" s="75" t="s">
        <v>1004</v>
      </c>
      <c r="C42" s="234">
        <f>SUMIFS('caseload data'!E:E,'caseload data'!$D:$D,"SPO",'caseload data'!$C:$C,$B$6)</f>
        <v>0</v>
      </c>
      <c r="D42" s="234">
        <f>SUMIFS('caseload data'!F:F,'caseload data'!$D:$D,"SPO",'caseload data'!$C:$C,$B$6)</f>
        <v>0</v>
      </c>
      <c r="E42" s="234">
        <f>SUMIFS('caseload data'!G:G,'caseload data'!$D:$D,"SPO",'caseload data'!$C:$C,$B$6)</f>
        <v>0</v>
      </c>
      <c r="F42" s="234">
        <f>SUMIFS('caseload data'!H:H,'caseload data'!$D:$D,"SPO",'caseload data'!$C:$C,$B$6)</f>
        <v>0</v>
      </c>
      <c r="G42" s="234">
        <f>SUMIFS('caseload data'!I:I,'caseload data'!$D:$D,"SPO",'caseload data'!$C:$C,$B$6)</f>
        <v>0</v>
      </c>
      <c r="H42" s="234">
        <f>SUMIFS('caseload data'!J:J,'caseload data'!$D:$D,"SPO",'caseload data'!$C:$C,$B$6)</f>
        <v>0</v>
      </c>
      <c r="I42" s="234">
        <f>SUMIFS('caseload data'!K:K,'caseload data'!$D:$D,"SPO",'caseload data'!$C:$C,$B$6)</f>
        <v>0</v>
      </c>
      <c r="J42" s="234">
        <f>SUMIFS('caseload data'!L:L,'caseload data'!$D:$D,"SPO",'caseload data'!$C:$C,$B$6)</f>
        <v>0</v>
      </c>
      <c r="K42" s="234">
        <f>SUMIFS('caseload data'!M:M,'caseload data'!$D:$D,"SPO",'caseload data'!$C:$C,$B$6)</f>
        <v>0</v>
      </c>
      <c r="L42" s="234">
        <f>SUMIFS('caseload data'!N:N,'caseload data'!$D:$D,"SPO",'caseload data'!$C:$C,$B$6)</f>
        <v>0</v>
      </c>
      <c r="M42" s="234">
        <f>SUMIFS('caseload data'!O:O,'caseload data'!$D:$D,"SPO",'caseload data'!$C:$C,$B$6)</f>
        <v>0</v>
      </c>
      <c r="N42" s="234">
        <f>SUMIFS('caseload data'!P:P,'caseload data'!$D:$D,"SPO",'caseload data'!$C:$C,$B$6)</f>
        <v>0</v>
      </c>
      <c r="O42" s="234">
        <f>SUMIFS('caseload data'!Q:Q,'caseload data'!$D:$D,"SPO",'caseload data'!$C:$C,$B$6)</f>
        <v>0</v>
      </c>
      <c r="P42" s="234">
        <f>SUMIFS('caseload data'!R:R,'caseload data'!$D:$D,"SPO",'caseload data'!$C:$C,$B$6)</f>
        <v>0</v>
      </c>
      <c r="Q42" s="234">
        <f>SUMIFS('caseload data'!S:S,'caseload data'!$D:$D,"SPO",'caseload data'!$C:$C,$B$6)</f>
        <v>0</v>
      </c>
      <c r="R42" s="234">
        <f>SUMIFS('caseload data'!T:T,'caseload data'!$D:$D,"SPO",'caseload data'!$C:$C,$B$6)</f>
        <v>0</v>
      </c>
      <c r="S42" s="234">
        <f>SUMIFS('caseload data'!U:U,'caseload data'!$D:$D,"SPO",'caseload data'!$C:$C,$B$6)</f>
        <v>0</v>
      </c>
      <c r="T42" s="234">
        <f t="shared" si="4"/>
        <v>0</v>
      </c>
      <c r="U42" s="239"/>
    </row>
    <row r="43" spans="2:21" ht="14.25" customHeight="1" x14ac:dyDescent="0.15">
      <c r="B43" s="75" t="s">
        <v>1339</v>
      </c>
      <c r="C43" s="234">
        <f>SUMIFS('caseload data'!E:E,'caseload data'!$D:$D,"DMY",'caseload data'!$C:$C,$B$6)</f>
        <v>0</v>
      </c>
      <c r="D43" s="234">
        <f>SUMIFS('caseload data'!F:F,'caseload data'!$D:$D,"DMY",'caseload data'!$C:$C,$B$6)</f>
        <v>0</v>
      </c>
      <c r="E43" s="234">
        <f>SUMIFS('caseload data'!G:G,'caseload data'!$D:$D,"DMY",'caseload data'!$C:$C,$B$6)</f>
        <v>0</v>
      </c>
      <c r="F43" s="234">
        <f>SUMIFS('caseload data'!H:H,'caseload data'!$D:$D,"DMY",'caseload data'!$C:$C,$B$6)</f>
        <v>0</v>
      </c>
      <c r="G43" s="234">
        <f>SUMIFS('caseload data'!I:I,'caseload data'!$D:$D,"DMY",'caseload data'!$C:$C,$B$6)</f>
        <v>0</v>
      </c>
      <c r="H43" s="234">
        <f>SUMIFS('caseload data'!J:J,'caseload data'!$D:$D,"DMY",'caseload data'!$C:$C,$B$6)</f>
        <v>0</v>
      </c>
      <c r="I43" s="234">
        <f>SUMIFS('caseload data'!K:K,'caseload data'!$D:$D,"DMY",'caseload data'!$C:$C,$B$6)</f>
        <v>0</v>
      </c>
      <c r="J43" s="234">
        <f>SUMIFS('caseload data'!L:L,'caseload data'!$D:$D,"DMY",'caseload data'!$C:$C,$B$6)</f>
        <v>0</v>
      </c>
      <c r="K43" s="234">
        <f>SUMIFS('caseload data'!M:M,'caseload data'!$D:$D,"DMY",'caseload data'!$C:$C,$B$6)</f>
        <v>0</v>
      </c>
      <c r="L43" s="234">
        <f>SUMIFS('caseload data'!N:N,'caseload data'!$D:$D,"DMY",'caseload data'!$C:$C,$B$6)</f>
        <v>0</v>
      </c>
      <c r="M43" s="234">
        <f>SUMIFS('caseload data'!O:O,'caseload data'!$D:$D,"DMY",'caseload data'!$C:$C,$B$6)</f>
        <v>0</v>
      </c>
      <c r="N43" s="234">
        <f>SUMIFS('caseload data'!P:P,'caseload data'!$D:$D,"DMY",'caseload data'!$C:$C,$B$6)</f>
        <v>0</v>
      </c>
      <c r="O43" s="234">
        <f>SUMIFS('caseload data'!Q:Q,'caseload data'!$D:$D,"DMY",'caseload data'!$C:$C,$B$6)</f>
        <v>0</v>
      </c>
      <c r="P43" s="234">
        <f>SUMIFS('caseload data'!R:R,'caseload data'!$D:$D,"DMY",'caseload data'!$C:$C,$B$6)</f>
        <v>0</v>
      </c>
      <c r="Q43" s="234">
        <f>SUMIFS('caseload data'!S:S,'caseload data'!$D:$D,"DMY",'caseload data'!$C:$C,$B$6)</f>
        <v>0</v>
      </c>
      <c r="R43" s="234">
        <f>SUMIFS('caseload data'!T:T,'caseload data'!$D:$D,"DMY",'caseload data'!$C:$C,$B$6)</f>
        <v>0</v>
      </c>
      <c r="S43" s="234">
        <f>SUMIFS('caseload data'!U:U,'caseload data'!$D:$D,"DMY",'caseload data'!$C:$C,$B$6)</f>
        <v>0</v>
      </c>
      <c r="T43" s="234">
        <f t="shared" ref="T43" si="5">SUM(C43:S43)</f>
        <v>0</v>
      </c>
      <c r="U43" s="239"/>
    </row>
    <row r="44" spans="2:21" ht="14.25" customHeight="1" x14ac:dyDescent="0.15">
      <c r="B44" s="171"/>
      <c r="C44" s="171"/>
      <c r="D44" s="171"/>
      <c r="E44" s="171"/>
      <c r="F44" s="171"/>
      <c r="G44" s="171"/>
      <c r="H44" s="171"/>
      <c r="I44" s="171"/>
      <c r="J44" s="171"/>
      <c r="K44" s="171"/>
      <c r="L44" s="171"/>
      <c r="M44" s="171"/>
      <c r="N44" s="171"/>
      <c r="O44" s="171"/>
      <c r="P44" s="171"/>
      <c r="Q44" s="171"/>
      <c r="R44" s="171"/>
    </row>
    <row r="45" spans="2:21" ht="36.75" customHeight="1" x14ac:dyDescent="0.15">
      <c r="B45" s="301" t="str">
        <f>$B$6</f>
        <v>Hackney and City</v>
      </c>
      <c r="C45" s="437" t="s">
        <v>1027</v>
      </c>
      <c r="D45" s="433"/>
      <c r="E45" s="433"/>
      <c r="F45" s="433"/>
      <c r="G45" s="433"/>
      <c r="H45" s="433"/>
      <c r="I45" s="433"/>
      <c r="J45" s="433"/>
      <c r="K45" s="433"/>
      <c r="L45" s="433"/>
      <c r="M45" s="433"/>
      <c r="N45" s="433"/>
      <c r="O45" s="433"/>
      <c r="P45" s="433"/>
      <c r="Q45" s="433"/>
      <c r="R45" s="433"/>
      <c r="S45" s="433"/>
      <c r="T45" s="433"/>
    </row>
    <row r="46" spans="2:21" ht="18" customHeight="1" x14ac:dyDescent="0.15">
      <c r="B46" s="95" t="s">
        <v>1001</v>
      </c>
      <c r="C46" s="38" t="s">
        <v>864</v>
      </c>
      <c r="D46" s="38" t="s">
        <v>865</v>
      </c>
      <c r="E46" s="38" t="s">
        <v>866</v>
      </c>
      <c r="F46" s="38" t="s">
        <v>867</v>
      </c>
      <c r="G46" s="38" t="s">
        <v>868</v>
      </c>
      <c r="H46" s="38" t="s">
        <v>869</v>
      </c>
      <c r="I46" s="38" t="s">
        <v>870</v>
      </c>
      <c r="J46" s="38" t="s">
        <v>871</v>
      </c>
      <c r="K46" s="38" t="s">
        <v>872</v>
      </c>
      <c r="L46" s="38" t="s">
        <v>873</v>
      </c>
      <c r="M46" s="38" t="s">
        <v>874</v>
      </c>
      <c r="N46" s="38" t="s">
        <v>875</v>
      </c>
      <c r="O46" s="38" t="s">
        <v>876</v>
      </c>
      <c r="P46" s="38" t="s">
        <v>877</v>
      </c>
      <c r="Q46" s="38" t="s">
        <v>878</v>
      </c>
      <c r="R46" s="38" t="s">
        <v>879</v>
      </c>
      <c r="S46" s="38" t="s">
        <v>1026</v>
      </c>
      <c r="T46" s="38" t="s">
        <v>959</v>
      </c>
    </row>
    <row r="47" spans="2:21" ht="14.25" customHeight="1" x14ac:dyDescent="0.15">
      <c r="B47" s="75" t="s">
        <v>997</v>
      </c>
      <c r="C47" s="234">
        <f>SUMIFS('caseload data'!E:E,'caseload data'!$D:$D,"PO",'caseload data'!$C:$C,$B$6, 'caseload data'!$B:$B, "community")</f>
        <v>0</v>
      </c>
      <c r="D47" s="234">
        <f>SUMIFS('caseload data'!F:F,'caseload data'!$D:$D,"PO",'caseload data'!$C:$C,$B$6, 'caseload data'!$B:$B, "community")</f>
        <v>0</v>
      </c>
      <c r="E47" s="234">
        <f>SUMIFS('caseload data'!G:G,'caseload data'!$D:$D,"PO",'caseload data'!$C:$C,$B$6, 'caseload data'!$B:$B, "community")</f>
        <v>0</v>
      </c>
      <c r="F47" s="234">
        <f>SUMIFS('caseload data'!H:H,'caseload data'!$D:$D,"PO",'caseload data'!$C:$C,$B$6, 'caseload data'!$B:$B, "community")</f>
        <v>0</v>
      </c>
      <c r="G47" s="234">
        <f>SUMIFS('caseload data'!I:I,'caseload data'!$D:$D,"PO",'caseload data'!$C:$C,$B$6, 'caseload data'!$B:$B, "community")</f>
        <v>0</v>
      </c>
      <c r="H47" s="234">
        <f>SUMIFS('caseload data'!J:J,'caseload data'!$D:$D,"PO",'caseload data'!$C:$C,$B$6, 'caseload data'!$B:$B, "community")</f>
        <v>0</v>
      </c>
      <c r="I47" s="234">
        <f>SUMIFS('caseload data'!K:K,'caseload data'!$D:$D,"PO",'caseload data'!$C:$C,$B$6, 'caseload data'!$B:$B, "community")</f>
        <v>0</v>
      </c>
      <c r="J47" s="234">
        <f>SUMIFS('caseload data'!L:L,'caseload data'!$D:$D,"PO",'caseload data'!$C:$C,$B$6, 'caseload data'!$B:$B, "community")</f>
        <v>0</v>
      </c>
      <c r="K47" s="234">
        <f>SUMIFS('caseload data'!M:M,'caseload data'!$D:$D,"PO",'caseload data'!$C:$C,$B$6, 'caseload data'!$B:$B, "community")</f>
        <v>0</v>
      </c>
      <c r="L47" s="234">
        <f>SUMIFS('caseload data'!N:N,'caseload data'!$D:$D,"PO",'caseload data'!$C:$C,$B$6, 'caseload data'!$B:$B, "community")</f>
        <v>0</v>
      </c>
      <c r="M47" s="234">
        <f>SUMIFS('caseload data'!O:O,'caseload data'!$D:$D,"PO",'caseload data'!$C:$C,$B$6, 'caseload data'!$B:$B, "community")</f>
        <v>0</v>
      </c>
      <c r="N47" s="234">
        <f>SUMIFS('caseload data'!P:P,'caseload data'!$D:$D,"PO",'caseload data'!$C:$C,$B$6, 'caseload data'!$B:$B, "community")</f>
        <v>0</v>
      </c>
      <c r="O47" s="234">
        <f>SUMIFS('caseload data'!Q:Q,'caseload data'!$D:$D,"PO",'caseload data'!$C:$C,$B$6, 'caseload data'!$B:$B, "community")</f>
        <v>0</v>
      </c>
      <c r="P47" s="234">
        <f>SUMIFS('caseload data'!R:R,'caseload data'!$D:$D,"PO",'caseload data'!$C:$C,$B$6, 'caseload data'!$B:$B, "community")</f>
        <v>0</v>
      </c>
      <c r="Q47" s="234">
        <f>SUMIFS('caseload data'!S:S,'caseload data'!$D:$D,"PO",'caseload data'!$C:$C,$B$6, 'caseload data'!$B:$B, "community")</f>
        <v>0</v>
      </c>
      <c r="R47" s="234">
        <f>SUMIFS('caseload data'!T:T,'caseload data'!$D:$D,"PO",'caseload data'!$C:$C,$B$6, 'caseload data'!$B:$B, "community")</f>
        <v>0</v>
      </c>
      <c r="S47" s="234">
        <f>SUMIFS('caseload data'!U:U,'caseload data'!$D:$D,"PO",'caseload data'!$C:$C,$B$6, 'caseload data'!$B:$B, "community")</f>
        <v>0</v>
      </c>
      <c r="T47" s="234">
        <f t="shared" si="4"/>
        <v>0</v>
      </c>
    </row>
    <row r="48" spans="2:21" ht="14.25" customHeight="1" x14ac:dyDescent="0.15">
      <c r="B48" s="75" t="s">
        <v>1002</v>
      </c>
      <c r="C48" s="234">
        <f>SUMIFS('caseload data'!E:E,'caseload data'!$D:$D,"PSO",'caseload data'!$C:$C,$B$6, 'caseload data'!$B:$B, "community")</f>
        <v>0</v>
      </c>
      <c r="D48" s="234">
        <f>SUMIFS('caseload data'!F:F,'caseload data'!$D:$D,"PSO",'caseload data'!$C:$C,$B$6, 'caseload data'!$B:$B, "community")</f>
        <v>0</v>
      </c>
      <c r="E48" s="234">
        <f>SUMIFS('caseload data'!G:G,'caseload data'!$D:$D,"PSO",'caseload data'!$C:$C,$B$6, 'caseload data'!$B:$B, "community")</f>
        <v>0</v>
      </c>
      <c r="F48" s="234">
        <f>SUMIFS('caseload data'!H:H,'caseload data'!$D:$D,"PSO",'caseload data'!$C:$C,$B$6, 'caseload data'!$B:$B, "community")</f>
        <v>0</v>
      </c>
      <c r="G48" s="234">
        <f>SUMIFS('caseload data'!I:I,'caseload data'!$D:$D,"PSO",'caseload data'!$C:$C,$B$6, 'caseload data'!$B:$B, "community")</f>
        <v>0</v>
      </c>
      <c r="H48" s="234">
        <f>SUMIFS('caseload data'!J:J,'caseload data'!$D:$D,"PSO",'caseload data'!$C:$C,$B$6, 'caseload data'!$B:$B, "community")</f>
        <v>0</v>
      </c>
      <c r="I48" s="234">
        <f>SUMIFS('caseload data'!K:K,'caseload data'!$D:$D,"PSO",'caseload data'!$C:$C,$B$6, 'caseload data'!$B:$B, "community")</f>
        <v>0</v>
      </c>
      <c r="J48" s="234">
        <f>SUMIFS('caseload data'!L:L,'caseload data'!$D:$D,"PSO",'caseload data'!$C:$C,$B$6, 'caseload data'!$B:$B, "community")</f>
        <v>0</v>
      </c>
      <c r="K48" s="234">
        <f>SUMIFS('caseload data'!M:M,'caseload data'!$D:$D,"PSO",'caseload data'!$C:$C,$B$6, 'caseload data'!$B:$B, "community")</f>
        <v>0</v>
      </c>
      <c r="L48" s="234">
        <f>SUMIFS('caseload data'!N:N,'caseload data'!$D:$D,"PSO",'caseload data'!$C:$C,$B$6, 'caseload data'!$B:$B, "community")</f>
        <v>0</v>
      </c>
      <c r="M48" s="234">
        <f>SUMIFS('caseload data'!O:O,'caseload data'!$D:$D,"PSO",'caseload data'!$C:$C,$B$6, 'caseload data'!$B:$B, "community")</f>
        <v>0</v>
      </c>
      <c r="N48" s="234">
        <f>SUMIFS('caseload data'!P:P,'caseload data'!$D:$D,"PSO",'caseload data'!$C:$C,$B$6, 'caseload data'!$B:$B, "community")</f>
        <v>0</v>
      </c>
      <c r="O48" s="234">
        <f>SUMIFS('caseload data'!Q:Q,'caseload data'!$D:$D,"PSO",'caseload data'!$C:$C,$B$6, 'caseload data'!$B:$B, "community")</f>
        <v>0</v>
      </c>
      <c r="P48" s="234">
        <f>SUMIFS('caseload data'!R:R,'caseload data'!$D:$D,"PSO",'caseload data'!$C:$C,$B$6, 'caseload data'!$B:$B, "community")</f>
        <v>0</v>
      </c>
      <c r="Q48" s="234">
        <f>SUMIFS('caseload data'!S:S,'caseload data'!$D:$D,"PSO",'caseload data'!$C:$C,$B$6, 'caseload data'!$B:$B, "community")</f>
        <v>0</v>
      </c>
      <c r="R48" s="234">
        <f>SUMIFS('caseload data'!T:T,'caseload data'!$D:$D,"PSO",'caseload data'!$C:$C,$B$6, 'caseload data'!$B:$B, "community")</f>
        <v>0</v>
      </c>
      <c r="S48" s="234">
        <f>SUMIFS('caseload data'!U:U,'caseload data'!$D:$D,"PSO",'caseload data'!$C:$C,$B$6, 'caseload data'!$B:$B, "community")</f>
        <v>0</v>
      </c>
      <c r="T48" s="234">
        <f t="shared" si="4"/>
        <v>0</v>
      </c>
    </row>
    <row r="49" spans="2:21" ht="14.25" customHeight="1" x14ac:dyDescent="0.15">
      <c r="B49" s="75" t="s">
        <v>1003</v>
      </c>
      <c r="C49" s="234">
        <f>SUMIFS('caseload data'!E:E,'caseload data'!$D:$D,"TPO",'caseload data'!$C:$C,$B$6, 'caseload data'!$B:$B, "community")</f>
        <v>0</v>
      </c>
      <c r="D49" s="234">
        <f>SUMIFS('caseload data'!F:F,'caseload data'!$D:$D,"TPO",'caseload data'!$C:$C,$B$6, 'caseload data'!$B:$B, "community")</f>
        <v>0</v>
      </c>
      <c r="E49" s="234">
        <f>SUMIFS('caseload data'!G:G,'caseload data'!$D:$D,"TPO",'caseload data'!$C:$C,$B$6, 'caseload data'!$B:$B, "community")</f>
        <v>0</v>
      </c>
      <c r="F49" s="234">
        <f>SUMIFS('caseload data'!H:H,'caseload data'!$D:$D,"TPO",'caseload data'!$C:$C,$B$6, 'caseload data'!$B:$B, "community")</f>
        <v>0</v>
      </c>
      <c r="G49" s="234">
        <f>SUMIFS('caseload data'!I:I,'caseload data'!$D:$D,"TPO",'caseload data'!$C:$C,$B$6, 'caseload data'!$B:$B, "community")</f>
        <v>0</v>
      </c>
      <c r="H49" s="234">
        <f>SUMIFS('caseload data'!J:J,'caseload data'!$D:$D,"TPO",'caseload data'!$C:$C,$B$6, 'caseload data'!$B:$B, "community")</f>
        <v>0</v>
      </c>
      <c r="I49" s="234">
        <f>SUMIFS('caseload data'!K:K,'caseload data'!$D:$D,"TPO",'caseload data'!$C:$C,$B$6, 'caseload data'!$B:$B, "community")</f>
        <v>0</v>
      </c>
      <c r="J49" s="234">
        <f>SUMIFS('caseload data'!L:L,'caseload data'!$D:$D,"TPO",'caseload data'!$C:$C,$B$6, 'caseload data'!$B:$B, "community")</f>
        <v>0</v>
      </c>
      <c r="K49" s="234">
        <f>SUMIFS('caseload data'!M:M,'caseload data'!$D:$D,"TPO",'caseload data'!$C:$C,$B$6, 'caseload data'!$B:$B, "community")</f>
        <v>0</v>
      </c>
      <c r="L49" s="234">
        <f>SUMIFS('caseload data'!N:N,'caseload data'!$D:$D,"TPO",'caseload data'!$C:$C,$B$6, 'caseload data'!$B:$B, "community")</f>
        <v>0</v>
      </c>
      <c r="M49" s="234">
        <f>SUMIFS('caseload data'!O:O,'caseload data'!$D:$D,"TPO",'caseload data'!$C:$C,$B$6, 'caseload data'!$B:$B, "community")</f>
        <v>0</v>
      </c>
      <c r="N49" s="234">
        <f>SUMIFS('caseload data'!P:P,'caseload data'!$D:$D,"TPO",'caseload data'!$C:$C,$B$6, 'caseload data'!$B:$B, "community")</f>
        <v>0</v>
      </c>
      <c r="O49" s="234">
        <f>SUMIFS('caseload data'!Q:Q,'caseload data'!$D:$D,"TPO",'caseload data'!$C:$C,$B$6, 'caseload data'!$B:$B, "community")</f>
        <v>0</v>
      </c>
      <c r="P49" s="234">
        <f>SUMIFS('caseload data'!R:R,'caseload data'!$D:$D,"TPO",'caseload data'!$C:$C,$B$6, 'caseload data'!$B:$B, "community")</f>
        <v>0</v>
      </c>
      <c r="Q49" s="234">
        <f>SUMIFS('caseload data'!S:S,'caseload data'!$D:$D,"TPO",'caseload data'!$C:$C,$B$6, 'caseload data'!$B:$B, "community")</f>
        <v>0</v>
      </c>
      <c r="R49" s="234">
        <f>SUMIFS('caseload data'!T:T,'caseload data'!$D:$D,"TPO",'caseload data'!$C:$C,$B$6, 'caseload data'!$B:$B, "community")</f>
        <v>0</v>
      </c>
      <c r="S49" s="234">
        <f>SUMIFS('caseload data'!U:U,'caseload data'!$D:$D,"TPO",'caseload data'!$C:$C,$B$6, 'caseload data'!$B:$B, "community")</f>
        <v>0</v>
      </c>
      <c r="T49" s="234">
        <f t="shared" si="4"/>
        <v>0</v>
      </c>
    </row>
    <row r="50" spans="2:21" ht="14.25" customHeight="1" x14ac:dyDescent="0.15">
      <c r="B50" s="75" t="s">
        <v>1004</v>
      </c>
      <c r="C50" s="234">
        <f>SUMIFS('caseload data'!E:E,'caseload data'!$D:$D,"SPO",'caseload data'!$C:$C,$B$6, 'caseload data'!$B:$B, "community")</f>
        <v>0</v>
      </c>
      <c r="D50" s="234">
        <f>SUMIFS('caseload data'!F:F,'caseload data'!$D:$D,"SPO",'caseload data'!$C:$C,$B$6, 'caseload data'!$B:$B, "community")</f>
        <v>0</v>
      </c>
      <c r="E50" s="234">
        <f>SUMIFS('caseload data'!G:G,'caseload data'!$D:$D,"SPO",'caseload data'!$C:$C,$B$6, 'caseload data'!$B:$B, "community")</f>
        <v>0</v>
      </c>
      <c r="F50" s="234">
        <f>SUMIFS('caseload data'!H:H,'caseload data'!$D:$D,"SPO",'caseload data'!$C:$C,$B$6, 'caseload data'!$B:$B, "community")</f>
        <v>0</v>
      </c>
      <c r="G50" s="234">
        <f>SUMIFS('caseload data'!I:I,'caseload data'!$D:$D,"SPO",'caseload data'!$C:$C,$B$6, 'caseload data'!$B:$B, "community")</f>
        <v>0</v>
      </c>
      <c r="H50" s="234">
        <f>SUMIFS('caseload data'!J:J,'caseload data'!$D:$D,"SPO",'caseload data'!$C:$C,$B$6, 'caseload data'!$B:$B, "community")</f>
        <v>0</v>
      </c>
      <c r="I50" s="234">
        <f>SUMIFS('caseload data'!K:K,'caseload data'!$D:$D,"SPO",'caseload data'!$C:$C,$B$6, 'caseload data'!$B:$B, "community")</f>
        <v>0</v>
      </c>
      <c r="J50" s="234">
        <f>SUMIFS('caseload data'!L:L,'caseload data'!$D:$D,"SPO",'caseload data'!$C:$C,$B$6, 'caseload data'!$B:$B, "community")</f>
        <v>0</v>
      </c>
      <c r="K50" s="234">
        <f>SUMIFS('caseload data'!M:M,'caseload data'!$D:$D,"SPO",'caseload data'!$C:$C,$B$6, 'caseload data'!$B:$B, "community")</f>
        <v>0</v>
      </c>
      <c r="L50" s="234">
        <f>SUMIFS('caseload data'!N:N,'caseload data'!$D:$D,"SPO",'caseload data'!$C:$C,$B$6, 'caseload data'!$B:$B, "community")</f>
        <v>0</v>
      </c>
      <c r="M50" s="234">
        <f>SUMIFS('caseload data'!O:O,'caseload data'!$D:$D,"SPO",'caseload data'!$C:$C,$B$6, 'caseload data'!$B:$B, "community")</f>
        <v>0</v>
      </c>
      <c r="N50" s="234">
        <f>SUMIFS('caseload data'!P:P,'caseload data'!$D:$D,"SPO",'caseload data'!$C:$C,$B$6, 'caseload data'!$B:$B, "community")</f>
        <v>0</v>
      </c>
      <c r="O50" s="234">
        <f>SUMIFS('caseload data'!Q:Q,'caseload data'!$D:$D,"SPO",'caseload data'!$C:$C,$B$6, 'caseload data'!$B:$B, "community")</f>
        <v>0</v>
      </c>
      <c r="P50" s="234">
        <f>SUMIFS('caseload data'!R:R,'caseload data'!$D:$D,"SPO",'caseload data'!$C:$C,$B$6, 'caseload data'!$B:$B, "community")</f>
        <v>0</v>
      </c>
      <c r="Q50" s="234">
        <f>SUMIFS('caseload data'!S:S,'caseload data'!$D:$D,"SPO",'caseload data'!$C:$C,$B$6, 'caseload data'!$B:$B, "community")</f>
        <v>0</v>
      </c>
      <c r="R50" s="234">
        <f>SUMIFS('caseload data'!T:T,'caseload data'!$D:$D,"SPO",'caseload data'!$C:$C,$B$6, 'caseload data'!$B:$B, "community")</f>
        <v>0</v>
      </c>
      <c r="S50" s="234">
        <f>SUMIFS('caseload data'!U:U,'caseload data'!$D:$D,"SPO",'caseload data'!$C:$C,$B$6, 'caseload data'!$B:$B, "community")</f>
        <v>0</v>
      </c>
      <c r="T50" s="234">
        <f>SUM(C50:S50)</f>
        <v>0</v>
      </c>
      <c r="U50" s="239"/>
    </row>
    <row r="51" spans="2:21" ht="14.25" customHeight="1" x14ac:dyDescent="0.15">
      <c r="B51" s="75" t="s">
        <v>1339</v>
      </c>
      <c r="C51" s="234">
        <f>SUMIFS('caseload data'!E:E,'caseload data'!$D:$D,"DMY",'caseload data'!$C:$C,$B$6, 'caseload data'!$B:$B, "community")</f>
        <v>0</v>
      </c>
      <c r="D51" s="234">
        <f>SUMIFS('caseload data'!F:F,'caseload data'!$D:$D,"DMY",'caseload data'!$C:$C,$B$6, 'caseload data'!$B:$B, "community")</f>
        <v>0</v>
      </c>
      <c r="E51" s="234">
        <f>SUMIFS('caseload data'!G:G,'caseload data'!$D:$D,"DMY",'caseload data'!$C:$C,$B$6, 'caseload data'!$B:$B, "community")</f>
        <v>0</v>
      </c>
      <c r="F51" s="234">
        <f>SUMIFS('caseload data'!H:H,'caseload data'!$D:$D,"DMY",'caseload data'!$C:$C,$B$6, 'caseload data'!$B:$B, "community")</f>
        <v>0</v>
      </c>
      <c r="G51" s="234">
        <f>SUMIFS('caseload data'!I:I,'caseload data'!$D:$D,"DMY",'caseload data'!$C:$C,$B$6, 'caseload data'!$B:$B, "community")</f>
        <v>0</v>
      </c>
      <c r="H51" s="234">
        <f>SUMIFS('caseload data'!J:J,'caseload data'!$D:$D,"DMY",'caseload data'!$C:$C,$B$6, 'caseload data'!$B:$B, "community")</f>
        <v>0</v>
      </c>
      <c r="I51" s="234">
        <f>SUMIFS('caseload data'!K:K,'caseload data'!$D:$D,"DMY",'caseload data'!$C:$C,$B$6, 'caseload data'!$B:$B, "community")</f>
        <v>0</v>
      </c>
      <c r="J51" s="234">
        <f>SUMIFS('caseload data'!L:L,'caseload data'!$D:$D,"DMY",'caseload data'!$C:$C,$B$6, 'caseload data'!$B:$B, "community")</f>
        <v>0</v>
      </c>
      <c r="K51" s="234">
        <f>SUMIFS('caseload data'!M:M,'caseload data'!$D:$D,"DMY",'caseload data'!$C:$C,$B$6, 'caseload data'!$B:$B, "community")</f>
        <v>0</v>
      </c>
      <c r="L51" s="234">
        <f>SUMIFS('caseload data'!N:N,'caseload data'!$D:$D,"DMY",'caseload data'!$C:$C,$B$6, 'caseload data'!$B:$B, "community")</f>
        <v>0</v>
      </c>
      <c r="M51" s="234">
        <f>SUMIFS('caseload data'!O:O,'caseload data'!$D:$D,"DMY",'caseload data'!$C:$C,$B$6, 'caseload data'!$B:$B, "community")</f>
        <v>0</v>
      </c>
      <c r="N51" s="234">
        <f>SUMIFS('caseload data'!P:P,'caseload data'!$D:$D,"DMY",'caseload data'!$C:$C,$B$6, 'caseload data'!$B:$B, "community")</f>
        <v>0</v>
      </c>
      <c r="O51" s="234">
        <f>SUMIFS('caseload data'!Q:Q,'caseload data'!$D:$D,"DMY",'caseload data'!$C:$C,$B$6, 'caseload data'!$B:$B, "community")</f>
        <v>0</v>
      </c>
      <c r="P51" s="234">
        <f>SUMIFS('caseload data'!R:R,'caseload data'!$D:$D,"DMY",'caseload data'!$C:$C,$B$6, 'caseload data'!$B:$B, "community")</f>
        <v>0</v>
      </c>
      <c r="Q51" s="234">
        <f>SUMIFS('caseload data'!S:S,'caseload data'!$D:$D,"DMY",'caseload data'!$C:$C,$B$6, 'caseload data'!$B:$B, "community")</f>
        <v>0</v>
      </c>
      <c r="R51" s="234">
        <f>SUMIFS('caseload data'!T:T,'caseload data'!$D:$D,"DMY",'caseload data'!$C:$C,$B$6, 'caseload data'!$B:$B, "community")</f>
        <v>0</v>
      </c>
      <c r="S51" s="234">
        <f>SUMIFS('caseload data'!U:U,'caseload data'!$D:$D,"DMY",'caseload data'!$C:$C,$B$6, 'caseload data'!$B:$B, "community")</f>
        <v>0</v>
      </c>
      <c r="T51" s="234">
        <f>SUM(C51:S51)</f>
        <v>0</v>
      </c>
    </row>
    <row r="52" spans="2:21" ht="14.25" customHeight="1" x14ac:dyDescent="0.15">
      <c r="B52" s="171"/>
      <c r="C52" s="171"/>
      <c r="D52" s="171"/>
      <c r="E52" s="171"/>
      <c r="F52" s="171"/>
      <c r="G52" s="171"/>
      <c r="H52" s="171"/>
      <c r="I52" s="171"/>
      <c r="J52" s="171"/>
      <c r="K52" s="171"/>
      <c r="L52" s="171"/>
      <c r="M52" s="171"/>
      <c r="N52" s="171"/>
      <c r="O52" s="171"/>
      <c r="P52" s="171"/>
      <c r="Q52" s="171"/>
      <c r="R52" s="171"/>
      <c r="T52" s="239"/>
    </row>
    <row r="53" spans="2:21" ht="44.25" customHeight="1" x14ac:dyDescent="0.15">
      <c r="B53" s="301" t="str">
        <f>$B$6</f>
        <v>Hackney and City</v>
      </c>
      <c r="C53" s="437" t="s">
        <v>1028</v>
      </c>
      <c r="D53" s="433"/>
      <c r="E53" s="433"/>
      <c r="F53" s="433"/>
      <c r="G53" s="433"/>
      <c r="H53" s="433"/>
      <c r="I53" s="433"/>
      <c r="J53" s="433"/>
      <c r="K53" s="433"/>
      <c r="L53" s="433"/>
      <c r="M53" s="433"/>
      <c r="N53" s="433"/>
      <c r="O53" s="433"/>
      <c r="P53" s="433"/>
      <c r="Q53" s="433"/>
      <c r="R53" s="433"/>
      <c r="S53" s="433"/>
      <c r="T53" s="433"/>
    </row>
    <row r="54" spans="2:21" ht="21.75" customHeight="1" x14ac:dyDescent="0.15">
      <c r="B54" s="95" t="s">
        <v>1001</v>
      </c>
      <c r="C54" s="38" t="s">
        <v>864</v>
      </c>
      <c r="D54" s="38" t="s">
        <v>865</v>
      </c>
      <c r="E54" s="38" t="s">
        <v>866</v>
      </c>
      <c r="F54" s="38" t="s">
        <v>867</v>
      </c>
      <c r="G54" s="38" t="s">
        <v>868</v>
      </c>
      <c r="H54" s="38" t="s">
        <v>869</v>
      </c>
      <c r="I54" s="38" t="s">
        <v>870</v>
      </c>
      <c r="J54" s="38" t="s">
        <v>871</v>
      </c>
      <c r="K54" s="38" t="s">
        <v>872</v>
      </c>
      <c r="L54" s="38" t="s">
        <v>873</v>
      </c>
      <c r="M54" s="38" t="s">
        <v>874</v>
      </c>
      <c r="N54" s="38" t="s">
        <v>875</v>
      </c>
      <c r="O54" s="38" t="s">
        <v>876</v>
      </c>
      <c r="P54" s="38" t="s">
        <v>877</v>
      </c>
      <c r="Q54" s="38" t="s">
        <v>878</v>
      </c>
      <c r="R54" s="38" t="s">
        <v>879</v>
      </c>
      <c r="S54" s="38" t="s">
        <v>1026</v>
      </c>
      <c r="T54" s="38" t="s">
        <v>959</v>
      </c>
    </row>
    <row r="55" spans="2:21" ht="14.25" customHeight="1" x14ac:dyDescent="0.15">
      <c r="B55" s="75" t="s">
        <v>997</v>
      </c>
      <c r="C55" s="234">
        <f>SUMIFS('caseload data'!E:E,'caseload data'!$D:$D,"PO",'caseload data'!$C:$C,$B$6, 'caseload data'!$B:$B, "licence")</f>
        <v>0</v>
      </c>
      <c r="D55" s="234">
        <f>SUMIFS('caseload data'!F:F,'caseload data'!$D:$D,"PO",'caseload data'!$C:$C,$B$6, 'caseload data'!$B:$B, "licence")</f>
        <v>0</v>
      </c>
      <c r="E55" s="234">
        <f>SUMIFS('caseload data'!G:G,'caseload data'!$D:$D,"PO",'caseload data'!$C:$C,$B$6, 'caseload data'!$B:$B, "licence")</f>
        <v>0</v>
      </c>
      <c r="F55" s="234">
        <f>SUMIFS('caseload data'!H:H,'caseload data'!$D:$D,"PO",'caseload data'!$C:$C,$B$6, 'caseload data'!$B:$B, "licence")</f>
        <v>0</v>
      </c>
      <c r="G55" s="234">
        <f>SUMIFS('caseload data'!I:I,'caseload data'!$D:$D,"PO",'caseload data'!$C:$C,$B$6, 'caseload data'!$B:$B, "licence")</f>
        <v>0</v>
      </c>
      <c r="H55" s="234">
        <f>SUMIFS('caseload data'!J:J,'caseload data'!$D:$D,"PO",'caseload data'!$C:$C,$B$6, 'caseload data'!$B:$B, "licence")</f>
        <v>0</v>
      </c>
      <c r="I55" s="234">
        <f>SUMIFS('caseload data'!K:K,'caseload data'!$D:$D,"PO",'caseload data'!$C:$C,$B$6, 'caseload data'!$B:$B, "licence")</f>
        <v>0</v>
      </c>
      <c r="J55" s="234">
        <f>SUMIFS('caseload data'!L:L,'caseload data'!$D:$D,"PO",'caseload data'!$C:$C,$B$6, 'caseload data'!$B:$B, "licence")</f>
        <v>0</v>
      </c>
      <c r="K55" s="234">
        <f>SUMIFS('caseload data'!M:M,'caseload data'!$D:$D,"PO",'caseload data'!$C:$C,$B$6, 'caseload data'!$B:$B, "licence")</f>
        <v>0</v>
      </c>
      <c r="L55" s="234">
        <f>SUMIFS('caseload data'!N:N,'caseload data'!$D:$D,"PO",'caseload data'!$C:$C,$B$6, 'caseload data'!$B:$B, "licence")</f>
        <v>0</v>
      </c>
      <c r="M55" s="234">
        <f>SUMIFS('caseload data'!O:O,'caseload data'!$D:$D,"PO",'caseload data'!$C:$C,$B$6, 'caseload data'!$B:$B, "licence")</f>
        <v>0</v>
      </c>
      <c r="N55" s="234">
        <f>SUMIFS('caseload data'!P:P,'caseload data'!$D:$D,"PO",'caseload data'!$C:$C,$B$6, 'caseload data'!$B:$B, "licence")</f>
        <v>0</v>
      </c>
      <c r="O55" s="234">
        <f>SUMIFS('caseload data'!Q:Q,'caseload data'!$D:$D,"PO",'caseload data'!$C:$C,$B$6, 'caseload data'!$B:$B, "licence")</f>
        <v>0</v>
      </c>
      <c r="P55" s="234">
        <f>SUMIFS('caseload data'!R:R,'caseload data'!$D:$D,"PO",'caseload data'!$C:$C,$B$6, 'caseload data'!$B:$B, "licence")</f>
        <v>0</v>
      </c>
      <c r="Q55" s="234">
        <f>SUMIFS('caseload data'!S:S,'caseload data'!$D:$D,"PO",'caseload data'!$C:$C,$B$6, 'caseload data'!$B:$B, "licence")</f>
        <v>0</v>
      </c>
      <c r="R55" s="234">
        <f>SUMIFS('caseload data'!T:T,'caseload data'!$D:$D,"PO",'caseload data'!$C:$C,$B$6, 'caseload data'!$B:$B, "licence")</f>
        <v>0</v>
      </c>
      <c r="S55" s="234">
        <f>SUMIFS('caseload data'!U:U,'caseload data'!$D:$D,"PO",'caseload data'!$C:$C,$B$6, 'caseload data'!$B:$B, "licence")</f>
        <v>0</v>
      </c>
      <c r="T55" s="234">
        <f t="shared" si="4"/>
        <v>0</v>
      </c>
    </row>
    <row r="56" spans="2:21" ht="14.25" customHeight="1" x14ac:dyDescent="0.15">
      <c r="B56" s="75" t="s">
        <v>1002</v>
      </c>
      <c r="C56" s="234">
        <f>SUMIFS('caseload data'!E:E,'caseload data'!$D:$D,"PSO",'caseload data'!$C:$C,$B$6, 'caseload data'!$B:$B, "licence")</f>
        <v>0</v>
      </c>
      <c r="D56" s="234">
        <f>SUMIFS('caseload data'!F:F,'caseload data'!$D:$D,"PSO",'caseload data'!$C:$C,$B$6, 'caseload data'!$B:$B, "licence")</f>
        <v>0</v>
      </c>
      <c r="E56" s="234">
        <f>SUMIFS('caseload data'!G:G,'caseload data'!$D:$D,"PSO",'caseload data'!$C:$C,$B$6, 'caseload data'!$B:$B, "licence")</f>
        <v>0</v>
      </c>
      <c r="F56" s="234">
        <f>SUMIFS('caseload data'!H:H,'caseload data'!$D:$D,"PSO",'caseload data'!$C:$C,$B$6, 'caseload data'!$B:$B, "licence")</f>
        <v>0</v>
      </c>
      <c r="G56" s="234">
        <f>SUMIFS('caseload data'!I:I,'caseload data'!$D:$D,"PSO",'caseload data'!$C:$C,$B$6, 'caseload data'!$B:$B, "licence")</f>
        <v>0</v>
      </c>
      <c r="H56" s="234">
        <f>SUMIFS('caseload data'!J:J,'caseload data'!$D:$D,"PSO",'caseload data'!$C:$C,$B$6, 'caseload data'!$B:$B, "licence")</f>
        <v>0</v>
      </c>
      <c r="I56" s="234">
        <f>SUMIFS('caseload data'!K:K,'caseload data'!$D:$D,"PSO",'caseload data'!$C:$C,$B$6, 'caseload data'!$B:$B, "licence")</f>
        <v>0</v>
      </c>
      <c r="J56" s="234">
        <f>SUMIFS('caseload data'!L:L,'caseload data'!$D:$D,"PSO",'caseload data'!$C:$C,$B$6, 'caseload data'!$B:$B, "licence")</f>
        <v>0</v>
      </c>
      <c r="K56" s="234">
        <f>SUMIFS('caseload data'!M:M,'caseload data'!$D:$D,"PSO",'caseload data'!$C:$C,$B$6, 'caseload data'!$B:$B, "licence")</f>
        <v>0</v>
      </c>
      <c r="L56" s="234">
        <f>SUMIFS('caseload data'!N:N,'caseload data'!$D:$D,"PSO",'caseload data'!$C:$C,$B$6, 'caseload data'!$B:$B, "licence")</f>
        <v>0</v>
      </c>
      <c r="M56" s="234">
        <f>SUMIFS('caseload data'!O:O,'caseload data'!$D:$D,"PSO",'caseload data'!$C:$C,$B$6, 'caseload data'!$B:$B, "licence")</f>
        <v>0</v>
      </c>
      <c r="N56" s="234">
        <f>SUMIFS('caseload data'!P:P,'caseload data'!$D:$D,"PSO",'caseload data'!$C:$C,$B$6, 'caseload data'!$B:$B, "licence")</f>
        <v>0</v>
      </c>
      <c r="O56" s="234">
        <f>SUMIFS('caseload data'!Q:Q,'caseload data'!$D:$D,"PSO",'caseload data'!$C:$C,$B$6, 'caseload data'!$B:$B, "licence")</f>
        <v>0</v>
      </c>
      <c r="P56" s="234">
        <f>SUMIFS('caseload data'!R:R,'caseload data'!$D:$D,"PSO",'caseload data'!$C:$C,$B$6, 'caseload data'!$B:$B, "licence")</f>
        <v>0</v>
      </c>
      <c r="Q56" s="234">
        <f>SUMIFS('caseload data'!S:S,'caseload data'!$D:$D,"PSO",'caseload data'!$C:$C,$B$6, 'caseload data'!$B:$B, "licence")</f>
        <v>0</v>
      </c>
      <c r="R56" s="234">
        <f>SUMIFS('caseload data'!T:T,'caseload data'!$D:$D,"PSO",'caseload data'!$C:$C,$B$6, 'caseload data'!$B:$B, "licence")</f>
        <v>0</v>
      </c>
      <c r="S56" s="234">
        <f>SUMIFS('caseload data'!U:U,'caseload data'!$D:$D,"PSO",'caseload data'!$C:$C,$B$6, 'caseload data'!$B:$B, "licence")</f>
        <v>0</v>
      </c>
      <c r="T56" s="234">
        <f t="shared" si="4"/>
        <v>0</v>
      </c>
    </row>
    <row r="57" spans="2:21" ht="14.25" customHeight="1" x14ac:dyDescent="0.15">
      <c r="B57" s="75" t="s">
        <v>1003</v>
      </c>
      <c r="C57" s="234">
        <f>SUMIFS('caseload data'!E:E,'caseload data'!$D:$D,"TPO",'caseload data'!$C:$C,$B$6, 'caseload data'!$B:$B, "licence")</f>
        <v>0</v>
      </c>
      <c r="D57" s="234">
        <f>SUMIFS('caseload data'!F:F,'caseload data'!$D:$D,"TPO",'caseload data'!$C:$C,$B$6, 'caseload data'!$B:$B, "licence")</f>
        <v>0</v>
      </c>
      <c r="E57" s="234">
        <f>SUMIFS('caseload data'!G:G,'caseload data'!$D:$D,"TPO",'caseload data'!$C:$C,$B$6, 'caseload data'!$B:$B, "licence")</f>
        <v>0</v>
      </c>
      <c r="F57" s="234">
        <f>SUMIFS('caseload data'!H:H,'caseload data'!$D:$D,"TPO",'caseload data'!$C:$C,$B$6, 'caseload data'!$B:$B, "licence")</f>
        <v>0</v>
      </c>
      <c r="G57" s="234">
        <f>SUMIFS('caseload data'!I:I,'caseload data'!$D:$D,"TPO",'caseload data'!$C:$C,$B$6, 'caseload data'!$B:$B, "licence")</f>
        <v>0</v>
      </c>
      <c r="H57" s="234">
        <f>SUMIFS('caseload data'!J:J,'caseload data'!$D:$D,"TPO",'caseload data'!$C:$C,$B$6, 'caseload data'!$B:$B, "licence")</f>
        <v>0</v>
      </c>
      <c r="I57" s="234">
        <f>SUMIFS('caseload data'!K:K,'caseload data'!$D:$D,"TPO",'caseload data'!$C:$C,$B$6, 'caseload data'!$B:$B, "licence")</f>
        <v>0</v>
      </c>
      <c r="J57" s="234">
        <f>SUMIFS('caseload data'!L:L,'caseload data'!$D:$D,"TPO",'caseload data'!$C:$C,$B$6, 'caseload data'!$B:$B, "licence")</f>
        <v>0</v>
      </c>
      <c r="K57" s="234">
        <f>SUMIFS('caseload data'!M:M,'caseload data'!$D:$D,"TPO",'caseload data'!$C:$C,$B$6, 'caseload data'!$B:$B, "licence")</f>
        <v>0</v>
      </c>
      <c r="L57" s="234">
        <f>SUMIFS('caseload data'!N:N,'caseload data'!$D:$D,"TPO",'caseload data'!$C:$C,$B$6, 'caseload data'!$B:$B, "licence")</f>
        <v>0</v>
      </c>
      <c r="M57" s="234">
        <f>SUMIFS('caseload data'!O:O,'caseload data'!$D:$D,"TPO",'caseload data'!$C:$C,$B$6, 'caseload data'!$B:$B, "licence")</f>
        <v>0</v>
      </c>
      <c r="N57" s="234">
        <f>SUMIFS('caseload data'!P:P,'caseload data'!$D:$D,"TPO",'caseload data'!$C:$C,$B$6, 'caseload data'!$B:$B, "licence")</f>
        <v>0</v>
      </c>
      <c r="O57" s="234">
        <f>SUMIFS('caseload data'!Q:Q,'caseload data'!$D:$D,"TPO",'caseload data'!$C:$C,$B$6, 'caseload data'!$B:$B, "licence")</f>
        <v>0</v>
      </c>
      <c r="P57" s="234">
        <f>SUMIFS('caseload data'!R:R,'caseload data'!$D:$D,"TPO",'caseload data'!$C:$C,$B$6, 'caseload data'!$B:$B, "licence")</f>
        <v>0</v>
      </c>
      <c r="Q57" s="234">
        <f>SUMIFS('caseload data'!S:S,'caseload data'!$D:$D,"TPO",'caseload data'!$C:$C,$B$6, 'caseload data'!$B:$B, "licence")</f>
        <v>0</v>
      </c>
      <c r="R57" s="234">
        <f>SUMIFS('caseload data'!T:T,'caseload data'!$D:$D,"TPO",'caseload data'!$C:$C,$B$6, 'caseload data'!$B:$B, "licence")</f>
        <v>0</v>
      </c>
      <c r="S57" s="234">
        <f>SUMIFS('caseload data'!U:U,'caseload data'!$D:$D,"TPO",'caseload data'!$C:$C,$B$6, 'caseload data'!$B:$B, "licence")</f>
        <v>0</v>
      </c>
      <c r="T57" s="234">
        <f t="shared" si="4"/>
        <v>0</v>
      </c>
    </row>
    <row r="58" spans="2:21" ht="14.25" customHeight="1" x14ac:dyDescent="0.15">
      <c r="B58" s="75" t="s">
        <v>1004</v>
      </c>
      <c r="C58" s="234">
        <f>SUMIFS('caseload data'!E:E,'caseload data'!$D:$D,"SPO",'caseload data'!$C:$C,$B$6, 'caseload data'!$B:$B, "licence")</f>
        <v>0</v>
      </c>
      <c r="D58" s="234">
        <f>SUMIFS('caseload data'!F:F,'caseload data'!$D:$D,"SPO",'caseload data'!$C:$C,$B$6, 'caseload data'!$B:$B, "licence")</f>
        <v>0</v>
      </c>
      <c r="E58" s="234">
        <f>SUMIFS('caseload data'!G:G,'caseload data'!$D:$D,"SPO",'caseload data'!$C:$C,$B$6, 'caseload data'!$B:$B, "licence")</f>
        <v>0</v>
      </c>
      <c r="F58" s="234">
        <f>SUMIFS('caseload data'!H:H,'caseload data'!$D:$D,"SPO",'caseload data'!$C:$C,$B$6, 'caseload data'!$B:$B, "licence")</f>
        <v>0</v>
      </c>
      <c r="G58" s="234">
        <f>SUMIFS('caseload data'!I:I,'caseload data'!$D:$D,"SPO",'caseload data'!$C:$C,$B$6, 'caseload data'!$B:$B, "licence")</f>
        <v>0</v>
      </c>
      <c r="H58" s="234">
        <f>SUMIFS('caseload data'!J:J,'caseload data'!$D:$D,"SPO",'caseload data'!$C:$C,$B$6, 'caseload data'!$B:$B, "licence")</f>
        <v>0</v>
      </c>
      <c r="I58" s="234">
        <f>SUMIFS('caseload data'!K:K,'caseload data'!$D:$D,"SPO",'caseload data'!$C:$C,$B$6, 'caseload data'!$B:$B, "licence")</f>
        <v>0</v>
      </c>
      <c r="J58" s="234">
        <f>SUMIFS('caseload data'!L:L,'caseload data'!$D:$D,"SPO",'caseload data'!$C:$C,$B$6, 'caseload data'!$B:$B, "licence")</f>
        <v>0</v>
      </c>
      <c r="K58" s="234">
        <f>SUMIFS('caseload data'!M:M,'caseload data'!$D:$D,"SPO",'caseload data'!$C:$C,$B$6, 'caseload data'!$B:$B, "licence")</f>
        <v>0</v>
      </c>
      <c r="L58" s="234">
        <f>SUMIFS('caseload data'!N:N,'caseload data'!$D:$D,"SPO",'caseload data'!$C:$C,$B$6, 'caseload data'!$B:$B, "licence")</f>
        <v>0</v>
      </c>
      <c r="M58" s="234">
        <f>SUMIFS('caseload data'!O:O,'caseload data'!$D:$D,"SPO",'caseload data'!$C:$C,$B$6, 'caseload data'!$B:$B, "licence")</f>
        <v>0</v>
      </c>
      <c r="N58" s="234">
        <f>SUMIFS('caseload data'!P:P,'caseload data'!$D:$D,"SPO",'caseload data'!$C:$C,$B$6, 'caseload data'!$B:$B, "licence")</f>
        <v>0</v>
      </c>
      <c r="O58" s="234">
        <f>SUMIFS('caseload data'!Q:Q,'caseload data'!$D:$D,"SPO",'caseload data'!$C:$C,$B$6, 'caseload data'!$B:$B, "licence")</f>
        <v>0</v>
      </c>
      <c r="P58" s="234">
        <f>SUMIFS('caseload data'!R:R,'caseload data'!$D:$D,"SPO",'caseload data'!$C:$C,$B$6, 'caseload data'!$B:$B, "licence")</f>
        <v>0</v>
      </c>
      <c r="Q58" s="234">
        <f>SUMIFS('caseload data'!S:S,'caseload data'!$D:$D,"SPO",'caseload data'!$C:$C,$B$6, 'caseload data'!$B:$B, "licence")</f>
        <v>0</v>
      </c>
      <c r="R58" s="234">
        <f>SUMIFS('caseload data'!T:T,'caseload data'!$D:$D,"SPO",'caseload data'!$C:$C,$B$6, 'caseload data'!$B:$B, "licence")</f>
        <v>0</v>
      </c>
      <c r="S58" s="234">
        <f>SUMIFS('caseload data'!U:U,'caseload data'!$D:$D,"SPO",'caseload data'!$C:$C,$B$6, 'caseload data'!$B:$B, "licence")</f>
        <v>0</v>
      </c>
      <c r="T58" s="234">
        <f t="shared" si="4"/>
        <v>0</v>
      </c>
      <c r="U58" s="239"/>
    </row>
    <row r="59" spans="2:21" ht="14.25" customHeight="1" x14ac:dyDescent="0.15">
      <c r="B59" s="75" t="s">
        <v>1339</v>
      </c>
      <c r="C59" s="234">
        <f>SUMIFS('caseload data'!E:E,'caseload data'!$D:$D,"DMY",'caseload data'!$C:$C,$B$6, 'caseload data'!$B:$B, "licence")</f>
        <v>0</v>
      </c>
      <c r="D59" s="234">
        <f>SUMIFS('caseload data'!F:F,'caseload data'!$D:$D,"DMY",'caseload data'!$C:$C,$B$6, 'caseload data'!$B:$B, "licence")</f>
        <v>0</v>
      </c>
      <c r="E59" s="234">
        <f>SUMIFS('caseload data'!G:G,'caseload data'!$D:$D,"DMY",'caseload data'!$C:$C,$B$6, 'caseload data'!$B:$B, "licence")</f>
        <v>0</v>
      </c>
      <c r="F59" s="234">
        <f>SUMIFS('caseload data'!H:H,'caseload data'!$D:$D,"DMY",'caseload data'!$C:$C,$B$6, 'caseload data'!$B:$B, "licence")</f>
        <v>0</v>
      </c>
      <c r="G59" s="234">
        <f>SUMIFS('caseload data'!I:I,'caseload data'!$D:$D,"DMY",'caseload data'!$C:$C,$B$6, 'caseload data'!$B:$B, "licence")</f>
        <v>0</v>
      </c>
      <c r="H59" s="234">
        <f>SUMIFS('caseload data'!J:J,'caseload data'!$D:$D,"DMY",'caseload data'!$C:$C,$B$6, 'caseload data'!$B:$B, "licence")</f>
        <v>0</v>
      </c>
      <c r="I59" s="234">
        <f>SUMIFS('caseload data'!K:K,'caseload data'!$D:$D,"DMY",'caseload data'!$C:$C,$B$6, 'caseload data'!$B:$B, "licence")</f>
        <v>0</v>
      </c>
      <c r="J59" s="234">
        <f>SUMIFS('caseload data'!L:L,'caseload data'!$D:$D,"DMY",'caseload data'!$C:$C,$B$6, 'caseload data'!$B:$B, "licence")</f>
        <v>0</v>
      </c>
      <c r="K59" s="234">
        <f>SUMIFS('caseload data'!M:M,'caseload data'!$D:$D,"DMY",'caseload data'!$C:$C,$B$6, 'caseload data'!$B:$B, "licence")</f>
        <v>0</v>
      </c>
      <c r="L59" s="234">
        <f>SUMIFS('caseload data'!N:N,'caseload data'!$D:$D,"DMY",'caseload data'!$C:$C,$B$6, 'caseload data'!$B:$B, "licence")</f>
        <v>0</v>
      </c>
      <c r="M59" s="234">
        <f>SUMIFS('caseload data'!O:O,'caseload data'!$D:$D,"DMY",'caseload data'!$C:$C,$B$6, 'caseload data'!$B:$B, "licence")</f>
        <v>0</v>
      </c>
      <c r="N59" s="234">
        <f>SUMIFS('caseload data'!P:P,'caseload data'!$D:$D,"DMY",'caseload data'!$C:$C,$B$6, 'caseload data'!$B:$B, "licence")</f>
        <v>0</v>
      </c>
      <c r="O59" s="234">
        <f>SUMIFS('caseload data'!Q:Q,'caseload data'!$D:$D,"DMY",'caseload data'!$C:$C,$B$6, 'caseload data'!$B:$B, "licence")</f>
        <v>0</v>
      </c>
      <c r="P59" s="234">
        <f>SUMIFS('caseload data'!R:R,'caseload data'!$D:$D,"DMY",'caseload data'!$C:$C,$B$6, 'caseload data'!$B:$B, "licence")</f>
        <v>0</v>
      </c>
      <c r="Q59" s="234">
        <f>SUMIFS('caseload data'!S:S,'caseload data'!$D:$D,"DMY",'caseload data'!$C:$C,$B$6, 'caseload data'!$B:$B, "licence")</f>
        <v>0</v>
      </c>
      <c r="R59" s="234">
        <f>SUMIFS('caseload data'!T:T,'caseload data'!$D:$D,"DMY",'caseload data'!$C:$C,$B$6, 'caseload data'!$B:$B, "licence")</f>
        <v>0</v>
      </c>
      <c r="S59" s="234">
        <f>SUMIFS('caseload data'!U:U,'caseload data'!$D:$D,"DMY",'caseload data'!$C:$C,$B$6, 'caseload data'!$B:$B, "licence")</f>
        <v>0</v>
      </c>
      <c r="T59" s="234">
        <f t="shared" ref="T59" si="6">SUM(C59:S59)</f>
        <v>0</v>
      </c>
      <c r="U59" s="239"/>
    </row>
    <row r="60" spans="2:21" ht="14.25" customHeight="1" x14ac:dyDescent="0.15">
      <c r="B60" s="171"/>
      <c r="C60" s="171"/>
      <c r="D60" s="171"/>
      <c r="E60" s="171"/>
      <c r="F60" s="171"/>
      <c r="G60" s="171"/>
      <c r="H60" s="171"/>
      <c r="I60" s="171"/>
      <c r="J60" s="171"/>
      <c r="K60" s="171"/>
      <c r="L60" s="171"/>
      <c r="M60" s="171"/>
      <c r="N60" s="171"/>
      <c r="O60" s="171"/>
      <c r="P60" s="171"/>
      <c r="Q60" s="171"/>
      <c r="R60" s="171"/>
      <c r="S60" s="171"/>
      <c r="T60" s="239"/>
    </row>
    <row r="61" spans="2:21" ht="45" customHeight="1" x14ac:dyDescent="0.15">
      <c r="B61" s="301" t="str">
        <f>$B$6</f>
        <v>Hackney and City</v>
      </c>
      <c r="C61" s="437" t="s">
        <v>1029</v>
      </c>
      <c r="D61" s="433"/>
      <c r="E61" s="433"/>
      <c r="F61" s="433"/>
      <c r="G61" s="433"/>
      <c r="H61" s="433"/>
      <c r="I61" s="433"/>
      <c r="J61" s="433"/>
      <c r="K61" s="433"/>
      <c r="L61" s="433"/>
      <c r="M61" s="433"/>
      <c r="N61" s="433"/>
      <c r="O61" s="433"/>
      <c r="P61" s="433"/>
      <c r="Q61" s="433"/>
      <c r="R61" s="433"/>
      <c r="S61" s="433"/>
      <c r="T61" s="433"/>
    </row>
    <row r="62" spans="2:21" ht="19.5" customHeight="1" x14ac:dyDescent="0.15">
      <c r="B62" s="95" t="s">
        <v>1001</v>
      </c>
      <c r="C62" s="38" t="s">
        <v>864</v>
      </c>
      <c r="D62" s="38" t="s">
        <v>865</v>
      </c>
      <c r="E62" s="38" t="s">
        <v>866</v>
      </c>
      <c r="F62" s="38" t="s">
        <v>867</v>
      </c>
      <c r="G62" s="38" t="s">
        <v>868</v>
      </c>
      <c r="H62" s="38" t="s">
        <v>869</v>
      </c>
      <c r="I62" s="38" t="s">
        <v>870</v>
      </c>
      <c r="J62" s="38" t="s">
        <v>871</v>
      </c>
      <c r="K62" s="38" t="s">
        <v>872</v>
      </c>
      <c r="L62" s="38" t="s">
        <v>873</v>
      </c>
      <c r="M62" s="38" t="s">
        <v>874</v>
      </c>
      <c r="N62" s="38" t="s">
        <v>875</v>
      </c>
      <c r="O62" s="38" t="s">
        <v>876</v>
      </c>
      <c r="P62" s="38" t="s">
        <v>877</v>
      </c>
      <c r="Q62" s="38" t="s">
        <v>878</v>
      </c>
      <c r="R62" s="38" t="s">
        <v>879</v>
      </c>
      <c r="S62" s="38" t="s">
        <v>1026</v>
      </c>
      <c r="T62" s="38" t="s">
        <v>959</v>
      </c>
    </row>
    <row r="63" spans="2:21" ht="14.25" customHeight="1" x14ac:dyDescent="0.15">
      <c r="B63" s="75" t="s">
        <v>997</v>
      </c>
      <c r="C63" s="234">
        <f>SUMIFS('caseload data'!E:E,'caseload data'!$D:$D,"PO",'caseload data'!$C:$C,$B$6, 'caseload data'!$B:$B, "custody")</f>
        <v>0</v>
      </c>
      <c r="D63" s="234">
        <f>SUMIFS('caseload data'!F:F,'caseload data'!$D:$D,"PO",'caseload data'!$C:$C,$B$6, 'caseload data'!$B:$B, "custody")</f>
        <v>0</v>
      </c>
      <c r="E63" s="234">
        <f>SUMIFS('caseload data'!G:G,'caseload data'!$D:$D,"PO",'caseload data'!$C:$C,$B$6, 'caseload data'!$B:$B, "custody")</f>
        <v>0</v>
      </c>
      <c r="F63" s="234">
        <f>SUMIFS('caseload data'!H:H,'caseload data'!$D:$D,"PO",'caseload data'!$C:$C,$B$6, 'caseload data'!$B:$B, "custody")</f>
        <v>0</v>
      </c>
      <c r="G63" s="234">
        <f>SUMIFS('caseload data'!I:I,'caseload data'!$D:$D,"PO",'caseload data'!$C:$C,$B$6, 'caseload data'!$B:$B, "custody")</f>
        <v>0</v>
      </c>
      <c r="H63" s="234">
        <f>SUMIFS('caseload data'!J:J,'caseload data'!$D:$D,"PO",'caseload data'!$C:$C,$B$6, 'caseload data'!$B:$B, "custody")</f>
        <v>0</v>
      </c>
      <c r="I63" s="234">
        <f>SUMIFS('caseload data'!K:K,'caseload data'!$D:$D,"PO",'caseload data'!$C:$C,$B$6, 'caseload data'!$B:$B, "custody")</f>
        <v>0</v>
      </c>
      <c r="J63" s="234">
        <f>SUMIFS('caseload data'!L:L,'caseload data'!$D:$D,"PO",'caseload data'!$C:$C,$B$6, 'caseload data'!$B:$B, "custody")</f>
        <v>0</v>
      </c>
      <c r="K63" s="234">
        <f>SUMIFS('caseload data'!M:M,'caseload data'!$D:$D,"PO",'caseload data'!$C:$C,$B$6, 'caseload data'!$B:$B, "custody")</f>
        <v>0</v>
      </c>
      <c r="L63" s="234">
        <f>SUMIFS('caseload data'!N:N,'caseload data'!$D:$D,"PO",'caseload data'!$C:$C,$B$6, 'caseload data'!$B:$B, "custody")</f>
        <v>0</v>
      </c>
      <c r="M63" s="234">
        <f>SUMIFS('caseload data'!O:O,'caseload data'!$D:$D,"PO",'caseload data'!$C:$C,$B$6, 'caseload data'!$B:$B, "custody")</f>
        <v>0</v>
      </c>
      <c r="N63" s="234">
        <f>SUMIFS('caseload data'!P:P,'caseload data'!$D:$D,"PO",'caseload data'!$C:$C,$B$6, 'caseload data'!$B:$B, "custody")</f>
        <v>0</v>
      </c>
      <c r="O63" s="234">
        <f>SUMIFS('caseload data'!Q:Q,'caseload data'!$D:$D,"PO",'caseload data'!$C:$C,$B$6, 'caseload data'!$B:$B, "custody")</f>
        <v>0</v>
      </c>
      <c r="P63" s="234">
        <f>SUMIFS('caseload data'!R:R,'caseload data'!$D:$D,"PO",'caseload data'!$C:$C,$B$6, 'caseload data'!$B:$B, "custody")</f>
        <v>0</v>
      </c>
      <c r="Q63" s="234">
        <f>SUMIFS('caseload data'!S:S,'caseload data'!$D:$D,"PO",'caseload data'!$C:$C,$B$6, 'caseload data'!$B:$B, "custody")</f>
        <v>0</v>
      </c>
      <c r="R63" s="234">
        <f>SUMIFS('caseload data'!T:T,'caseload data'!$D:$D,"PO",'caseload data'!$C:$C,$B$6, 'caseload data'!$B:$B, "custody")</f>
        <v>0</v>
      </c>
      <c r="S63" s="234">
        <f>SUMIFS('caseload data'!U:U,'caseload data'!$D:$D,"PO",'caseload data'!$C:$C,$B$6, 'caseload data'!$B:$B, "custody")</f>
        <v>0</v>
      </c>
      <c r="T63" s="234">
        <f t="shared" si="4"/>
        <v>0</v>
      </c>
    </row>
    <row r="64" spans="2:21" ht="14.25" customHeight="1" x14ac:dyDescent="0.15">
      <c r="B64" s="75" t="s">
        <v>1002</v>
      </c>
      <c r="C64" s="234">
        <f>SUMIFS('caseload data'!E:E,'caseload data'!$D:$D,"PSO",'caseload data'!$C:$C,$B$6, 'caseload data'!$B:$B, "custody")</f>
        <v>0</v>
      </c>
      <c r="D64" s="234">
        <f>SUMIFS('caseload data'!F:F,'caseload data'!$D:$D,"PSO",'caseload data'!$C:$C,$B$6, 'caseload data'!$B:$B, "custody")</f>
        <v>0</v>
      </c>
      <c r="E64" s="234">
        <f>SUMIFS('caseload data'!G:G,'caseload data'!$D:$D,"PSO",'caseload data'!$C:$C,$B$6, 'caseload data'!$B:$B, "custody")</f>
        <v>0</v>
      </c>
      <c r="F64" s="234">
        <f>SUMIFS('caseload data'!H:H,'caseload data'!$D:$D,"PSO",'caseload data'!$C:$C,$B$6, 'caseload data'!$B:$B, "custody")</f>
        <v>0</v>
      </c>
      <c r="G64" s="234">
        <f>SUMIFS('caseload data'!I:I,'caseload data'!$D:$D,"PSO",'caseload data'!$C:$C,$B$6, 'caseload data'!$B:$B, "custody")</f>
        <v>0</v>
      </c>
      <c r="H64" s="234">
        <f>SUMIFS('caseload data'!J:J,'caseload data'!$D:$D,"PSO",'caseload data'!$C:$C,$B$6, 'caseload data'!$B:$B, "custody")</f>
        <v>0</v>
      </c>
      <c r="I64" s="234">
        <f>SUMIFS('caseload data'!K:K,'caseload data'!$D:$D,"PSO",'caseload data'!$C:$C,$B$6, 'caseload data'!$B:$B, "custody")</f>
        <v>0</v>
      </c>
      <c r="J64" s="234">
        <f>SUMIFS('caseload data'!L:L,'caseload data'!$D:$D,"PSO",'caseload data'!$C:$C,$B$6, 'caseload data'!$B:$B, "custody")</f>
        <v>0</v>
      </c>
      <c r="K64" s="234">
        <f>SUMIFS('caseload data'!M:M,'caseload data'!$D:$D,"PSO",'caseload data'!$C:$C,$B$6, 'caseload data'!$B:$B, "custody")</f>
        <v>0</v>
      </c>
      <c r="L64" s="234">
        <f>SUMIFS('caseload data'!N:N,'caseload data'!$D:$D,"PSO",'caseload data'!$C:$C,$B$6, 'caseload data'!$B:$B, "custody")</f>
        <v>0</v>
      </c>
      <c r="M64" s="234">
        <f>SUMIFS('caseload data'!O:O,'caseload data'!$D:$D,"PSO",'caseload data'!$C:$C,$B$6, 'caseload data'!$B:$B, "custody")</f>
        <v>0</v>
      </c>
      <c r="N64" s="234">
        <f>SUMIFS('caseload data'!P:P,'caseload data'!$D:$D,"PSO",'caseload data'!$C:$C,$B$6, 'caseload data'!$B:$B, "custody")</f>
        <v>0</v>
      </c>
      <c r="O64" s="234">
        <f>SUMIFS('caseload data'!Q:Q,'caseload data'!$D:$D,"PSO",'caseload data'!$C:$C,$B$6, 'caseload data'!$B:$B, "custody")</f>
        <v>0</v>
      </c>
      <c r="P64" s="234">
        <f>SUMIFS('caseload data'!R:R,'caseload data'!$D:$D,"PSO",'caseload data'!$C:$C,$B$6, 'caseload data'!$B:$B, "custody")</f>
        <v>0</v>
      </c>
      <c r="Q64" s="234">
        <f>SUMIFS('caseload data'!S:S,'caseload data'!$D:$D,"PSO",'caseload data'!$C:$C,$B$6, 'caseload data'!$B:$B, "custody")</f>
        <v>0</v>
      </c>
      <c r="R64" s="234">
        <f>SUMIFS('caseload data'!T:T,'caseload data'!$D:$D,"PSO",'caseload data'!$C:$C,$B$6, 'caseload data'!$B:$B, "custody")</f>
        <v>0</v>
      </c>
      <c r="S64" s="234">
        <f>SUMIFS('caseload data'!U:U,'caseload data'!$D:$D,"PSO",'caseload data'!$C:$C,$B$6, 'caseload data'!$B:$B, "custody")</f>
        <v>0</v>
      </c>
      <c r="T64" s="234">
        <f t="shared" si="4"/>
        <v>0</v>
      </c>
    </row>
    <row r="65" spans="2:21" ht="14.25" customHeight="1" x14ac:dyDescent="0.15">
      <c r="B65" s="75" t="s">
        <v>1003</v>
      </c>
      <c r="C65" s="234">
        <f>SUMIFS('caseload data'!E:E,'caseload data'!$D:$D,"TPO",'caseload data'!$C:$C,$B$6, 'caseload data'!$B:$B, "custody")</f>
        <v>0</v>
      </c>
      <c r="D65" s="234">
        <f>SUMIFS('caseload data'!F:F,'caseload data'!$D:$D,"TPO",'caseload data'!$C:$C,$B$6, 'caseload data'!$B:$B, "custody")</f>
        <v>0</v>
      </c>
      <c r="E65" s="234">
        <f>SUMIFS('caseload data'!G:G,'caseload data'!$D:$D,"TPO",'caseload data'!$C:$C,$B$6, 'caseload data'!$B:$B, "custody")</f>
        <v>0</v>
      </c>
      <c r="F65" s="234">
        <f>SUMIFS('caseload data'!H:H,'caseload data'!$D:$D,"TPO",'caseload data'!$C:$C,$B$6, 'caseload data'!$B:$B, "custody")</f>
        <v>0</v>
      </c>
      <c r="G65" s="234">
        <f>SUMIFS('caseload data'!I:I,'caseload data'!$D:$D,"TPO",'caseload data'!$C:$C,$B$6, 'caseload data'!$B:$B, "custody")</f>
        <v>0</v>
      </c>
      <c r="H65" s="234">
        <f>SUMIFS('caseload data'!J:J,'caseload data'!$D:$D,"TPO",'caseload data'!$C:$C,$B$6, 'caseload data'!$B:$B, "custody")</f>
        <v>0</v>
      </c>
      <c r="I65" s="234">
        <f>SUMIFS('caseload data'!K:K,'caseload data'!$D:$D,"TPO",'caseload data'!$C:$C,$B$6, 'caseload data'!$B:$B, "custody")</f>
        <v>0</v>
      </c>
      <c r="J65" s="234">
        <f>SUMIFS('caseload data'!L:L,'caseload data'!$D:$D,"TPO",'caseload data'!$C:$C,$B$6, 'caseload data'!$B:$B, "custody")</f>
        <v>0</v>
      </c>
      <c r="K65" s="234">
        <f>SUMIFS('caseload data'!M:M,'caseload data'!$D:$D,"TPO",'caseload data'!$C:$C,$B$6, 'caseload data'!$B:$B, "custody")</f>
        <v>0</v>
      </c>
      <c r="L65" s="234">
        <f>SUMIFS('caseload data'!N:N,'caseload data'!$D:$D,"TPO",'caseload data'!$C:$C,$B$6, 'caseload data'!$B:$B, "custody")</f>
        <v>0</v>
      </c>
      <c r="M65" s="234">
        <f>SUMIFS('caseload data'!O:O,'caseload data'!$D:$D,"TPO",'caseload data'!$C:$C,$B$6, 'caseload data'!$B:$B, "custody")</f>
        <v>0</v>
      </c>
      <c r="N65" s="234">
        <f>SUMIFS('caseload data'!P:P,'caseload data'!$D:$D,"TPO",'caseload data'!$C:$C,$B$6, 'caseload data'!$B:$B, "custody")</f>
        <v>0</v>
      </c>
      <c r="O65" s="234">
        <f>SUMIFS('caseload data'!Q:Q,'caseload data'!$D:$D,"TPO",'caseload data'!$C:$C,$B$6, 'caseload data'!$B:$B, "custody")</f>
        <v>0</v>
      </c>
      <c r="P65" s="234">
        <f>SUMIFS('caseload data'!R:R,'caseload data'!$D:$D,"TPO",'caseload data'!$C:$C,$B$6, 'caseload data'!$B:$B, "custody")</f>
        <v>0</v>
      </c>
      <c r="Q65" s="234">
        <f>SUMIFS('caseload data'!S:S,'caseload data'!$D:$D,"TPO",'caseload data'!$C:$C,$B$6, 'caseload data'!$B:$B, "custody")</f>
        <v>0</v>
      </c>
      <c r="R65" s="234">
        <f>SUMIFS('caseload data'!T:T,'caseload data'!$D:$D,"TPO",'caseload data'!$C:$C,$B$6, 'caseload data'!$B:$B, "custody")</f>
        <v>0</v>
      </c>
      <c r="S65" s="234">
        <f>SUMIFS('caseload data'!U:U,'caseload data'!$D:$D,"TPO",'caseload data'!$C:$C,$B$6, 'caseload data'!$B:$B, "custody")</f>
        <v>0</v>
      </c>
      <c r="T65" s="234">
        <f t="shared" si="4"/>
        <v>0</v>
      </c>
    </row>
    <row r="66" spans="2:21" ht="14.25" customHeight="1" x14ac:dyDescent="0.15">
      <c r="B66" s="75" t="s">
        <v>1004</v>
      </c>
      <c r="C66" s="234">
        <f>SUMIFS('caseload data'!E:E,'caseload data'!$D:$D,"SPO",'caseload data'!$C:$C,$B$6, 'caseload data'!$B:$B, "custody")</f>
        <v>0</v>
      </c>
      <c r="D66" s="234">
        <f>SUMIFS('caseload data'!F:F,'caseload data'!$D:$D,"SPO",'caseload data'!$C:$C,$B$6, 'caseload data'!$B:$B, "custody")</f>
        <v>0</v>
      </c>
      <c r="E66" s="234">
        <f>SUMIFS('caseload data'!G:G,'caseload data'!$D:$D,"SPO",'caseload data'!$C:$C,$B$6, 'caseload data'!$B:$B, "custody")</f>
        <v>0</v>
      </c>
      <c r="F66" s="234">
        <f>SUMIFS('caseload data'!H:H,'caseload data'!$D:$D,"SPO",'caseload data'!$C:$C,$B$6, 'caseload data'!$B:$B, "custody")</f>
        <v>0</v>
      </c>
      <c r="G66" s="234">
        <f>SUMIFS('caseload data'!I:I,'caseload data'!$D:$D,"SPO",'caseload data'!$C:$C,$B$6, 'caseload data'!$B:$B, "custody")</f>
        <v>0</v>
      </c>
      <c r="H66" s="234">
        <f>SUMIFS('caseload data'!J:J,'caseload data'!$D:$D,"SPO",'caseload data'!$C:$C,$B$6, 'caseload data'!$B:$B, "custody")</f>
        <v>0</v>
      </c>
      <c r="I66" s="234">
        <f>SUMIFS('caseload data'!K:K,'caseload data'!$D:$D,"SPO",'caseload data'!$C:$C,$B$6, 'caseload data'!$B:$B, "custody")</f>
        <v>0</v>
      </c>
      <c r="J66" s="234">
        <f>SUMIFS('caseload data'!L:L,'caseload data'!$D:$D,"SPO",'caseload data'!$C:$C,$B$6, 'caseload data'!$B:$B, "custody")</f>
        <v>0</v>
      </c>
      <c r="K66" s="234">
        <f>SUMIFS('caseload data'!M:M,'caseload data'!$D:$D,"SPO",'caseload data'!$C:$C,$B$6, 'caseload data'!$B:$B, "custody")</f>
        <v>0</v>
      </c>
      <c r="L66" s="234">
        <f>SUMIFS('caseload data'!N:N,'caseload data'!$D:$D,"SPO",'caseload data'!$C:$C,$B$6, 'caseload data'!$B:$B, "custody")</f>
        <v>0</v>
      </c>
      <c r="M66" s="234">
        <f>SUMIFS('caseload data'!O:O,'caseload data'!$D:$D,"SPO",'caseload data'!$C:$C,$B$6, 'caseload data'!$B:$B, "custody")</f>
        <v>0</v>
      </c>
      <c r="N66" s="234">
        <f>SUMIFS('caseload data'!P:P,'caseload data'!$D:$D,"SPO",'caseload data'!$C:$C,$B$6, 'caseload data'!$B:$B, "custody")</f>
        <v>0</v>
      </c>
      <c r="O66" s="234">
        <f>SUMIFS('caseload data'!Q:Q,'caseload data'!$D:$D,"SPO",'caseload data'!$C:$C,$B$6, 'caseload data'!$B:$B, "custody")</f>
        <v>0</v>
      </c>
      <c r="P66" s="234">
        <f>SUMIFS('caseload data'!R:R,'caseload data'!$D:$D,"SPO",'caseload data'!$C:$C,$B$6, 'caseload data'!$B:$B, "custody")</f>
        <v>0</v>
      </c>
      <c r="Q66" s="234">
        <f>SUMIFS('caseload data'!S:S,'caseload data'!$D:$D,"SPO",'caseload data'!$C:$C,$B$6, 'caseload data'!$B:$B, "custody")</f>
        <v>0</v>
      </c>
      <c r="R66" s="234">
        <f>SUMIFS('caseload data'!T:T,'caseload data'!$D:$D,"SPO",'caseload data'!$C:$C,$B$6, 'caseload data'!$B:$B, "custody")</f>
        <v>0</v>
      </c>
      <c r="S66" s="234">
        <f>SUMIFS('caseload data'!U:U,'caseload data'!$D:$D,"SPO",'caseload data'!$C:$C,$B$6, 'caseload data'!$B:$B, "custody")</f>
        <v>0</v>
      </c>
      <c r="T66" s="234">
        <f t="shared" si="4"/>
        <v>0</v>
      </c>
      <c r="U66" s="239"/>
    </row>
    <row r="67" spans="2:21" ht="14.25" customHeight="1" x14ac:dyDescent="0.15">
      <c r="B67" s="75" t="s">
        <v>1339</v>
      </c>
      <c r="C67" s="234">
        <f>SUMIFS('caseload data'!E:E,'caseload data'!$D:$D,"DMY",'caseload data'!$C:$C,$B$6, 'caseload data'!$B:$B, "custody")</f>
        <v>0</v>
      </c>
      <c r="D67" s="234">
        <f>SUMIFS('caseload data'!F:F,'caseload data'!$D:$D,"DMY",'caseload data'!$C:$C,$B$6, 'caseload data'!$B:$B, "custody")</f>
        <v>0</v>
      </c>
      <c r="E67" s="234">
        <f>SUMIFS('caseload data'!G:G,'caseload data'!$D:$D,"DMY",'caseload data'!$C:$C,$B$6, 'caseload data'!$B:$B, "custody")</f>
        <v>0</v>
      </c>
      <c r="F67" s="234">
        <f>SUMIFS('caseload data'!H:H,'caseload data'!$D:$D,"DMY",'caseload data'!$C:$C,$B$6, 'caseload data'!$B:$B, "custody")</f>
        <v>0</v>
      </c>
      <c r="G67" s="234">
        <f>SUMIFS('caseload data'!I:I,'caseload data'!$D:$D,"DMY",'caseload data'!$C:$C,$B$6, 'caseload data'!$B:$B, "custody")</f>
        <v>0</v>
      </c>
      <c r="H67" s="234">
        <f>SUMIFS('caseload data'!J:J,'caseload data'!$D:$D,"DMY",'caseload data'!$C:$C,$B$6, 'caseload data'!$B:$B, "custody")</f>
        <v>0</v>
      </c>
      <c r="I67" s="234">
        <f>SUMIFS('caseload data'!K:K,'caseload data'!$D:$D,"DMY",'caseload data'!$C:$C,$B$6, 'caseload data'!$B:$B, "custody")</f>
        <v>0</v>
      </c>
      <c r="J67" s="234">
        <f>SUMIFS('caseload data'!L:L,'caseload data'!$D:$D,"DMY",'caseload data'!$C:$C,$B$6, 'caseload data'!$B:$B, "custody")</f>
        <v>0</v>
      </c>
      <c r="K67" s="234">
        <f>SUMIFS('caseload data'!M:M,'caseload data'!$D:$D,"DMY",'caseload data'!$C:$C,$B$6, 'caseload data'!$B:$B, "custody")</f>
        <v>0</v>
      </c>
      <c r="L67" s="234">
        <f>SUMIFS('caseload data'!N:N,'caseload data'!$D:$D,"DMY",'caseload data'!$C:$C,$B$6, 'caseload data'!$B:$B, "custody")</f>
        <v>0</v>
      </c>
      <c r="M67" s="234">
        <f>SUMIFS('caseload data'!O:O,'caseload data'!$D:$D,"DMY",'caseload data'!$C:$C,$B$6, 'caseload data'!$B:$B, "custody")</f>
        <v>0</v>
      </c>
      <c r="N67" s="234">
        <f>SUMIFS('caseload data'!P:P,'caseload data'!$D:$D,"DMY",'caseload data'!$C:$C,$B$6, 'caseload data'!$B:$B, "custody")</f>
        <v>0</v>
      </c>
      <c r="O67" s="234">
        <f>SUMIFS('caseload data'!Q:Q,'caseload data'!$D:$D,"DMY",'caseload data'!$C:$C,$B$6, 'caseload data'!$B:$B, "custody")</f>
        <v>0</v>
      </c>
      <c r="P67" s="234">
        <f>SUMIFS('caseload data'!R:R,'caseload data'!$D:$D,"DMY",'caseload data'!$C:$C,$B$6, 'caseload data'!$B:$B, "custody")</f>
        <v>0</v>
      </c>
      <c r="Q67" s="234">
        <f>SUMIFS('caseload data'!S:S,'caseload data'!$D:$D,"DMY",'caseload data'!$C:$C,$B$6, 'caseload data'!$B:$B, "custody")</f>
        <v>0</v>
      </c>
      <c r="R67" s="234">
        <f>SUMIFS('caseload data'!T:T,'caseload data'!$D:$D,"DMY",'caseload data'!$C:$C,$B$6, 'caseload data'!$B:$B, "custody")</f>
        <v>0</v>
      </c>
      <c r="S67" s="234">
        <f>SUMIFS('caseload data'!U:U,'caseload data'!$D:$D,"DMY",'caseload data'!$C:$C,$B$6, 'caseload data'!$B:$B, "custody")</f>
        <v>0</v>
      </c>
      <c r="T67" s="234">
        <f t="shared" ref="T67" si="7">SUM(C67:S67)</f>
        <v>0</v>
      </c>
      <c r="U67" s="239"/>
    </row>
    <row r="68" spans="2:21" ht="14.25" customHeight="1" x14ac:dyDescent="0.15">
      <c r="T68" s="239"/>
    </row>
    <row r="69" spans="2:21" ht="39" customHeight="1" x14ac:dyDescent="0.15">
      <c r="B69" s="301" t="str">
        <f>$B$6</f>
        <v>Hackney and City</v>
      </c>
      <c r="C69" s="437" t="s">
        <v>1030</v>
      </c>
      <c r="D69" s="433"/>
      <c r="E69" s="433"/>
      <c r="F69" s="433"/>
      <c r="G69" s="433"/>
      <c r="H69" s="433"/>
      <c r="I69" s="433"/>
      <c r="J69" s="433"/>
      <c r="K69" s="433"/>
      <c r="L69" s="433"/>
      <c r="M69" s="433"/>
      <c r="N69" s="433"/>
      <c r="O69" s="433"/>
      <c r="P69" s="433"/>
      <c r="Q69" s="433"/>
      <c r="R69" s="433"/>
      <c r="S69" s="433"/>
    </row>
    <row r="70" spans="2:21" ht="23.25" customHeight="1" x14ac:dyDescent="0.15">
      <c r="B70" s="95" t="s">
        <v>1001</v>
      </c>
      <c r="C70" s="38" t="s">
        <v>864</v>
      </c>
      <c r="D70" s="38" t="s">
        <v>865</v>
      </c>
      <c r="E70" s="38" t="s">
        <v>866</v>
      </c>
      <c r="F70" s="38" t="s">
        <v>867</v>
      </c>
      <c r="G70" s="38" t="s">
        <v>868</v>
      </c>
      <c r="H70" s="38" t="s">
        <v>869</v>
      </c>
      <c r="I70" s="38" t="s">
        <v>870</v>
      </c>
      <c r="J70" s="38" t="s">
        <v>871</v>
      </c>
      <c r="K70" s="38" t="s">
        <v>872</v>
      </c>
      <c r="L70" s="38" t="s">
        <v>873</v>
      </c>
      <c r="M70" s="38" t="s">
        <v>874</v>
      </c>
      <c r="N70" s="38" t="s">
        <v>875</v>
      </c>
      <c r="O70" s="38" t="s">
        <v>876</v>
      </c>
      <c r="P70" s="38" t="s">
        <v>877</v>
      </c>
      <c r="Q70" s="38" t="s">
        <v>878</v>
      </c>
      <c r="R70" s="38" t="s">
        <v>879</v>
      </c>
      <c r="S70" s="38" t="s">
        <v>1026</v>
      </c>
    </row>
    <row r="71" spans="2:21" x14ac:dyDescent="0.15">
      <c r="B71" s="75" t="s">
        <v>997</v>
      </c>
      <c r="C71" s="233" t="e">
        <f>AVERAGEIFS('caseload data'!E:E,'caseload data'!$D:$D,"PO",'caseload data'!$C:$C,$B$6)</f>
        <v>#DIV/0!</v>
      </c>
      <c r="D71" s="233" t="e">
        <f>AVERAGEIFS('caseload data'!F:F,'caseload data'!$D:$D,"PO",'caseload data'!$C:$C,$B$6)</f>
        <v>#DIV/0!</v>
      </c>
      <c r="E71" s="233" t="e">
        <f>AVERAGEIFS('caseload data'!G:G,'caseload data'!$D:$D,"PO",'caseload data'!$C:$C,$B$6)</f>
        <v>#DIV/0!</v>
      </c>
      <c r="F71" s="233" t="e">
        <f>AVERAGEIFS('caseload data'!H:H,'caseload data'!$D:$D,"PO",'caseload data'!$C:$C,$B$6)</f>
        <v>#DIV/0!</v>
      </c>
      <c r="G71" s="233" t="e">
        <f>AVERAGEIFS('caseload data'!I:I,'caseload data'!$D:$D,"PO",'caseload data'!$C:$C,$B$6)</f>
        <v>#DIV/0!</v>
      </c>
      <c r="H71" s="233" t="e">
        <f>AVERAGEIFS('caseload data'!J:J,'caseload data'!$D:$D,"PO",'caseload data'!$C:$C,$B$6)</f>
        <v>#DIV/0!</v>
      </c>
      <c r="I71" s="233" t="e">
        <f>AVERAGEIFS('caseload data'!K:K,'caseload data'!$D:$D,"PO",'caseload data'!$C:$C,$B$6)</f>
        <v>#DIV/0!</v>
      </c>
      <c r="J71" s="233" t="e">
        <f>AVERAGEIFS('caseload data'!L:L,'caseload data'!$D:$D,"PO",'caseload data'!$C:$C,$B$6)</f>
        <v>#DIV/0!</v>
      </c>
      <c r="K71" s="233" t="e">
        <f>AVERAGEIFS('caseload data'!M:M,'caseload data'!$D:$D,"PO",'caseload data'!$C:$C,$B$6)</f>
        <v>#DIV/0!</v>
      </c>
      <c r="L71" s="233" t="e">
        <f>AVERAGEIFS('caseload data'!N:N,'caseload data'!$D:$D,"PO",'caseload data'!$C:$C,$B$6)</f>
        <v>#DIV/0!</v>
      </c>
      <c r="M71" s="233" t="e">
        <f>AVERAGEIFS('caseload data'!O:O,'caseload data'!$D:$D,"PO",'caseload data'!$C:$C,$B$6)</f>
        <v>#DIV/0!</v>
      </c>
      <c r="N71" s="233" t="e">
        <f>AVERAGEIFS('caseload data'!P:P,'caseload data'!$D:$D,"PO",'caseload data'!$C:$C,$B$6)</f>
        <v>#DIV/0!</v>
      </c>
      <c r="O71" s="233" t="e">
        <f>AVERAGEIFS('caseload data'!Q:Q,'caseload data'!$D:$D,"PO",'caseload data'!$C:$C,$B$6)</f>
        <v>#DIV/0!</v>
      </c>
      <c r="P71" s="233" t="e">
        <f>AVERAGEIFS('caseload data'!R:R,'caseload data'!$D:$D,"PO",'caseload data'!$C:$C,$B$6)</f>
        <v>#DIV/0!</v>
      </c>
      <c r="Q71" s="233" t="e">
        <f>AVERAGEIFS('caseload data'!S:S,'caseload data'!$D:$D,"PO",'caseload data'!$C:$C,$B$6)</f>
        <v>#DIV/0!</v>
      </c>
      <c r="R71" s="233" t="e">
        <f>AVERAGEIFS('caseload data'!T:T,'caseload data'!$D:$D,"PO",'caseload data'!$C:$C,$B$6)</f>
        <v>#DIV/0!</v>
      </c>
      <c r="S71" s="233" t="e">
        <f>AVERAGEIFS('caseload data'!U:U,'caseload data'!$D:$D,"PO",'caseload data'!$C:$C,$B$6)</f>
        <v>#DIV/0!</v>
      </c>
    </row>
    <row r="72" spans="2:21" x14ac:dyDescent="0.15">
      <c r="B72" s="75" t="s">
        <v>1002</v>
      </c>
      <c r="C72" s="233" t="e">
        <f>AVERAGEIFS('caseload data'!E:E,'caseload data'!$D:$D,"PSO",'caseload data'!$C:$C,$B$6)</f>
        <v>#DIV/0!</v>
      </c>
      <c r="D72" s="233" t="e">
        <f>AVERAGEIFS('caseload data'!F:F,'caseload data'!$D:$D,"PSO",'caseload data'!$C:$C,$B$6)</f>
        <v>#DIV/0!</v>
      </c>
      <c r="E72" s="233" t="e">
        <f>AVERAGEIFS('caseload data'!G:G,'caseload data'!$D:$D,"PSO",'caseload data'!$C:$C,$B$6)</f>
        <v>#DIV/0!</v>
      </c>
      <c r="F72" s="233" t="e">
        <f>AVERAGEIFS('caseload data'!H:H,'caseload data'!$D:$D,"PSO",'caseload data'!$C:$C,$B$6)</f>
        <v>#DIV/0!</v>
      </c>
      <c r="G72" s="233" t="e">
        <f>AVERAGEIFS('caseload data'!I:I,'caseload data'!$D:$D,"PSO",'caseload data'!$C:$C,$B$6)</f>
        <v>#DIV/0!</v>
      </c>
      <c r="H72" s="233" t="e">
        <f>AVERAGEIFS('caseload data'!J:J,'caseload data'!$D:$D,"PSO",'caseload data'!$C:$C,$B$6)</f>
        <v>#DIV/0!</v>
      </c>
      <c r="I72" s="233" t="e">
        <f>AVERAGEIFS('caseload data'!K:K,'caseload data'!$D:$D,"PSO",'caseload data'!$C:$C,$B$6)</f>
        <v>#DIV/0!</v>
      </c>
      <c r="J72" s="233" t="e">
        <f>AVERAGEIFS('caseload data'!L:L,'caseload data'!$D:$D,"PSO",'caseload data'!$C:$C,$B$6)</f>
        <v>#DIV/0!</v>
      </c>
      <c r="K72" s="233" t="e">
        <f>AVERAGEIFS('caseload data'!M:M,'caseload data'!$D:$D,"PSO",'caseload data'!$C:$C,$B$6)</f>
        <v>#DIV/0!</v>
      </c>
      <c r="L72" s="233" t="e">
        <f>AVERAGEIFS('caseload data'!N:N,'caseload data'!$D:$D,"PSO",'caseload data'!$C:$C,$B$6)</f>
        <v>#DIV/0!</v>
      </c>
      <c r="M72" s="233" t="e">
        <f>AVERAGEIFS('caseload data'!O:O,'caseload data'!$D:$D,"PSO",'caseload data'!$C:$C,$B$6)</f>
        <v>#DIV/0!</v>
      </c>
      <c r="N72" s="233" t="e">
        <f>AVERAGEIFS('caseload data'!P:P,'caseload data'!$D:$D,"PSO",'caseload data'!$C:$C,$B$6)</f>
        <v>#DIV/0!</v>
      </c>
      <c r="O72" s="233" t="e">
        <f>AVERAGEIFS('caseload data'!Q:Q,'caseload data'!$D:$D,"PSO",'caseload data'!$C:$C,$B$6)</f>
        <v>#DIV/0!</v>
      </c>
      <c r="P72" s="233" t="e">
        <f>AVERAGEIFS('caseload data'!R:R,'caseload data'!$D:$D,"PSO",'caseload data'!$C:$C,$B$6)</f>
        <v>#DIV/0!</v>
      </c>
      <c r="Q72" s="233" t="e">
        <f>AVERAGEIFS('caseload data'!S:S,'caseload data'!$D:$D,"PSO",'caseload data'!$C:$C,$B$6)</f>
        <v>#DIV/0!</v>
      </c>
      <c r="R72" s="233" t="e">
        <f>AVERAGEIFS('caseload data'!T:T,'caseload data'!$D:$D,"PSO",'caseload data'!$C:$C,$B$6)</f>
        <v>#DIV/0!</v>
      </c>
      <c r="S72" s="233" t="e">
        <f>AVERAGEIFS('caseload data'!U:U,'caseload data'!$D:$D,"PSO",'caseload data'!$C:$C,$B$6)</f>
        <v>#DIV/0!</v>
      </c>
    </row>
    <row r="73" spans="2:21" x14ac:dyDescent="0.15">
      <c r="B73" s="75" t="s">
        <v>1003</v>
      </c>
      <c r="C73" s="233" t="e">
        <f>AVERAGEIFS('caseload data'!E:E,'caseload data'!$D:$D,"TPO",'caseload data'!$C:$C,$B$6)</f>
        <v>#DIV/0!</v>
      </c>
      <c r="D73" s="233" t="e">
        <f>AVERAGEIFS('caseload data'!F:F,'caseload data'!$D:$D,"TPO",'caseload data'!$C:$C,$B$6)</f>
        <v>#DIV/0!</v>
      </c>
      <c r="E73" s="233" t="e">
        <f>AVERAGEIFS('caseload data'!G:G,'caseload data'!$D:$D,"TPO",'caseload data'!$C:$C,$B$6)</f>
        <v>#DIV/0!</v>
      </c>
      <c r="F73" s="233" t="e">
        <f>AVERAGEIFS('caseload data'!H:H,'caseload data'!$D:$D,"TPO",'caseload data'!$C:$C,$B$6)</f>
        <v>#DIV/0!</v>
      </c>
      <c r="G73" s="233" t="e">
        <f>AVERAGEIFS('caseload data'!I:I,'caseload data'!$D:$D,"TPO",'caseload data'!$C:$C,$B$6)</f>
        <v>#DIV/0!</v>
      </c>
      <c r="H73" s="233" t="e">
        <f>AVERAGEIFS('caseload data'!J:J,'caseload data'!$D:$D,"TPO",'caseload data'!$C:$C,$B$6)</f>
        <v>#DIV/0!</v>
      </c>
      <c r="I73" s="233" t="e">
        <f>AVERAGEIFS('caseload data'!K:K,'caseload data'!$D:$D,"TPO",'caseload data'!$C:$C,$B$6)</f>
        <v>#DIV/0!</v>
      </c>
      <c r="J73" s="233" t="e">
        <f>AVERAGEIFS('caseload data'!L:L,'caseload data'!$D:$D,"TPO",'caseload data'!$C:$C,$B$6)</f>
        <v>#DIV/0!</v>
      </c>
      <c r="K73" s="233" t="e">
        <f>AVERAGEIFS('caseload data'!M:M,'caseload data'!$D:$D,"TPO",'caseload data'!$C:$C,$B$6)</f>
        <v>#DIV/0!</v>
      </c>
      <c r="L73" s="233" t="e">
        <f>AVERAGEIFS('caseload data'!N:N,'caseload data'!$D:$D,"TPO",'caseload data'!$C:$C,$B$6)</f>
        <v>#DIV/0!</v>
      </c>
      <c r="M73" s="233" t="e">
        <f>AVERAGEIFS('caseload data'!O:O,'caseload data'!$D:$D,"TPO",'caseload data'!$C:$C,$B$6)</f>
        <v>#DIV/0!</v>
      </c>
      <c r="N73" s="233" t="e">
        <f>AVERAGEIFS('caseload data'!P:P,'caseload data'!$D:$D,"TPO",'caseload data'!$C:$C,$B$6)</f>
        <v>#DIV/0!</v>
      </c>
      <c r="O73" s="233" t="e">
        <f>AVERAGEIFS('caseload data'!Q:Q,'caseload data'!$D:$D,"TPO",'caseload data'!$C:$C,$B$6)</f>
        <v>#DIV/0!</v>
      </c>
      <c r="P73" s="233" t="e">
        <f>AVERAGEIFS('caseload data'!R:R,'caseload data'!$D:$D,"TPO",'caseload data'!$C:$C,$B$6)</f>
        <v>#DIV/0!</v>
      </c>
      <c r="Q73" s="233" t="e">
        <f>AVERAGEIFS('caseload data'!S:S,'caseload data'!$D:$D,"TPO",'caseload data'!$C:$C,$B$6)</f>
        <v>#DIV/0!</v>
      </c>
      <c r="R73" s="233" t="e">
        <f>AVERAGEIFS('caseload data'!T:T,'caseload data'!$D:$D,"TPO",'caseload data'!$C:$C,$B$6)</f>
        <v>#DIV/0!</v>
      </c>
      <c r="S73" s="233" t="e">
        <f>AVERAGEIFS('caseload data'!U:U,'caseload data'!$D:$D,"TPO",'caseload data'!$C:$C,$B$6)</f>
        <v>#DIV/0!</v>
      </c>
    </row>
    <row r="74" spans="2:21" x14ac:dyDescent="0.15">
      <c r="B74" s="75" t="s">
        <v>1004</v>
      </c>
      <c r="C74" s="233" t="e">
        <f>AVERAGEIFS('caseload data'!E:E,'caseload data'!$D:$D,"SPO",'caseload data'!$C:$C,$B$6)</f>
        <v>#DIV/0!</v>
      </c>
      <c r="D74" s="233" t="e">
        <f>AVERAGEIFS('caseload data'!F:F,'caseload data'!$D:$D,"SPO",'caseload data'!$C:$C,$B$6)</f>
        <v>#DIV/0!</v>
      </c>
      <c r="E74" s="233" t="e">
        <f>AVERAGEIFS('caseload data'!G:G,'caseload data'!$D:$D,"SPO",'caseload data'!$C:$C,$B$6)</f>
        <v>#DIV/0!</v>
      </c>
      <c r="F74" s="233" t="e">
        <f>AVERAGEIFS('caseload data'!H:H,'caseload data'!$D:$D,"SPO",'caseload data'!$C:$C,$B$6)</f>
        <v>#DIV/0!</v>
      </c>
      <c r="G74" s="233" t="e">
        <f>AVERAGEIFS('caseload data'!I:I,'caseload data'!$D:$D,"SPO",'caseload data'!$C:$C,$B$6)</f>
        <v>#DIV/0!</v>
      </c>
      <c r="H74" s="233" t="e">
        <f>AVERAGEIFS('caseload data'!J:J,'caseload data'!$D:$D,"SPO",'caseload data'!$C:$C,$B$6)</f>
        <v>#DIV/0!</v>
      </c>
      <c r="I74" s="233" t="e">
        <f>AVERAGEIFS('caseload data'!K:K,'caseload data'!$D:$D,"SPO",'caseload data'!$C:$C,$B$6)</f>
        <v>#DIV/0!</v>
      </c>
      <c r="J74" s="233" t="e">
        <f>AVERAGEIFS('caseload data'!L:L,'caseload data'!$D:$D,"SPO",'caseload data'!$C:$C,$B$6)</f>
        <v>#DIV/0!</v>
      </c>
      <c r="K74" s="233" t="e">
        <f>AVERAGEIFS('caseload data'!M:M,'caseload data'!$D:$D,"SPO",'caseload data'!$C:$C,$B$6)</f>
        <v>#DIV/0!</v>
      </c>
      <c r="L74" s="233" t="e">
        <f>AVERAGEIFS('caseload data'!N:N,'caseload data'!$D:$D,"SPO",'caseload data'!$C:$C,$B$6)</f>
        <v>#DIV/0!</v>
      </c>
      <c r="M74" s="233" t="e">
        <f>AVERAGEIFS('caseload data'!O:O,'caseload data'!$D:$D,"SPO",'caseload data'!$C:$C,$B$6)</f>
        <v>#DIV/0!</v>
      </c>
      <c r="N74" s="233" t="e">
        <f>AVERAGEIFS('caseload data'!P:P,'caseload data'!$D:$D,"SPO",'caseload data'!$C:$C,$B$6)</f>
        <v>#DIV/0!</v>
      </c>
      <c r="O74" s="233" t="e">
        <f>AVERAGEIFS('caseload data'!Q:Q,'caseload data'!$D:$D,"SPO",'caseload data'!$C:$C,$B$6)</f>
        <v>#DIV/0!</v>
      </c>
      <c r="P74" s="233" t="e">
        <f>AVERAGEIFS('caseload data'!R:R,'caseload data'!$D:$D,"SPO",'caseload data'!$C:$C,$B$6)</f>
        <v>#DIV/0!</v>
      </c>
      <c r="Q74" s="233" t="e">
        <f>AVERAGEIFS('caseload data'!S:S,'caseload data'!$D:$D,"SPO",'caseload data'!$C:$C,$B$6)</f>
        <v>#DIV/0!</v>
      </c>
      <c r="R74" s="233" t="e">
        <f>AVERAGEIFS('caseload data'!T:T,'caseload data'!$D:$D,"SPO",'caseload data'!$C:$C,$B$6)</f>
        <v>#DIV/0!</v>
      </c>
      <c r="S74" s="233" t="e">
        <f>AVERAGEIFS('caseload data'!U:U,'caseload data'!$D:$D,"SPO",'caseload data'!$C:$C,$B$6)</f>
        <v>#DIV/0!</v>
      </c>
    </row>
    <row r="75" spans="2:21" x14ac:dyDescent="0.15">
      <c r="B75" s="75" t="s">
        <v>1339</v>
      </c>
      <c r="C75" s="233" t="e">
        <f>AVERAGEIFS('caseload data'!E:E,'caseload data'!$D:$D,"DMY",'caseload data'!$C:$C,$B$6)</f>
        <v>#DIV/0!</v>
      </c>
      <c r="D75" s="233" t="e">
        <f>AVERAGEIFS('caseload data'!F:F,'caseload data'!$D:$D,"DMY",'caseload data'!$C:$C,$B$6)</f>
        <v>#DIV/0!</v>
      </c>
      <c r="E75" s="233" t="e">
        <f>AVERAGEIFS('caseload data'!G:G,'caseload data'!$D:$D,"DMY",'caseload data'!$C:$C,$B$6)</f>
        <v>#DIV/0!</v>
      </c>
      <c r="F75" s="233" t="e">
        <f>AVERAGEIFS('caseload data'!H:H,'caseload data'!$D:$D,"DMY",'caseload data'!$C:$C,$B$6)</f>
        <v>#DIV/0!</v>
      </c>
      <c r="G75" s="233" t="e">
        <f>AVERAGEIFS('caseload data'!I:I,'caseload data'!$D:$D,"DMY",'caseload data'!$C:$C,$B$6)</f>
        <v>#DIV/0!</v>
      </c>
      <c r="H75" s="233" t="e">
        <f>AVERAGEIFS('caseload data'!J:J,'caseload data'!$D:$D,"DMY",'caseload data'!$C:$C,$B$6)</f>
        <v>#DIV/0!</v>
      </c>
      <c r="I75" s="233" t="e">
        <f>AVERAGEIFS('caseload data'!K:K,'caseload data'!$D:$D,"DMY",'caseload data'!$C:$C,$B$6)</f>
        <v>#DIV/0!</v>
      </c>
      <c r="J75" s="233" t="e">
        <f>AVERAGEIFS('caseload data'!L:L,'caseload data'!$D:$D,"DMY",'caseload data'!$C:$C,$B$6)</f>
        <v>#DIV/0!</v>
      </c>
      <c r="K75" s="233" t="e">
        <f>AVERAGEIFS('caseload data'!M:M,'caseload data'!$D:$D,"DMY",'caseload data'!$C:$C,$B$6)</f>
        <v>#DIV/0!</v>
      </c>
      <c r="L75" s="233" t="e">
        <f>AVERAGEIFS('caseload data'!N:N,'caseload data'!$D:$D,"DMY",'caseload data'!$C:$C,$B$6)</f>
        <v>#DIV/0!</v>
      </c>
      <c r="M75" s="233" t="e">
        <f>AVERAGEIFS('caseload data'!O:O,'caseload data'!$D:$D,"DMY",'caseload data'!$C:$C,$B$6)</f>
        <v>#DIV/0!</v>
      </c>
      <c r="N75" s="233" t="e">
        <f>AVERAGEIFS('caseload data'!P:P,'caseload data'!$D:$D,"DMY",'caseload data'!$C:$C,$B$6)</f>
        <v>#DIV/0!</v>
      </c>
      <c r="O75" s="233" t="e">
        <f>AVERAGEIFS('caseload data'!Q:Q,'caseload data'!$D:$D,"DMY",'caseload data'!$C:$C,$B$6)</f>
        <v>#DIV/0!</v>
      </c>
      <c r="P75" s="233" t="e">
        <f>AVERAGEIFS('caseload data'!R:R,'caseload data'!$D:$D,"DMY",'caseload data'!$C:$C,$B$6)</f>
        <v>#DIV/0!</v>
      </c>
      <c r="Q75" s="233" t="e">
        <f>AVERAGEIFS('caseload data'!S:S,'caseload data'!$D:$D,"DMY",'caseload data'!$C:$C,$B$6)</f>
        <v>#DIV/0!</v>
      </c>
      <c r="R75" s="233" t="e">
        <f>AVERAGEIFS('caseload data'!T:T,'caseload data'!$D:$D,"DMY",'caseload data'!$C:$C,$B$6)</f>
        <v>#DIV/0!</v>
      </c>
      <c r="S75" s="233" t="e">
        <f>AVERAGEIFS('caseload data'!U:U,'caseload data'!$D:$D,"DMY",'caseload data'!$C:$C,$B$6)</f>
        <v>#DIV/0!</v>
      </c>
    </row>
  </sheetData>
  <mergeCells count="9">
    <mergeCell ref="A1:M1"/>
    <mergeCell ref="C61:T61"/>
    <mergeCell ref="C69:S69"/>
    <mergeCell ref="C37:T37"/>
    <mergeCell ref="C45:T45"/>
    <mergeCell ref="C53:T53"/>
    <mergeCell ref="A2:M2"/>
    <mergeCell ref="H9:N9"/>
    <mergeCell ref="H16:M16"/>
  </mergeCells>
  <conditionalFormatting sqref="I11:L12">
    <cfRule type="cellIs" dxfId="6102" priority="3" operator="lessThan">
      <formula>0.9</formula>
    </cfRule>
    <cfRule type="cellIs" dxfId="6101" priority="4" operator="greaterThanOrEqual">
      <formula>1.1</formula>
    </cfRule>
  </conditionalFormatting>
  <conditionalFormatting sqref="M11:M12">
    <cfRule type="cellIs" dxfId="6100" priority="2" operator="greaterThan">
      <formula>1.1</formula>
    </cfRule>
  </conditionalFormatting>
  <conditionalFormatting sqref="N11:N12">
    <cfRule type="cellIs" dxfId="6099" priority="1" operator="greaterThan">
      <formula>1.1</formula>
    </cfRule>
  </conditionalFormatting>
  <dataValidations count="2">
    <dataValidation type="list" allowBlank="1" showInputMessage="1" showErrorMessage="1" sqref="B5" xr:uid="{3A229667-42A0-4F11-ACF2-69B3CF45CDF4}">
      <formula1>Regions</formula1>
    </dataValidation>
    <dataValidation type="list" allowBlank="1" showInputMessage="1" showErrorMessage="1" sqref="B6" xr:uid="{4F08ECC6-E0B8-4DC8-8E83-6EA78AD58749}">
      <formula1>OFFSET(Anchor_Cell,1,MATCH($B$5,Team_Regions,0)-1,COUNTA(OFFSET(Anchor_Cell,1,MATCH(B5,Regions,0)-1,100)),1)</formula1>
    </dataValidation>
  </dataValidation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AK134"/>
  <sheetViews>
    <sheetView showGridLines="0" topLeftCell="A43" zoomScale="85" zoomScaleNormal="85" workbookViewId="0">
      <selection activeCell="C63" sqref="C63"/>
    </sheetView>
  </sheetViews>
  <sheetFormatPr baseColWidth="10" defaultColWidth="8.83203125" defaultRowHeight="14" x14ac:dyDescent="0.15"/>
  <cols>
    <col min="2" max="2" width="46.6640625" customWidth="1"/>
    <col min="3" max="3" width="19.1640625" customWidth="1"/>
    <col min="4" max="4" width="20.5" bestFit="1" customWidth="1"/>
    <col min="5" max="5" width="14.83203125" customWidth="1"/>
    <col min="6" max="6" width="17.1640625" customWidth="1"/>
    <col min="7" max="7" width="18.5" customWidth="1"/>
    <col min="8" max="8" width="19.1640625" customWidth="1"/>
    <col min="9" max="9" width="15.5" customWidth="1"/>
    <col min="10" max="10" width="20.5" customWidth="1"/>
    <col min="11" max="11" width="26.5" bestFit="1" customWidth="1"/>
    <col min="12" max="12" width="16.83203125" customWidth="1"/>
    <col min="13" max="13" width="17.83203125" bestFit="1" customWidth="1"/>
    <col min="14" max="14" width="8.5" bestFit="1" customWidth="1"/>
    <col min="17" max="17" width="10" bestFit="1" customWidth="1"/>
    <col min="21" max="21" width="51.83203125" bestFit="1" customWidth="1"/>
  </cols>
  <sheetData>
    <row r="1" spans="1:19" ht="45.75" customHeight="1" x14ac:dyDescent="0.3">
      <c r="A1" s="431" t="s">
        <v>1039</v>
      </c>
      <c r="B1" s="431"/>
      <c r="C1" s="431"/>
      <c r="D1" s="431"/>
      <c r="E1" s="431"/>
      <c r="F1" s="431"/>
      <c r="G1" s="431"/>
      <c r="H1" s="431"/>
      <c r="I1" s="431"/>
      <c r="J1" s="431"/>
      <c r="K1" s="431"/>
      <c r="L1" s="431"/>
      <c r="M1" s="431"/>
      <c r="N1" s="279"/>
      <c r="O1" s="279"/>
      <c r="P1" s="279"/>
      <c r="Q1" s="279"/>
      <c r="R1" s="279"/>
      <c r="S1" s="279"/>
    </row>
    <row r="2" spans="1:19" ht="37.5" customHeight="1" x14ac:dyDescent="0.15">
      <c r="A2" s="426"/>
      <c r="B2" s="426"/>
      <c r="C2" s="426"/>
      <c r="D2" s="426"/>
      <c r="E2" s="426"/>
      <c r="F2" s="426"/>
      <c r="G2" s="426"/>
      <c r="H2" s="426"/>
      <c r="I2" s="426"/>
      <c r="J2" s="426"/>
      <c r="K2" s="426"/>
      <c r="L2" s="426"/>
      <c r="M2" s="426"/>
      <c r="N2" s="241"/>
      <c r="O2" s="241"/>
      <c r="P2" s="241"/>
      <c r="Q2" s="241"/>
      <c r="R2" s="241"/>
      <c r="S2" s="241"/>
    </row>
    <row r="4" spans="1:19" ht="57" customHeight="1" x14ac:dyDescent="0.15">
      <c r="B4" s="36" t="s">
        <v>1040</v>
      </c>
    </row>
    <row r="5" spans="1:19" ht="24" customHeight="1" x14ac:dyDescent="0.15">
      <c r="B5" s="54" t="s">
        <v>21</v>
      </c>
      <c r="F5" s="40"/>
    </row>
    <row r="6" spans="1:19" ht="32.25" customHeight="1" x14ac:dyDescent="0.15">
      <c r="B6" s="55" t="s">
        <v>238</v>
      </c>
    </row>
    <row r="8" spans="1:19" ht="23" x14ac:dyDescent="0.15">
      <c r="B8" s="446" t="s">
        <v>936</v>
      </c>
      <c r="C8" s="447"/>
      <c r="D8" s="447"/>
      <c r="E8" s="447"/>
      <c r="F8" s="448"/>
    </row>
    <row r="9" spans="1:19" ht="56" x14ac:dyDescent="0.15">
      <c r="B9" s="329" t="str">
        <f>B6</f>
        <v>Hammersmith, Fulham, Kensington, Chelsea and Westminster</v>
      </c>
      <c r="C9" s="219" t="s">
        <v>937</v>
      </c>
      <c r="D9" s="63" t="s">
        <v>938</v>
      </c>
      <c r="E9" s="63" t="s">
        <v>939</v>
      </c>
      <c r="F9" s="63" t="s">
        <v>1041</v>
      </c>
      <c r="H9" s="219" t="s">
        <v>1042</v>
      </c>
      <c r="I9" s="219" t="s">
        <v>942</v>
      </c>
      <c r="J9" s="64"/>
      <c r="K9" s="219" t="s">
        <v>943</v>
      </c>
      <c r="L9" s="219" t="s">
        <v>944</v>
      </c>
    </row>
    <row r="10" spans="1:19" x14ac:dyDescent="0.15">
      <c r="B10" s="336"/>
      <c r="C10" s="122" t="str">
        <f>IFERROR(SUM((SUMIFS('capacity data'!$G:$G,'capacity data'!$E:$E,"PO",'capacity data'!$B:$B,B6))-SUMIFS('capacity data'!$H:$H,'capacity data'!$E:$E,"PO",'capacity data'!$B:$B,B6))/SUMIFS('capacity data'!$G:$G,'capacity data'!$E:$E,"PO",'capacity data'!$B:$B,B6),"")</f>
        <v/>
      </c>
      <c r="D10" s="123" t="str">
        <f>IFERROR(SUM((SUMIFS('capacity data'!$G:$G,'capacity data'!$E:$E,"PSO",'capacity data'!$B:$B,B6))-SUMIFS('capacity data'!$H:$H,'capacity data'!$E:$E,"PSO",'capacity data'!$B:$B,B6))/SUMIFS('capacity data'!$G:$G,'capacity data'!$E:$E,"PSO",'capacity data'!$B:$B,B6),"")</f>
        <v/>
      </c>
      <c r="E10" s="123" t="str">
        <f>IFERROR(SUM((SUMIFS('capacity data'!$G:$G,'capacity data'!$E:$E,"TPO",'capacity data'!$B:$B,B6))-SUMIFS('capacity data'!$H:$H,'capacity data'!$E:$E,"TPO",'capacity data'!$B:$B,B6))/SUMIFS('capacity data'!$G:$G,'capacity data'!$E:$E,"TPO",'capacity data'!$B:$B,B6),"")</f>
        <v/>
      </c>
      <c r="F10" s="123" t="str">
        <f>IFERROR(SUM((SUMIFS('capacity data'!G:G,'capacity data'!B:B,'cluster overview'!B6))-SUMIFS('capacity data'!H:H,'capacity data'!B:B,'cluster overview'!B6))/SUMIFS('capacity data'!G:G,'capacity data'!B:B,'cluster overview'!B6),"")</f>
        <v/>
      </c>
      <c r="H10" s="66" t="e">
        <f>SUMIFS('capacity data'!$L:$L,'capacity data'!$B:$B,$B$6,'capacity data'!$E:$E,"PSO")/SUM((SUMIFS('capacity data'!$G:$G,'capacity data'!$E:$E,"PSO",'capacity data'!$B:$B,$B$6))-SUMIFS('capacity data'!$H:$H,'capacity data'!$E:$E,"PSO",'capacity data'!$B:$B,$B$6))</f>
        <v>#DIV/0!</v>
      </c>
      <c r="I10" s="211" t="e">
        <f>SUMIFS('capacity data'!$L:$L,'capacity data'!$B:$B,$B$6,'capacity data'!$E:$E,"PSO")/SUMIFS('capacity data'!$G:$G,'capacity data'!$E:$E,"PSO",'capacity data'!$B:$B,$B$6)</f>
        <v>#DIV/0!</v>
      </c>
      <c r="J10" s="64"/>
      <c r="K10" s="66" t="e">
        <f>SUMIFS('capacity data'!$L:$L,'capacity data'!$B:$B,$B$6,'capacity data'!$E:$E,"TPO")/SUM((SUMIFS('capacity data'!$G:$G,'capacity data'!$E:$E,"TPO",'capacity data'!$B:$B,$B$6))-SUMIFS('capacity data'!$H:$H,'capacity data'!$E:$E,"TPO",'capacity data'!$B:$B,$B$6))</f>
        <v>#DIV/0!</v>
      </c>
      <c r="L10" s="211" t="e">
        <f>SUMIFS('capacity data'!$L:$L,'capacity data'!$B:$B,$B$6,'capacity data'!$E:$E,"TPO")/SUMIFS('capacity data'!$G:$G,'capacity data'!$E:$E,"TPO",'capacity data'!$B:$B,$B$6)</f>
        <v>#DIV/0!</v>
      </c>
    </row>
    <row r="11" spans="1:19" x14ac:dyDescent="0.15">
      <c r="B11" s="106" t="s">
        <v>945</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data'!E:E,"TPO",'capacity data'!G:G))-SUMIF('capacity data'!E:E,"TPO",'capacity data'!H:H))/SUMIF('capacity data'!E:E,"TPO",'capacity data'!G:G)</f>
        <v>#DIV/0!</v>
      </c>
      <c r="F11" s="82" t="e">
        <f>SUM((SUM('capacity data'!G:G)-SUM('capacity data'!H:H))/SUM('capacity data'!G:G))</f>
        <v>#DIV/0!</v>
      </c>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row>
    <row r="12" spans="1:19" x14ac:dyDescent="0.15">
      <c r="B12" s="119" t="s">
        <v>1036</v>
      </c>
      <c r="C12" s="120" t="e">
        <f>+C10-C11</f>
        <v>#VALUE!</v>
      </c>
      <c r="D12" s="103" t="str">
        <f>IFERROR(+D10-D11,"N/A")</f>
        <v>N/A</v>
      </c>
      <c r="E12" s="103" t="str">
        <f>IFERROR(+E10-E11,"N/A")</f>
        <v>N/A</v>
      </c>
      <c r="F12" s="103" t="e">
        <f>+F10-F11</f>
        <v>#VALUE!</v>
      </c>
      <c r="H12" s="99" t="e">
        <f>+H10-H11</f>
        <v>#DIV/0!</v>
      </c>
      <c r="I12" s="121" t="e">
        <f>+I10-I11</f>
        <v>#DIV/0!</v>
      </c>
      <c r="J12" s="64"/>
      <c r="K12" s="99" t="e">
        <f>+K10-K11</f>
        <v>#DIV/0!</v>
      </c>
      <c r="L12" s="121" t="e">
        <f>+L10-L11</f>
        <v>#DIV/0!</v>
      </c>
    </row>
    <row r="14" spans="1:19" ht="63.75" customHeight="1" x14ac:dyDescent="0.15">
      <c r="B14" s="329" t="str">
        <f>B6</f>
        <v>Hammersmith, Fulham, Kensington, Chelsea and Westminster</v>
      </c>
      <c r="C14" s="70" t="s">
        <v>948</v>
      </c>
      <c r="D14" s="70" t="s">
        <v>949</v>
      </c>
      <c r="E14" s="70" t="s">
        <v>950</v>
      </c>
      <c r="F14" s="70" t="s">
        <v>951</v>
      </c>
      <c r="G14" s="70" t="s">
        <v>952</v>
      </c>
      <c r="H14" s="70" t="s">
        <v>953</v>
      </c>
      <c r="I14" s="70" t="s">
        <v>954</v>
      </c>
      <c r="J14" s="71" t="s">
        <v>955</v>
      </c>
      <c r="K14" s="70" t="s">
        <v>956</v>
      </c>
      <c r="L14" s="70" t="s">
        <v>957</v>
      </c>
      <c r="M14" s="70" t="s">
        <v>958</v>
      </c>
    </row>
    <row r="15" spans="1:19" ht="27.75" customHeight="1" x14ac:dyDescent="0.15">
      <c r="B15" s="330"/>
      <c r="C15" s="213">
        <f>COUNTIFS('capacity data'!B:B,'cluster overview'!B6,'capacity data'!E:E,"PO")</f>
        <v>0</v>
      </c>
      <c r="D15" s="213">
        <f>COUNTIFS('capacity data'!B:B,B6,'capacity data'!E:E,"PO",'capacity data'!F:F,"&gt;110%")</f>
        <v>0</v>
      </c>
      <c r="E15" s="73" t="e">
        <f>D15/C15</f>
        <v>#DIV/0!</v>
      </c>
      <c r="F15" s="213">
        <f>COUNTIFS('capacity data'!B:B,'cluster overview'!B6,'capacity data'!E:E,"PSO")</f>
        <v>0</v>
      </c>
      <c r="G15" s="213">
        <f>COUNTIFS('capacity data'!B:B,B6,'capacity data'!E:E,"PSO",'capacity data'!F:F,"&gt;110%")</f>
        <v>0</v>
      </c>
      <c r="H15" s="74" t="str">
        <f>IFERROR(G15/F15,"N/A")</f>
        <v>N/A</v>
      </c>
      <c r="I15" s="213">
        <f>COUNTIFS('capacity data'!B:B,B6,'capacity data'!E:E,"PSO",'capacity data'!F:F,"&lt;910%")</f>
        <v>0</v>
      </c>
      <c r="J15" s="74" t="str">
        <f>IFERROR(I15/F15,"")</f>
        <v/>
      </c>
      <c r="K15" s="213">
        <f>COUNTIFS('capacity data'!B:B,'cluster overview'!B6,'capacity data'!E:E,"TPO")</f>
        <v>0</v>
      </c>
      <c r="L15" s="213">
        <f>COUNTIFS('capacity data'!B:B,B6,'capacity data'!E:E,"TPO",'capacity data'!F:F,"&gt;110%")</f>
        <v>0</v>
      </c>
      <c r="M15" s="67" t="str">
        <f>IFERROR(L15/K15,"N/A")</f>
        <v>N/A</v>
      </c>
    </row>
    <row r="16" spans="1:19" x14ac:dyDescent="0.15">
      <c r="B16" s="106" t="s">
        <v>1043</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105" t="s">
        <v>1036</v>
      </c>
      <c r="C17" s="100" t="s">
        <v>960</v>
      </c>
      <c r="D17" s="100" t="s">
        <v>960</v>
      </c>
      <c r="E17" s="101" t="e">
        <f>+E15-E16</f>
        <v>#DIV/0!</v>
      </c>
      <c r="F17" s="100" t="s">
        <v>960</v>
      </c>
      <c r="G17" s="100" t="s">
        <v>960</v>
      </c>
      <c r="H17" s="101" t="str">
        <f>IFERROR(+H15-H16,"N/A")</f>
        <v>N/A</v>
      </c>
      <c r="I17" s="100" t="s">
        <v>960</v>
      </c>
      <c r="J17" s="101" t="str">
        <f>IFERROR(+J15-J16,"N/A")</f>
        <v>N/A</v>
      </c>
      <c r="K17" s="100" t="s">
        <v>960</v>
      </c>
      <c r="L17" s="100" t="s">
        <v>960</v>
      </c>
      <c r="M17" s="101" t="str">
        <f>IFERROR(+M15-M16,"N/A")</f>
        <v>N/A</v>
      </c>
    </row>
    <row r="19" spans="2:13" ht="23" x14ac:dyDescent="0.15">
      <c r="B19" s="446" t="s">
        <v>961</v>
      </c>
      <c r="C19" s="447"/>
      <c r="D19" s="447"/>
      <c r="E19" s="447"/>
      <c r="F19" s="448"/>
      <c r="G19" s="449"/>
      <c r="H19" s="450"/>
    </row>
    <row r="20" spans="2:13" ht="51" customHeight="1" x14ac:dyDescent="0.15">
      <c r="B20" s="76"/>
      <c r="C20" s="63" t="s">
        <v>1044</v>
      </c>
      <c r="D20" s="63" t="s">
        <v>1045</v>
      </c>
      <c r="E20" s="63" t="s">
        <v>1046</v>
      </c>
      <c r="F20" s="63" t="s">
        <v>965</v>
      </c>
      <c r="G20" s="219" t="s">
        <v>1047</v>
      </c>
      <c r="H20" s="219" t="s">
        <v>1048</v>
      </c>
    </row>
    <row r="21" spans="2:13" ht="28" x14ac:dyDescent="0.15">
      <c r="B21" s="335" t="str">
        <f>B6</f>
        <v>Hammersmith, Fulham, Kensington, Chelsea and Westminster</v>
      </c>
      <c r="C21" s="75">
        <f>SUMIFS('capacity data'!K:K,'capacity data'!B:B,'cluster overview'!B6,'capacity data'!E:E,"SPO")</f>
        <v>0</v>
      </c>
      <c r="D21" s="75">
        <f>SUMIFS('capacity data'!K:K,'capacity data'!B:B,'cluster overview'!B6,'capacity data'!E:E,"DMY")</f>
        <v>0</v>
      </c>
      <c r="E21" s="75">
        <f>SUM(C21:D21)</f>
        <v>0</v>
      </c>
      <c r="F21" s="77">
        <f>SUMIF('capacity data'!B:B,'cluster overview'!B6,'capacity data'!K:K)</f>
        <v>0</v>
      </c>
      <c r="G21" s="66" t="e">
        <f>E21/F21</f>
        <v>#DIV/0!</v>
      </c>
      <c r="H21" s="78">
        <f>SUMIF('caseload data'!C:C,'cluster overview'!B102,'caseload data'!U:U)</f>
        <v>0</v>
      </c>
    </row>
    <row r="22" spans="2:13" x14ac:dyDescent="0.15">
      <c r="B22" s="79" t="s">
        <v>1043</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116" t="s">
        <v>1036</v>
      </c>
      <c r="C23" s="100" t="s">
        <v>960</v>
      </c>
      <c r="D23" s="100" t="s">
        <v>960</v>
      </c>
      <c r="E23" s="100" t="s">
        <v>960</v>
      </c>
      <c r="F23" s="104" t="s">
        <v>960</v>
      </c>
      <c r="G23" s="104" t="e">
        <f>+G21-G22</f>
        <v>#DIV/0!</v>
      </c>
      <c r="H23" s="100" t="s">
        <v>960</v>
      </c>
    </row>
    <row r="26" spans="2:13" ht="23" x14ac:dyDescent="0.15">
      <c r="B26" s="446" t="s">
        <v>968</v>
      </c>
      <c r="C26" s="447"/>
      <c r="D26" s="447"/>
      <c r="E26" s="447"/>
      <c r="F26" s="448"/>
      <c r="G26" s="449"/>
      <c r="H26" s="450"/>
      <c r="I26" s="449"/>
      <c r="J26" s="450"/>
      <c r="K26" s="450"/>
    </row>
    <row r="27" spans="2:13" ht="53.25" customHeight="1" x14ac:dyDescent="0.15">
      <c r="B27" s="84"/>
      <c r="C27" s="219" t="s">
        <v>969</v>
      </c>
      <c r="D27" s="219" t="s">
        <v>970</v>
      </c>
      <c r="E27" s="219" t="s">
        <v>971</v>
      </c>
      <c r="F27" s="219" t="s">
        <v>972</v>
      </c>
      <c r="G27" s="219" t="s">
        <v>973</v>
      </c>
      <c r="H27" s="219" t="s">
        <v>974</v>
      </c>
      <c r="I27" s="219" t="s">
        <v>975</v>
      </c>
      <c r="J27" s="219" t="s">
        <v>976</v>
      </c>
      <c r="K27" s="219" t="s">
        <v>977</v>
      </c>
    </row>
    <row r="28" spans="2:13" ht="28" x14ac:dyDescent="0.15">
      <c r="B28" s="335" t="str">
        <f>B6</f>
        <v>Hammersmith, Fulham, Kensington, Chelsea and Westminster</v>
      </c>
      <c r="C28" s="85">
        <f>SUMIFS('capacity data'!I:I,'capacity data'!B:B,'cluster overview'!B6,'capacity data'!E:E,"PO")</f>
        <v>0</v>
      </c>
      <c r="D28" s="86">
        <f>SUMIFS('capacity data'!J:J,'capacity data'!B:B,'cluster overview'!B6,'capacity data'!E:E,"PO")</f>
        <v>0</v>
      </c>
      <c r="E28" s="87" t="e">
        <f>D28/C28</f>
        <v>#DIV/0!</v>
      </c>
      <c r="F28" s="86">
        <f>SUMIFS('capacity data'!I:I,'capacity data'!B:B,'cluster overview'!B6,'capacity data'!E:E,"PSO")</f>
        <v>0</v>
      </c>
      <c r="G28" s="86">
        <f>SUMIFS('capacity data'!J:J,'capacity data'!B:B,'cluster overview'!B6,'capacity data'!E:E,"PSO")</f>
        <v>0</v>
      </c>
      <c r="H28" s="87" t="str">
        <f>IFERROR(G28/F28,"N/A")</f>
        <v>N/A</v>
      </c>
      <c r="I28" s="86">
        <f>SUMIFS('capacity data'!I:I,'capacity data'!B:B,'cluster overview'!B6,'capacity data'!E:E,"TPO")</f>
        <v>0</v>
      </c>
      <c r="J28" s="88">
        <f>SUMIFS('capacity data'!J:J,'capacity data'!B:B,'cluster overview'!B6,'capacity data'!E:E,"TPO")</f>
        <v>0</v>
      </c>
      <c r="K28" s="87" t="str">
        <f>IFERROR(J28/I28,"N/A")</f>
        <v>N/A</v>
      </c>
    </row>
    <row r="29" spans="2:13" x14ac:dyDescent="0.15">
      <c r="B29" s="106" t="s">
        <v>1049</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1036</v>
      </c>
      <c r="C30" s="100" t="s">
        <v>960</v>
      </c>
      <c r="D30" s="100" t="s">
        <v>960</v>
      </c>
      <c r="E30" s="99" t="e">
        <f>+E28-E29</f>
        <v>#DIV/0!</v>
      </c>
      <c r="F30" s="100" t="s">
        <v>960</v>
      </c>
      <c r="G30" s="100" t="s">
        <v>960</v>
      </c>
      <c r="H30" s="99" t="str">
        <f>IFERROR(+H28-H29,"N/A")</f>
        <v>N/A</v>
      </c>
      <c r="I30" s="100" t="s">
        <v>960</v>
      </c>
      <c r="J30" s="100" t="s">
        <v>960</v>
      </c>
      <c r="K30" s="99" t="str">
        <f>IFERROR(+K28-K29,"N/A")</f>
        <v>N/A</v>
      </c>
    </row>
    <row r="32" spans="2:13" ht="37.5" customHeight="1" x14ac:dyDescent="0.15">
      <c r="B32" s="459" t="s">
        <v>1050</v>
      </c>
      <c r="C32" s="460"/>
      <c r="D32" s="460"/>
      <c r="F32" s="461" t="s">
        <v>1051</v>
      </c>
      <c r="G32" s="462"/>
    </row>
    <row r="33" spans="1:7" ht="60.75" customHeight="1" x14ac:dyDescent="0.15">
      <c r="B33" s="76" t="s">
        <v>1052</v>
      </c>
      <c r="C33" s="219" t="s">
        <v>1053</v>
      </c>
      <c r="D33" s="219" t="s">
        <v>1054</v>
      </c>
      <c r="E33" s="64"/>
      <c r="F33" s="215" t="s">
        <v>1055</v>
      </c>
      <c r="G33" s="214">
        <f>COUNTIFS('reductions data'!B:B,'cluster overview'!B6,'reductions data'!K:K,"ACTIVE")</f>
        <v>0</v>
      </c>
    </row>
    <row r="34" spans="1:7" x14ac:dyDescent="0.15">
      <c r="B34" s="112" t="s">
        <v>892</v>
      </c>
      <c r="C34" s="89">
        <f>COUNTIFS('reductions data'!B:B,'cluster overview'!$B$6,'reductions data'!G:G,'cluster overview'!B34)</f>
        <v>0</v>
      </c>
      <c r="D34" s="90">
        <f>SUMIFS('reductions data'!H:H,'reductions data'!B:B,'cluster overview'!$B$6,'reductions data'!$G:$G,'cluster overview'!B34)</f>
        <v>0</v>
      </c>
      <c r="E34" s="64"/>
      <c r="F34" s="457" t="s">
        <v>1056</v>
      </c>
      <c r="G34" s="458">
        <f>SUMIF('reductions data'!B:B,'cluster overview'!B6,'reductions data'!H:H)</f>
        <v>0</v>
      </c>
    </row>
    <row r="35" spans="1:7" x14ac:dyDescent="0.15">
      <c r="B35" s="113" t="s">
        <v>894</v>
      </c>
      <c r="C35" s="89">
        <f>COUNTIFS('reductions data'!B:B,'cluster overview'!$B$6,'reductions data'!G:G,'cluster overview'!B35)</f>
        <v>0</v>
      </c>
      <c r="D35" s="90">
        <f>SUMIFS('reductions data'!H:H,'reductions data'!B:B,'cluster overview'!$B$6,'reductions data'!$G:$G,'cluster overview'!B35)</f>
        <v>0</v>
      </c>
      <c r="E35" s="64"/>
      <c r="F35" s="420"/>
      <c r="G35" s="420"/>
    </row>
    <row r="36" spans="1:7" x14ac:dyDescent="0.15">
      <c r="B36" s="113" t="s">
        <v>893</v>
      </c>
      <c r="C36" s="89">
        <f>COUNTIFS('reductions data'!B:B,'cluster overview'!$B$6,'reductions data'!G:G,'cluster overview'!B36)</f>
        <v>0</v>
      </c>
      <c r="D36" s="90">
        <f>SUMIFS('reductions data'!H:H,'reductions data'!B:B,'cluster overview'!$B$6,'reductions data'!$G:$G,'cluster overview'!B36)</f>
        <v>0</v>
      </c>
      <c r="E36" s="91"/>
      <c r="F36" s="420"/>
      <c r="G36" s="420"/>
    </row>
    <row r="37" spans="1:7" x14ac:dyDescent="0.15">
      <c r="B37" s="113" t="s">
        <v>895</v>
      </c>
      <c r="C37" s="89">
        <f>COUNTIFS('reductions data'!B:B,'cluster overview'!$B$6,'reductions data'!G:G,'cluster overview'!B37)</f>
        <v>0</v>
      </c>
      <c r="D37" s="90">
        <f>SUMIFS('reductions data'!H:H,'reductions data'!B:B,'cluster overview'!$B$6,'reductions data'!$G:$G,'cluster overview'!B37)</f>
        <v>0</v>
      </c>
      <c r="E37" s="91"/>
      <c r="F37" s="463" t="s">
        <v>1057</v>
      </c>
      <c r="G37" s="458">
        <f>SUMIF('capacity data'!B:B,'cluster overview'!B6,'capacity data'!I:I)</f>
        <v>0</v>
      </c>
    </row>
    <row r="38" spans="1:7" x14ac:dyDescent="0.15">
      <c r="B38" s="113" t="s">
        <v>896</v>
      </c>
      <c r="C38" s="89">
        <f>COUNTIFS('reductions data'!B:B,'cluster overview'!$B$6,'reductions data'!G:G,'cluster overview'!B38)</f>
        <v>0</v>
      </c>
      <c r="D38" s="90">
        <f>SUMIFS('reductions data'!H:H,'reductions data'!B:B,'cluster overview'!$B$6,'reductions data'!$G:$G,'cluster overview'!B38)</f>
        <v>0</v>
      </c>
      <c r="E38" s="91"/>
      <c r="F38" s="420"/>
      <c r="G38" s="420"/>
    </row>
    <row r="39" spans="1:7" x14ac:dyDescent="0.15">
      <c r="B39" s="113" t="s">
        <v>897</v>
      </c>
      <c r="C39" s="89">
        <f>COUNTIFS('reductions data'!B:B,'cluster overview'!$B$6,'reductions data'!G:G,'cluster overview'!B39)</f>
        <v>0</v>
      </c>
      <c r="D39" s="90">
        <f>SUMIFS('reductions data'!H:H,'reductions data'!B:B,'cluster overview'!$B$6,'reductions data'!$G:$G,'cluster overview'!B39)</f>
        <v>0</v>
      </c>
      <c r="E39" s="91"/>
      <c r="F39" s="420"/>
      <c r="G39" s="420"/>
    </row>
    <row r="40" spans="1:7" x14ac:dyDescent="0.15">
      <c r="B40" s="113" t="s">
        <v>898</v>
      </c>
      <c r="C40" s="89">
        <f>COUNTIFS('reductions data'!B:B,'cluster overview'!$B$6,'reductions data'!G:G,'cluster overview'!B40)</f>
        <v>0</v>
      </c>
      <c r="D40" s="90">
        <f>SUMIFS('reductions data'!H:H,'reductions data'!B:B,'cluster overview'!$B$6,'reductions data'!$G:$G,'cluster overview'!B40)</f>
        <v>0</v>
      </c>
      <c r="E40" s="91"/>
      <c r="F40" s="224"/>
      <c r="G40" s="224"/>
    </row>
    <row r="41" spans="1:7" ht="15.75" customHeight="1" x14ac:dyDescent="0.15">
      <c r="A41" s="91"/>
      <c r="B41" s="113" t="s">
        <v>899</v>
      </c>
      <c r="C41" s="89">
        <f>COUNTIFS('reductions data'!B:B,'cluster overview'!$B$6,'reductions data'!G:G,'cluster overview'!B41)</f>
        <v>0</v>
      </c>
      <c r="D41" s="90">
        <f>SUMIFS('reductions data'!H:H,'reductions data'!B:B,'cluster overview'!$B$6,'reductions data'!$G:$G,'cluster overview'!B41)</f>
        <v>0</v>
      </c>
      <c r="E41" s="91"/>
      <c r="F41" s="464" t="s">
        <v>1058</v>
      </c>
      <c r="G41" s="466" t="e">
        <f>G34/G37</f>
        <v>#DIV/0!</v>
      </c>
    </row>
    <row r="42" spans="1:7" ht="15.75" customHeight="1" x14ac:dyDescent="0.15">
      <c r="A42" s="91"/>
      <c r="B42" s="113" t="s">
        <v>1257</v>
      </c>
      <c r="C42" s="89">
        <f>COUNTIFS('reductions data'!B:B,'cluster overview'!$B$6,'reductions data'!G:G,'cluster overview'!B42)</f>
        <v>0</v>
      </c>
      <c r="D42" s="90">
        <f>SUMIFS('reductions data'!H:H,'reductions data'!B:B,'cluster overview'!$B$6,'reductions data'!$G:$G,'cluster overview'!B42)</f>
        <v>0</v>
      </c>
      <c r="E42" s="91"/>
      <c r="F42" s="465"/>
      <c r="G42" s="467"/>
    </row>
    <row r="43" spans="1:7" x14ac:dyDescent="0.15">
      <c r="B43" s="113" t="s">
        <v>900</v>
      </c>
      <c r="C43" s="89">
        <f>COUNTIFS('reductions data'!B:B,'cluster overview'!$B$6,'reductions data'!G:G,'cluster overview'!B43)</f>
        <v>0</v>
      </c>
      <c r="D43" s="90">
        <f>SUMIFS('reductions data'!H:H,'reductions data'!B:B,'cluster overview'!$B$6,'reductions data'!$G:$G,'cluster overview'!B43)</f>
        <v>0</v>
      </c>
      <c r="E43" s="91"/>
      <c r="F43" s="452"/>
      <c r="G43" s="455"/>
    </row>
    <row r="44" spans="1:7" x14ac:dyDescent="0.15">
      <c r="B44" s="113" t="s">
        <v>901</v>
      </c>
      <c r="C44" s="89">
        <f>COUNTIFS('reductions data'!B:B,'cluster overview'!$B$6,'reductions data'!G:G,'cluster overview'!B44)</f>
        <v>0</v>
      </c>
      <c r="D44" s="90">
        <f>SUMIFS('reductions data'!H:H,'reductions data'!B:B,'cluster overview'!$B$6,'reductions data'!$G:$G,'cluster overview'!B44)</f>
        <v>0</v>
      </c>
      <c r="E44" s="91"/>
      <c r="F44" s="452"/>
      <c r="G44" s="455"/>
    </row>
    <row r="45" spans="1:7" x14ac:dyDescent="0.15">
      <c r="B45" s="113" t="s">
        <v>902</v>
      </c>
      <c r="C45" s="89">
        <f>COUNTIFS('reductions data'!B:B,'cluster overview'!$B$6,'reductions data'!G:G,'cluster overview'!B45)</f>
        <v>0</v>
      </c>
      <c r="D45" s="90">
        <f>SUMIFS('reductions data'!H:H,'reductions data'!B:B,'cluster overview'!$B$6,'reductions data'!$G:$G,'cluster overview'!B45)</f>
        <v>0</v>
      </c>
      <c r="E45" s="91"/>
      <c r="F45" s="452"/>
      <c r="G45" s="455"/>
    </row>
    <row r="46" spans="1:7" x14ac:dyDescent="0.15">
      <c r="B46" s="113" t="s">
        <v>903</v>
      </c>
      <c r="C46" s="89">
        <f>COUNTIFS('reductions data'!B:B,'cluster overview'!$B$6,'reductions data'!G:G,'cluster overview'!B46)</f>
        <v>0</v>
      </c>
      <c r="D46" s="90">
        <f>SUMIFS('reductions data'!H:H,'reductions data'!B:B,'cluster overview'!$B$6,'reductions data'!$G:$G,'cluster overview'!B46)</f>
        <v>0</v>
      </c>
      <c r="E46" s="91"/>
      <c r="F46" s="453"/>
      <c r="G46" s="456"/>
    </row>
    <row r="47" spans="1:7" ht="15.75" customHeight="1" x14ac:dyDescent="0.15">
      <c r="B47" s="113" t="s">
        <v>905</v>
      </c>
      <c r="C47" s="89">
        <f>COUNTIFS('reductions data'!B:B,'cluster overview'!$B$6,'reductions data'!G:G,'cluster overview'!B47)</f>
        <v>0</v>
      </c>
      <c r="D47" s="90">
        <f>SUMIFS('reductions data'!H:H,'reductions data'!B:B,'cluster overview'!$B$6,'reductions data'!$G:$G,'cluster overview'!B47)</f>
        <v>0</v>
      </c>
      <c r="E47" s="91"/>
      <c r="F47" s="451" t="s">
        <v>1059</v>
      </c>
      <c r="G47" s="454" t="e">
        <f>+G41-'div &amp; regional reduction hours'!N18</f>
        <v>#DIV/0!</v>
      </c>
    </row>
    <row r="48" spans="1:7" x14ac:dyDescent="0.15">
      <c r="B48" s="113" t="s">
        <v>908</v>
      </c>
      <c r="C48" s="89">
        <f>COUNTIFS('reductions data'!B:B,'cluster overview'!$B$6,'reductions data'!G:G,'cluster overview'!B48)</f>
        <v>0</v>
      </c>
      <c r="D48" s="90">
        <f>SUMIFS('reductions data'!H:H,'reductions data'!B:B,'cluster overview'!$B$6,'reductions data'!$G:$G,'cluster overview'!B48)</f>
        <v>0</v>
      </c>
      <c r="E48" s="91"/>
      <c r="F48" s="452"/>
      <c r="G48" s="455"/>
    </row>
    <row r="49" spans="2:7" x14ac:dyDescent="0.15">
      <c r="B49" s="113" t="s">
        <v>904</v>
      </c>
      <c r="C49" s="89">
        <f>COUNTIFS('reductions data'!B:B,'cluster overview'!$B$6,'reductions data'!G:G,'cluster overview'!B49)</f>
        <v>0</v>
      </c>
      <c r="D49" s="90">
        <f>SUMIFS('reductions data'!H:H,'reductions data'!B:B,'cluster overview'!$B$6,'reductions data'!$G:$G,'cluster overview'!B49)</f>
        <v>0</v>
      </c>
      <c r="E49" s="91"/>
      <c r="F49" s="452"/>
      <c r="G49" s="455"/>
    </row>
    <row r="50" spans="2:7" x14ac:dyDescent="0.15">
      <c r="B50" s="113" t="s">
        <v>989</v>
      </c>
      <c r="C50" s="89">
        <f>COUNTIFS('reductions data'!B:B,'cluster overview'!$B$6,'reductions data'!G:G,'cluster overview'!B50)</f>
        <v>0</v>
      </c>
      <c r="D50" s="90">
        <f>SUMIFS('reductions data'!H:H,'reductions data'!B:B,'cluster overview'!$B$6,'reductions data'!$G:$G,'cluster overview'!B50)</f>
        <v>0</v>
      </c>
      <c r="E50" s="91"/>
      <c r="F50" s="452"/>
      <c r="G50" s="455"/>
    </row>
    <row r="51" spans="2:7" x14ac:dyDescent="0.15">
      <c r="B51" s="113" t="s">
        <v>909</v>
      </c>
      <c r="C51" s="89">
        <f>COUNTIFS('reductions data'!B:B,'cluster overview'!$B$6,'reductions data'!G:G,'cluster overview'!B51)</f>
        <v>0</v>
      </c>
      <c r="D51" s="90">
        <f>SUMIFS('reductions data'!H:H,'reductions data'!B:B,'cluster overview'!$B$6,'reductions data'!$G:$G,'cluster overview'!B51)</f>
        <v>0</v>
      </c>
      <c r="E51" s="91"/>
      <c r="F51" s="453"/>
      <c r="G51" s="456"/>
    </row>
    <row r="52" spans="2:7" x14ac:dyDescent="0.15">
      <c r="B52" s="113" t="s">
        <v>910</v>
      </c>
      <c r="C52" s="89">
        <f>COUNTIFS('reductions data'!B:B,'cluster overview'!$B$6,'reductions data'!G:G,'cluster overview'!B52)</f>
        <v>0</v>
      </c>
      <c r="D52" s="90">
        <f>SUMIFS('reductions data'!H:H,'reductions data'!B:B,'cluster overview'!$B$6,'reductions data'!$G:$G,'cluster overview'!B52)</f>
        <v>0</v>
      </c>
      <c r="E52" s="91"/>
      <c r="F52" s="91"/>
      <c r="G52" s="64"/>
    </row>
    <row r="53" spans="2:7" x14ac:dyDescent="0.15">
      <c r="B53" s="113" t="s">
        <v>911</v>
      </c>
      <c r="C53" s="89">
        <f>COUNTIFS('reductions data'!B:B,'cluster overview'!$B$6,'reductions data'!G:G,'cluster overview'!B53)</f>
        <v>0</v>
      </c>
      <c r="D53" s="90">
        <f>SUMIFS('reductions data'!H:H,'reductions data'!B:B,'cluster overview'!$B$6,'reductions data'!$G:$G,'cluster overview'!B53)</f>
        <v>0</v>
      </c>
      <c r="E53" s="91"/>
      <c r="F53" s="91"/>
      <c r="G53" s="64"/>
    </row>
    <row r="54" spans="2:7" x14ac:dyDescent="0.15">
      <c r="B54" s="113" t="s">
        <v>912</v>
      </c>
      <c r="C54" s="89">
        <f>COUNTIFS('reductions data'!B:B,'cluster overview'!$B$6,'reductions data'!G:G,'cluster overview'!B54)</f>
        <v>0</v>
      </c>
      <c r="D54" s="90">
        <f>SUMIFS('reductions data'!H:H,'reductions data'!B:B,'cluster overview'!$B$6,'reductions data'!$G:$G,'cluster overview'!B54)</f>
        <v>0</v>
      </c>
      <c r="E54" s="91"/>
      <c r="F54" s="91"/>
      <c r="G54" s="64"/>
    </row>
    <row r="55" spans="2:7" x14ac:dyDescent="0.15">
      <c r="B55" s="113" t="s">
        <v>913</v>
      </c>
      <c r="C55" s="89">
        <f>COUNTIFS('reductions data'!B:B,'cluster overview'!$B$6,'reductions data'!G:G,'cluster overview'!B55)</f>
        <v>0</v>
      </c>
      <c r="D55" s="90">
        <f>SUMIFS('reductions data'!H:H,'reductions data'!B:B,'cluster overview'!$B$6,'reductions data'!$G:$G,'cluster overview'!B55)</f>
        <v>0</v>
      </c>
      <c r="E55" s="91"/>
      <c r="F55" s="91"/>
      <c r="G55" s="64"/>
    </row>
    <row r="56" spans="2:7" x14ac:dyDescent="0.15">
      <c r="B56" s="113" t="s">
        <v>914</v>
      </c>
      <c r="C56" s="89">
        <f>COUNTIFS('reductions data'!B:B,'cluster overview'!$B$6,'reductions data'!G:G,'cluster overview'!B56)</f>
        <v>0</v>
      </c>
      <c r="D56" s="90">
        <f>SUMIFS('reductions data'!H:H,'reductions data'!B:B,'cluster overview'!$B$6,'reductions data'!$G:$G,'cluster overview'!B56)</f>
        <v>0</v>
      </c>
      <c r="E56" s="91"/>
      <c r="F56" s="91"/>
      <c r="G56" s="64"/>
    </row>
    <row r="57" spans="2:7" x14ac:dyDescent="0.15">
      <c r="B57" s="113" t="s">
        <v>915</v>
      </c>
      <c r="C57" s="89">
        <f>COUNTIFS('reductions data'!B:B,'cluster overview'!$B$6,'reductions data'!G:G,'cluster overview'!B57)</f>
        <v>0</v>
      </c>
      <c r="D57" s="90">
        <f>SUMIFS('reductions data'!H:H,'reductions data'!B:B,'cluster overview'!$B$6,'reductions data'!$G:$G,'cluster overview'!B57)</f>
        <v>0</v>
      </c>
      <c r="E57" s="91"/>
      <c r="F57" s="91"/>
      <c r="G57" s="64"/>
    </row>
    <row r="58" spans="2:7" ht="16.5" customHeight="1" x14ac:dyDescent="0.15">
      <c r="B58" s="113" t="s">
        <v>1250</v>
      </c>
      <c r="C58" s="89">
        <f>COUNTIFS('reductions data'!B:B,'cluster overview'!$B$6,'reductions data'!G:G,'cluster overview'!B58)</f>
        <v>0</v>
      </c>
      <c r="D58" s="90">
        <f>SUMIFS('reductions data'!H:H,'reductions data'!B:B,'cluster overview'!$B$6,'reductions data'!$G:$G,'cluster overview'!B58)</f>
        <v>0</v>
      </c>
      <c r="E58" s="91"/>
      <c r="F58" s="91"/>
      <c r="G58" s="64"/>
    </row>
    <row r="59" spans="2:7" x14ac:dyDescent="0.15">
      <c r="B59" s="113" t="s">
        <v>1251</v>
      </c>
      <c r="C59" s="89">
        <f>COUNTIFS('reductions data'!B:B,'cluster overview'!$B$6,'reductions data'!G:G,'cluster overview'!B59)</f>
        <v>0</v>
      </c>
      <c r="D59" s="90">
        <f>SUMIFS('reductions data'!H:H,'reductions data'!B:B,'cluster overview'!$B$6,'reductions data'!$G:$G,'cluster overview'!B59)</f>
        <v>0</v>
      </c>
      <c r="E59" s="91"/>
      <c r="F59" s="91"/>
      <c r="G59" s="64"/>
    </row>
    <row r="60" spans="2:7" x14ac:dyDescent="0.15">
      <c r="B60" s="322" t="s">
        <v>1248</v>
      </c>
      <c r="C60" s="89">
        <f>COUNTIFS('reductions data'!B:B,'cluster overview'!$B$6,'reductions data'!G:G,'cluster overview'!B60)</f>
        <v>0</v>
      </c>
      <c r="D60" s="90">
        <f>SUMIFS('reductions data'!H:H,'reductions data'!B:B,'cluster overview'!$B$6,'reductions data'!$G:$G,'cluster overview'!B60)</f>
        <v>0</v>
      </c>
      <c r="E60" s="91"/>
      <c r="F60" s="91"/>
      <c r="G60" s="64"/>
    </row>
    <row r="61" spans="2:7" x14ac:dyDescent="0.15">
      <c r="B61" s="322" t="s">
        <v>1249</v>
      </c>
      <c r="C61" s="89">
        <f>COUNTIFS('reductions data'!B:B,'cluster overview'!$B$6,'reductions data'!G:G,'cluster overview'!B61)</f>
        <v>0</v>
      </c>
      <c r="D61" s="90">
        <f>SUMIFS('reductions data'!H:H,'reductions data'!B:B,'cluster overview'!$B$6,'reductions data'!$G:$G,'cluster overview'!B61)</f>
        <v>0</v>
      </c>
      <c r="E61" s="91"/>
      <c r="F61" s="91"/>
      <c r="G61" s="64"/>
    </row>
    <row r="62" spans="2:7" x14ac:dyDescent="0.15">
      <c r="B62" s="322" t="s">
        <v>1258</v>
      </c>
      <c r="C62" s="89">
        <f>COUNTIFS('reductions data'!B:B,'cluster overview'!$B$6,'reductions data'!G:G,'cluster overview'!B62)</f>
        <v>0</v>
      </c>
      <c r="D62" s="90">
        <f>SUMIFS('reductions data'!H:H,'reductions data'!B:B,'cluster overview'!$B$6,'reductions data'!$G:$G,'cluster overview'!B62)</f>
        <v>0</v>
      </c>
      <c r="E62" s="91"/>
      <c r="F62" s="91"/>
      <c r="G62" s="64"/>
    </row>
    <row r="63" spans="2:7" x14ac:dyDescent="0.15">
      <c r="B63" s="322" t="s">
        <v>1254</v>
      </c>
      <c r="C63" s="327">
        <f>COUNTIFS('reductions data'!B:B,'cluster overview'!$B$6,'reductions data'!G:G,'cluster overview'!B63)</f>
        <v>0</v>
      </c>
      <c r="D63" s="90">
        <f>SUMIFS('reductions data'!H:H,'reductions data'!B:B,'cluster overview'!$B$6,'reductions data'!$G:$G,'cluster overview'!B63)</f>
        <v>0</v>
      </c>
      <c r="E63" s="91"/>
      <c r="F63" s="91"/>
      <c r="G63" s="64"/>
    </row>
    <row r="64" spans="2:7" x14ac:dyDescent="0.15">
      <c r="B64" s="322" t="s">
        <v>1255</v>
      </c>
      <c r="C64" s="327">
        <f>COUNTIFS('reductions data'!B:B,'cluster overview'!$B$6,'reductions data'!G:G,'cluster overview'!B64)</f>
        <v>0</v>
      </c>
      <c r="D64" s="90">
        <f>SUMIFS('reductions data'!H:H,'reductions data'!B:B,'cluster overview'!$B$6,'reductions data'!$G:$G,'cluster overview'!B64)</f>
        <v>0</v>
      </c>
      <c r="E64" s="91"/>
      <c r="F64" s="91"/>
      <c r="G64" s="64"/>
    </row>
    <row r="65" spans="2:7" x14ac:dyDescent="0.15">
      <c r="B65" s="322" t="s">
        <v>1259</v>
      </c>
      <c r="C65" s="327">
        <f>COUNTIFS('reductions data'!B:B,'cluster overview'!$B$6,'reductions data'!G:G,'cluster overview'!B65)</f>
        <v>0</v>
      </c>
      <c r="D65" s="90">
        <f>SUMIFS('reductions data'!H:H,'reductions data'!B:B,'cluster overview'!$B$6,'reductions data'!$G:$G,'cluster overview'!B65)</f>
        <v>0</v>
      </c>
      <c r="E65" s="91"/>
      <c r="F65" s="91"/>
      <c r="G65" s="64"/>
    </row>
    <row r="66" spans="2:7" x14ac:dyDescent="0.15">
      <c r="B66" s="112" t="s">
        <v>1252</v>
      </c>
      <c r="C66" s="89">
        <f>COUNTIFS('reductions data'!B:B,'cluster overview'!$B$6,'reductions data'!G:G,'cluster overview'!B66)</f>
        <v>0</v>
      </c>
      <c r="D66" s="90">
        <f>SUMIFS('reductions data'!H:H,'reductions data'!B:B,'cluster overview'!$B$6,'reductions data'!$G:$G,'cluster overview'!B66)</f>
        <v>0</v>
      </c>
      <c r="E66" s="91"/>
      <c r="F66" s="91"/>
      <c r="G66" s="64"/>
    </row>
    <row r="67" spans="2:7" x14ac:dyDescent="0.15">
      <c r="B67" s="113" t="s">
        <v>1253</v>
      </c>
      <c r="C67" s="89">
        <f>COUNTIFS('reductions data'!B:B,'cluster overview'!$B$6,'reductions data'!G:G,'cluster overview'!B67)</f>
        <v>0</v>
      </c>
      <c r="D67" s="90">
        <f>SUMIFS('reductions data'!H:H,'reductions data'!B:B,'cluster overview'!$B$6,'reductions data'!$G:$G,'cluster overview'!B67)</f>
        <v>0</v>
      </c>
      <c r="E67" s="91"/>
      <c r="F67" s="91"/>
      <c r="G67" s="64"/>
    </row>
    <row r="68" spans="2:7" x14ac:dyDescent="0.15">
      <c r="B68" s="113" t="s">
        <v>917</v>
      </c>
      <c r="C68" s="89">
        <f>COUNTIFS('reductions data'!B:B,'cluster overview'!$B$6,'reductions data'!G:G,'cluster overview'!B68)</f>
        <v>0</v>
      </c>
      <c r="D68" s="90">
        <f>SUMIFS('reductions data'!H:H,'reductions data'!B:B,'cluster overview'!$B$6,'reductions data'!$G:$G,'cluster overview'!B68)</f>
        <v>0</v>
      </c>
      <c r="E68" s="91"/>
      <c r="F68" s="91"/>
      <c r="G68" s="64"/>
    </row>
    <row r="69" spans="2:7" x14ac:dyDescent="0.15">
      <c r="B69" s="113" t="s">
        <v>918</v>
      </c>
      <c r="C69" s="89">
        <f>COUNTIFS('reductions data'!B:B,'cluster overview'!$B$6,'reductions data'!G:G,'cluster overview'!B69)</f>
        <v>0</v>
      </c>
      <c r="D69" s="90">
        <f>SUMIFS('reductions data'!H:H,'reductions data'!B:B,'cluster overview'!$B$6,'reductions data'!$G:$G,'cluster overview'!B69)</f>
        <v>0</v>
      </c>
      <c r="E69" s="91"/>
      <c r="F69" s="91"/>
      <c r="G69" s="64"/>
    </row>
    <row r="70" spans="2:7" x14ac:dyDescent="0.15">
      <c r="B70" s="113" t="s">
        <v>919</v>
      </c>
      <c r="C70" s="89">
        <f>COUNTIFS('reductions data'!B:B,'cluster overview'!$B$6,'reductions data'!G:G,'cluster overview'!B70)</f>
        <v>0</v>
      </c>
      <c r="D70" s="90">
        <f>SUMIFS('reductions data'!H:H,'reductions data'!B:B,'cluster overview'!$B$6,'reductions data'!$G:$G,'cluster overview'!B70)</f>
        <v>0</v>
      </c>
      <c r="E70" s="91"/>
      <c r="F70" s="91"/>
      <c r="G70" s="64"/>
    </row>
    <row r="71" spans="2:7" x14ac:dyDescent="0.15">
      <c r="B71" s="113" t="s">
        <v>920</v>
      </c>
      <c r="C71" s="89">
        <f>COUNTIFS('reductions data'!B:B,'cluster overview'!$B$6,'reductions data'!G:G,'cluster overview'!B71)</f>
        <v>0</v>
      </c>
      <c r="D71" s="90">
        <f>SUMIFS('reductions data'!H:H,'reductions data'!B:B,'cluster overview'!$B$6,'reductions data'!$G:$G,'cluster overview'!B71)</f>
        <v>0</v>
      </c>
      <c r="E71" s="91"/>
      <c r="F71" s="91"/>
      <c r="G71" s="64"/>
    </row>
    <row r="72" spans="2:7" x14ac:dyDescent="0.15">
      <c r="B72" s="113" t="s">
        <v>921</v>
      </c>
      <c r="C72" s="89">
        <f>COUNTIFS('reductions data'!B:B,'cluster overview'!$B$6,'reductions data'!G:G,'cluster overview'!B72)</f>
        <v>0</v>
      </c>
      <c r="D72" s="90">
        <f>SUMIFS('reductions data'!H:H,'reductions data'!B:B,'cluster overview'!$B$6,'reductions data'!$G:$G,'cluster overview'!B72)</f>
        <v>0</v>
      </c>
      <c r="E72" s="91"/>
      <c r="F72" s="91"/>
      <c r="G72" s="64"/>
    </row>
    <row r="73" spans="2:7" x14ac:dyDescent="0.15">
      <c r="B73" s="113" t="s">
        <v>922</v>
      </c>
      <c r="C73" s="89">
        <f>COUNTIFS('reductions data'!B:B,'cluster overview'!$B$6,'reductions data'!G:G,'cluster overview'!B73)</f>
        <v>0</v>
      </c>
      <c r="D73" s="90">
        <f>SUMIFS('reductions data'!H:H,'reductions data'!B:B,'cluster overview'!$B$6,'reductions data'!$G:$G,'cluster overview'!B73)</f>
        <v>0</v>
      </c>
      <c r="E73" s="91"/>
      <c r="F73" s="91"/>
      <c r="G73" s="64"/>
    </row>
    <row r="74" spans="2:7" x14ac:dyDescent="0.15">
      <c r="B74" s="113" t="s">
        <v>916</v>
      </c>
      <c r="C74" s="89">
        <f>COUNTIFS('reductions data'!B:B,'cluster overview'!$B$6,'reductions data'!G:G,'cluster overview'!B74)</f>
        <v>0</v>
      </c>
      <c r="D74" s="90">
        <f>SUMIFS('reductions data'!H:H,'reductions data'!B:B,'cluster overview'!$B$6,'reductions data'!$G:$G,'cluster overview'!B74)</f>
        <v>0</v>
      </c>
      <c r="E74" s="91"/>
      <c r="F74" s="91"/>
      <c r="G74" s="64"/>
    </row>
    <row r="75" spans="2:7" x14ac:dyDescent="0.15">
      <c r="B75" s="113" t="s">
        <v>923</v>
      </c>
      <c r="C75" s="89">
        <f>COUNTIFS('reductions data'!B:B,'cluster overview'!$B$6,'reductions data'!G:G,'cluster overview'!B75)</f>
        <v>0</v>
      </c>
      <c r="D75" s="90">
        <f>SUMIFS('reductions data'!H:H,'reductions data'!B:B,'cluster overview'!$B$6,'reductions data'!$G:$G,'cluster overview'!B75)</f>
        <v>0</v>
      </c>
      <c r="E75" s="91"/>
      <c r="F75" s="91"/>
      <c r="G75" s="64"/>
    </row>
    <row r="76" spans="2:7" x14ac:dyDescent="0.15">
      <c r="B76" s="113" t="s">
        <v>924</v>
      </c>
      <c r="C76" s="89">
        <f>COUNTIFS('reductions data'!B:B,'cluster overview'!$B$6,'reductions data'!G:G,'cluster overview'!B76)</f>
        <v>0</v>
      </c>
      <c r="D76" s="90">
        <f>SUMIFS('reductions data'!H:H,'reductions data'!B:B,'cluster overview'!$B$6,'reductions data'!$G:$G,'cluster overview'!B76)</f>
        <v>0</v>
      </c>
      <c r="E76" s="91"/>
      <c r="F76" s="91"/>
      <c r="G76" s="64"/>
    </row>
    <row r="77" spans="2:7" x14ac:dyDescent="0.15">
      <c r="B77" s="113" t="s">
        <v>925</v>
      </c>
      <c r="C77" s="89">
        <f>COUNTIFS('reductions data'!B:B,'cluster overview'!$B$6,'reductions data'!G:G,'cluster overview'!B77)</f>
        <v>0</v>
      </c>
      <c r="D77" s="90">
        <f>SUMIFS('reductions data'!H:H,'reductions data'!B:B,'cluster overview'!$B$6,'reductions data'!$G:$G,'cluster overview'!B77)</f>
        <v>0</v>
      </c>
      <c r="E77" s="91"/>
      <c r="F77" s="91"/>
      <c r="G77" s="64"/>
    </row>
    <row r="78" spans="2:7" x14ac:dyDescent="0.15">
      <c r="B78" s="113" t="s">
        <v>926</v>
      </c>
      <c r="C78" s="89">
        <f>COUNTIFS('reductions data'!B:B,'cluster overview'!$B$6,'reductions data'!G:G,'cluster overview'!B78)</f>
        <v>0</v>
      </c>
      <c r="D78" s="90">
        <f>SUMIFS('reductions data'!H:H,'reductions data'!B:B,'cluster overview'!$B$6,'reductions data'!$G:$G,'cluster overview'!B78)</f>
        <v>0</v>
      </c>
      <c r="E78" s="91"/>
      <c r="F78" s="91"/>
      <c r="G78" s="64"/>
    </row>
    <row r="79" spans="2:7" x14ac:dyDescent="0.15">
      <c r="B79" s="113" t="s">
        <v>927</v>
      </c>
      <c r="C79" s="89">
        <f>COUNTIFS('reductions data'!B:B,'cluster overview'!$B$6,'reductions data'!G:G,'cluster overview'!B79)</f>
        <v>0</v>
      </c>
      <c r="D79" s="90">
        <f>SUMIFS('reductions data'!H:H,'reductions data'!B:B,'cluster overview'!$B$6,'reductions data'!$G:$G,'cluster overview'!B79)</f>
        <v>0</v>
      </c>
      <c r="E79" s="91"/>
      <c r="F79" s="91"/>
      <c r="G79" s="64"/>
    </row>
    <row r="80" spans="2:7" x14ac:dyDescent="0.15">
      <c r="B80" s="113" t="s">
        <v>928</v>
      </c>
      <c r="C80" s="89">
        <f>COUNTIFS('reductions data'!B:B,'cluster overview'!$B$6,'reductions data'!G:G,'cluster overview'!B80)</f>
        <v>0</v>
      </c>
      <c r="D80" s="90">
        <f>SUMIFS('reductions data'!H:H,'reductions data'!B:B,'cluster overview'!$B$6,'reductions data'!$G:$G,'cluster overview'!B80)</f>
        <v>0</v>
      </c>
      <c r="E80" s="91"/>
      <c r="F80" s="91"/>
      <c r="G80" s="64"/>
    </row>
    <row r="81" spans="2:19" x14ac:dyDescent="0.15">
      <c r="B81" s="113" t="s">
        <v>929</v>
      </c>
      <c r="C81" s="89">
        <f>COUNTIFS('reductions data'!B:B,'cluster overview'!$B$6,'reductions data'!G:G,'cluster overview'!B81)</f>
        <v>0</v>
      </c>
      <c r="D81" s="90">
        <f>SUMIFS('reductions data'!H:H,'reductions data'!B:B,'cluster overview'!$B$6,'reductions data'!$G:$G,'cluster overview'!B81)</f>
        <v>0</v>
      </c>
      <c r="E81" s="91"/>
      <c r="F81" s="91"/>
      <c r="G81" s="64"/>
    </row>
    <row r="82" spans="2:19" x14ac:dyDescent="0.15">
      <c r="B82" s="113" t="s">
        <v>930</v>
      </c>
      <c r="C82" s="89">
        <f>COUNTIFS('reductions data'!B:B,'cluster overview'!$B$6,'reductions data'!G:G,'cluster overview'!B82)</f>
        <v>0</v>
      </c>
      <c r="D82" s="90">
        <f>SUMIFS('reductions data'!H:H,'reductions data'!B:B,'cluster overview'!$B$6,'reductions data'!$G:$G,'cluster overview'!B82)</f>
        <v>0</v>
      </c>
      <c r="E82" s="91"/>
      <c r="F82" s="91"/>
      <c r="G82" s="64"/>
    </row>
    <row r="83" spans="2:19" x14ac:dyDescent="0.15">
      <c r="B83" s="91"/>
      <c r="C83" s="91"/>
      <c r="D83" s="91"/>
      <c r="E83" s="91"/>
      <c r="F83" s="91"/>
      <c r="G83" s="64"/>
    </row>
    <row r="84" spans="2:19" ht="16" x14ac:dyDescent="0.15">
      <c r="B84" s="58"/>
      <c r="C84" s="56"/>
      <c r="D84" s="57"/>
      <c r="E84" s="91"/>
      <c r="F84" s="91"/>
      <c r="G84" s="64"/>
    </row>
    <row r="85" spans="2:19" ht="16" x14ac:dyDescent="0.15">
      <c r="B85" s="58"/>
      <c r="C85" s="56"/>
      <c r="D85" s="57"/>
      <c r="E85" s="91"/>
      <c r="F85" s="91"/>
      <c r="G85" s="64"/>
    </row>
    <row r="86" spans="2:19" ht="20" x14ac:dyDescent="0.15">
      <c r="B86" s="445" t="s">
        <v>1060</v>
      </c>
      <c r="C86" s="445"/>
      <c r="D86" s="445"/>
      <c r="E86" s="445"/>
      <c r="F86" s="445"/>
      <c r="G86" s="445"/>
      <c r="H86" s="445"/>
      <c r="I86" s="445"/>
      <c r="J86" s="445"/>
      <c r="K86" s="445"/>
      <c r="L86" s="445"/>
      <c r="M86" s="445"/>
      <c r="N86" s="445"/>
      <c r="O86" s="445"/>
      <c r="P86" s="445"/>
      <c r="Q86" s="445"/>
      <c r="R86" s="445"/>
      <c r="S86" s="445"/>
    </row>
    <row r="87" spans="2:19" ht="28" x14ac:dyDescent="0.15">
      <c r="B87" s="334" t="str">
        <f>B6</f>
        <v>Hammersmith, Fulham, Kensington, Chelsea and Westminster</v>
      </c>
      <c r="C87" s="38" t="s">
        <v>864</v>
      </c>
      <c r="D87" s="38" t="s">
        <v>865</v>
      </c>
      <c r="E87" s="38" t="s">
        <v>866</v>
      </c>
      <c r="F87" s="38" t="s">
        <v>867</v>
      </c>
      <c r="G87" s="38" t="s">
        <v>868</v>
      </c>
      <c r="H87" s="38" t="s">
        <v>869</v>
      </c>
      <c r="I87" s="38" t="s">
        <v>870</v>
      </c>
      <c r="J87" s="38" t="s">
        <v>871</v>
      </c>
      <c r="K87" s="38" t="s">
        <v>872</v>
      </c>
      <c r="L87" s="38" t="s">
        <v>873</v>
      </c>
      <c r="M87" s="38" t="s">
        <v>874</v>
      </c>
      <c r="N87" s="38" t="s">
        <v>875</v>
      </c>
      <c r="O87" s="38" t="s">
        <v>876</v>
      </c>
      <c r="P87" s="38" t="s">
        <v>877</v>
      </c>
      <c r="Q87" s="38" t="s">
        <v>878</v>
      </c>
      <c r="R87" s="38" t="s">
        <v>879</v>
      </c>
      <c r="S87" s="38" t="s">
        <v>994</v>
      </c>
    </row>
    <row r="88" spans="2:19" x14ac:dyDescent="0.15">
      <c r="B88" s="75" t="s">
        <v>991</v>
      </c>
      <c r="C88" s="94">
        <f>SUMIFS('caseload data'!E:E,'caseload data'!$B:$B,"custody",'caseload data'!$C:$C,$B$87)</f>
        <v>0</v>
      </c>
      <c r="D88" s="94">
        <f>SUMIFS('caseload data'!F:F,'caseload data'!$B:$B,"custody",'caseload data'!$C:$C,$B$87)</f>
        <v>0</v>
      </c>
      <c r="E88" s="94">
        <f>SUMIFS('caseload data'!G:G,'caseload data'!$B:$B,"custody",'caseload data'!$C:$C,$B$87)</f>
        <v>0</v>
      </c>
      <c r="F88" s="94">
        <f>SUMIFS('caseload data'!H:H,'caseload data'!$B:$B,"custody",'caseload data'!$C:$C,$B$87)</f>
        <v>0</v>
      </c>
      <c r="G88" s="94">
        <f>SUMIFS('caseload data'!I:I,'caseload data'!$B:$B,"custody",'caseload data'!$C:$C,$B$87)</f>
        <v>0</v>
      </c>
      <c r="H88" s="94">
        <f>SUMIFS('caseload data'!J:J,'caseload data'!$B:$B,"custody",'caseload data'!$C:$C,$B$87)</f>
        <v>0</v>
      </c>
      <c r="I88" s="94">
        <f>SUMIFS('caseload data'!K:K,'caseload data'!$B:$B,"custody",'caseload data'!$C:$C,$B$87)</f>
        <v>0</v>
      </c>
      <c r="J88" s="94">
        <f>SUMIFS('caseload data'!L:L,'caseload data'!$B:$B,"custody",'caseload data'!$C:$C,$B$87)</f>
        <v>0</v>
      </c>
      <c r="K88" s="94">
        <f>SUMIFS('caseload data'!M:M,'caseload data'!$B:$B,"custody",'caseload data'!$C:$C,$B$87)</f>
        <v>0</v>
      </c>
      <c r="L88" s="94">
        <f>SUMIFS('caseload data'!N:N,'caseload data'!$B:$B,"custody",'caseload data'!$C:$C,$B$87)</f>
        <v>0</v>
      </c>
      <c r="M88" s="94">
        <f>SUMIFS('caseload data'!O:O,'caseload data'!$B:$B,"custody",'caseload data'!$C:$C,$B$87)</f>
        <v>0</v>
      </c>
      <c r="N88" s="94">
        <f>SUMIFS('caseload data'!P:P,'caseload data'!$B:$B,"custody",'caseload data'!$C:$C,$B$87)</f>
        <v>0</v>
      </c>
      <c r="O88" s="94">
        <f>SUMIFS('caseload data'!Q:Q,'caseload data'!$B:$B,"custody",'caseload data'!$C:$C,$B$87)</f>
        <v>0</v>
      </c>
      <c r="P88" s="94">
        <f>SUMIFS('caseload data'!R:R,'caseload data'!$B:$B,"custody",'caseload data'!$C:$C,$B$87)</f>
        <v>0</v>
      </c>
      <c r="Q88" s="94">
        <f>SUMIFS('caseload data'!S:S,'caseload data'!$B:$B,"custody",'caseload data'!$C:$C,$B$87)</f>
        <v>0</v>
      </c>
      <c r="R88" s="94">
        <f>SUMIFS('caseload data'!T:T,'caseload data'!$B:$B,"custody",'caseload data'!$C:$C,$B$87)</f>
        <v>0</v>
      </c>
      <c r="S88" s="94">
        <f>SUMIFS('caseload data'!$V:$V,'caseload data'!C:C,$B$87,'caseload data'!B:B,"custody")</f>
        <v>0</v>
      </c>
    </row>
    <row r="89" spans="2:19" x14ac:dyDescent="0.15">
      <c r="B89" s="75" t="s">
        <v>992</v>
      </c>
      <c r="C89" s="75">
        <f>SUMIFS('caseload data'!E:E,'caseload data'!$B:$B,"licence",'caseload data'!$C:$C,$B$87)</f>
        <v>0</v>
      </c>
      <c r="D89" s="75">
        <f>SUMIFS('caseload data'!F:F,'caseload data'!$B:$B,"licence",'caseload data'!$C:$C,$B$87)</f>
        <v>0</v>
      </c>
      <c r="E89" s="75">
        <f>SUMIFS('caseload data'!G:G,'caseload data'!$B:$B,"licence",'caseload data'!$C:$C,$B$87)</f>
        <v>0</v>
      </c>
      <c r="F89" s="75">
        <f>SUMIFS('caseload data'!H:H,'caseload data'!$B:$B,"licence",'caseload data'!$C:$C,$B$87)</f>
        <v>0</v>
      </c>
      <c r="G89" s="75">
        <f>SUMIFS('caseload data'!I:I,'caseload data'!$B:$B,"licence",'caseload data'!$C:$C,$B$87)</f>
        <v>0</v>
      </c>
      <c r="H89" s="75">
        <f>SUMIFS('caseload data'!J:J,'caseload data'!$B:$B,"licence",'caseload data'!$C:$C,$B$87)</f>
        <v>0</v>
      </c>
      <c r="I89" s="75">
        <f>SUMIFS('caseload data'!K:K,'caseload data'!$B:$B,"licence",'caseload data'!$C:$C,$B$87)</f>
        <v>0</v>
      </c>
      <c r="J89" s="75">
        <f>SUMIFS('caseload data'!L:L,'caseload data'!$B:$B,"licence",'caseload data'!$C:$C,$B$87)</f>
        <v>0</v>
      </c>
      <c r="K89" s="75">
        <f>SUMIFS('caseload data'!M:M,'caseload data'!$B:$B,"licence",'caseload data'!$C:$C,$B$87)</f>
        <v>0</v>
      </c>
      <c r="L89" s="75">
        <f>SUMIFS('caseload data'!N:N,'caseload data'!$B:$B,"licence",'caseload data'!$C:$C,$B$87)</f>
        <v>0</v>
      </c>
      <c r="M89" s="75">
        <f>SUMIFS('caseload data'!O:O,'caseload data'!$B:$B,"licence",'caseload data'!$C:$C,$B$87)</f>
        <v>0</v>
      </c>
      <c r="N89" s="75">
        <f>SUMIFS('caseload data'!P:P,'caseload data'!$B:$B,"licence",'caseload data'!$C:$C,$B$87)</f>
        <v>0</v>
      </c>
      <c r="O89" s="75">
        <f>SUMIFS('caseload data'!Q:Q,'caseload data'!$B:$B,"licence",'caseload data'!$C:$C,$B$87)</f>
        <v>0</v>
      </c>
      <c r="P89" s="75">
        <f>SUMIFS('caseload data'!R:R,'caseload data'!$B:$B,"licence",'caseload data'!$C:$C,$B$87)</f>
        <v>0</v>
      </c>
      <c r="Q89" s="75">
        <f>SUMIFS('caseload data'!S:S,'caseload data'!$B:$B,"licence",'caseload data'!$C:$C,$B$87)</f>
        <v>0</v>
      </c>
      <c r="R89" s="75">
        <f>SUMIFS('caseload data'!T:T,'caseload data'!$B:$B,"licence",'caseload data'!$C:$C,$B$87)</f>
        <v>0</v>
      </c>
      <c r="S89" s="75">
        <f>SUMIFS('caseload data'!$V:$V,'caseload data'!C:C,$B$87,'caseload data'!B:B,"licence")</f>
        <v>0</v>
      </c>
    </row>
    <row r="90" spans="2:19" x14ac:dyDescent="0.15">
      <c r="B90" s="75" t="s">
        <v>993</v>
      </c>
      <c r="C90" s="75">
        <f>SUMIFS('caseload data'!E:E,'caseload data'!$B:$B,"community",'caseload data'!$C:$C,$B$87)</f>
        <v>0</v>
      </c>
      <c r="D90" s="75">
        <f>SUMIFS('caseload data'!F:F,'caseload data'!$B:$B,"community",'caseload data'!$C:$C,$B$87)</f>
        <v>0</v>
      </c>
      <c r="E90" s="75">
        <f>SUMIFS('caseload data'!G:G,'caseload data'!$B:$B,"community",'caseload data'!$C:$C,$B$87)</f>
        <v>0</v>
      </c>
      <c r="F90" s="75">
        <f>SUMIFS('caseload data'!H:H,'caseload data'!$B:$B,"community",'caseload data'!$C:$C,$B$87)</f>
        <v>0</v>
      </c>
      <c r="G90" s="75">
        <f>SUMIFS('caseload data'!I:I,'caseload data'!$B:$B,"community",'caseload data'!$C:$C,$B$87)</f>
        <v>0</v>
      </c>
      <c r="H90" s="75">
        <f>SUMIFS('caseload data'!J:J,'caseload data'!$B:$B,"community",'caseload data'!$C:$C,$B$87)</f>
        <v>0</v>
      </c>
      <c r="I90" s="75">
        <f>SUMIFS('caseload data'!K:K,'caseload data'!$B:$B,"community",'caseload data'!$C:$C,$B$87)</f>
        <v>0</v>
      </c>
      <c r="J90" s="75">
        <f>SUMIFS('caseload data'!L:L,'caseload data'!$B:$B,"community",'caseload data'!$C:$C,$B$87)</f>
        <v>0</v>
      </c>
      <c r="K90" s="75">
        <f>SUMIFS('caseload data'!M:M,'caseload data'!$B:$B,"community",'caseload data'!$C:$C,$B$87)</f>
        <v>0</v>
      </c>
      <c r="L90" s="75">
        <f>SUMIFS('caseload data'!N:N,'caseload data'!$B:$B,"community",'caseload data'!$C:$C,$B$87)</f>
        <v>0</v>
      </c>
      <c r="M90" s="75">
        <f>SUMIFS('caseload data'!O:O,'caseload data'!$B:$B,"community",'caseload data'!$C:$C,$B$87)</f>
        <v>0</v>
      </c>
      <c r="N90" s="75">
        <f>SUMIFS('caseload data'!P:P,'caseload data'!$B:$B,"community",'caseload data'!$C:$C,$B$87)</f>
        <v>0</v>
      </c>
      <c r="O90" s="75">
        <f>SUMIFS('caseload data'!Q:Q,'caseload data'!$B:$B,"community",'caseload data'!$C:$C,$B$87)</f>
        <v>0</v>
      </c>
      <c r="P90" s="75">
        <f>SUMIFS('caseload data'!R:R,'caseload data'!$B:$B,"community",'caseload data'!$C:$C,$B$87)</f>
        <v>0</v>
      </c>
      <c r="Q90" s="75">
        <f>SUMIFS('caseload data'!S:S,'caseload data'!$B:$B,"community",'caseload data'!$C:$C,$B$87)</f>
        <v>0</v>
      </c>
      <c r="R90" s="75">
        <f>SUMIFS('caseload data'!T:T,'caseload data'!$B:$B,"community",'caseload data'!$C:$C,$B$87)</f>
        <v>0</v>
      </c>
      <c r="S90" s="75">
        <f>SUMIFS('caseload data'!$V:$V,'caseload data'!C:C,$B$87,'caseload data'!B:B,"community")</f>
        <v>0</v>
      </c>
    </row>
    <row r="91" spans="2:19" x14ac:dyDescent="0.15">
      <c r="B91" s="110" t="s">
        <v>994</v>
      </c>
      <c r="C91" s="110">
        <f>SUMIF('caseload data'!$C:$C,$B$87,'caseload data'!E:E)</f>
        <v>0</v>
      </c>
      <c r="D91" s="110">
        <f>SUMIF('caseload data'!$C:$C,$B$87,'caseload data'!F:F)</f>
        <v>0</v>
      </c>
      <c r="E91" s="110">
        <f>SUMIF('caseload data'!$C:$C,$B$87,'caseload data'!G:G)</f>
        <v>0</v>
      </c>
      <c r="F91" s="110">
        <f>SUMIF('caseload data'!$C:$C,$B$87,'caseload data'!H:H)</f>
        <v>0</v>
      </c>
      <c r="G91" s="110">
        <f>SUMIF('caseload data'!$C:$C,$B$87,'caseload data'!I:I)</f>
        <v>0</v>
      </c>
      <c r="H91" s="110">
        <f>SUMIF('caseload data'!$C:$C,$B$87,'caseload data'!J:J)</f>
        <v>0</v>
      </c>
      <c r="I91" s="110">
        <f>SUMIF('caseload data'!$C:$C,$B$87,'caseload data'!K:K)</f>
        <v>0</v>
      </c>
      <c r="J91" s="110">
        <f>SUMIF('caseload data'!$C:$C,$B$87,'caseload data'!L:L)</f>
        <v>0</v>
      </c>
      <c r="K91" s="110">
        <f>SUMIF('caseload data'!$C:$C,$B$87,'caseload data'!M:M)</f>
        <v>0</v>
      </c>
      <c r="L91" s="110">
        <f>SUMIF('caseload data'!$C:$C,$B$87,'caseload data'!N:N)</f>
        <v>0</v>
      </c>
      <c r="M91" s="110">
        <f>SUMIF('caseload data'!$C:$C,$B$87,'caseload data'!O:O)</f>
        <v>0</v>
      </c>
      <c r="N91" s="110">
        <f>SUMIF('caseload data'!$C:$C,$B$87,'caseload data'!P:P)</f>
        <v>0</v>
      </c>
      <c r="O91" s="110">
        <f>SUMIF('caseload data'!$C:$C,$B$87,'caseload data'!Q:Q)</f>
        <v>0</v>
      </c>
      <c r="P91" s="110">
        <f>SUMIF('caseload data'!$C:$C,$B$87,'caseload data'!R:R)</f>
        <v>0</v>
      </c>
      <c r="Q91" s="110">
        <f>SUMIF('caseload data'!$C:$C,$B$87,'caseload data'!S:S)</f>
        <v>0</v>
      </c>
      <c r="R91" s="110">
        <f>SUMIF('caseload data'!$C:$C,$B$87,'caseload data'!T:T)</f>
        <v>0</v>
      </c>
      <c r="S91" s="110">
        <f>SUMIF('caseload data'!C:C,B87,'caseload data'!V:V)</f>
        <v>0</v>
      </c>
    </row>
    <row r="92" spans="2:19" ht="30" customHeight="1" x14ac:dyDescent="0.2">
      <c r="E92" s="1"/>
      <c r="F92" s="1"/>
    </row>
    <row r="93" spans="2:19" ht="20" x14ac:dyDescent="0.15">
      <c r="B93" s="445" t="s">
        <v>1061</v>
      </c>
      <c r="C93" s="445"/>
      <c r="D93" s="445"/>
      <c r="E93" s="445"/>
      <c r="F93" s="445"/>
      <c r="G93" s="445"/>
      <c r="H93" s="445"/>
      <c r="I93" s="445"/>
      <c r="J93" s="445"/>
      <c r="K93" s="445"/>
      <c r="L93" s="445"/>
      <c r="M93" s="445"/>
      <c r="N93" s="445"/>
      <c r="O93" s="445"/>
      <c r="P93" s="445"/>
      <c r="Q93" s="445"/>
      <c r="R93" s="445"/>
    </row>
    <row r="94" spans="2:19" ht="28" x14ac:dyDescent="0.15">
      <c r="B94" s="334" t="str">
        <f>B6</f>
        <v>Hammersmith, Fulham, Kensington, Chelsea and Westminster</v>
      </c>
      <c r="C94" s="38" t="s">
        <v>864</v>
      </c>
      <c r="D94" s="38" t="s">
        <v>865</v>
      </c>
      <c r="E94" s="38" t="s">
        <v>866</v>
      </c>
      <c r="F94" s="38" t="s">
        <v>867</v>
      </c>
      <c r="G94" s="38" t="s">
        <v>868</v>
      </c>
      <c r="H94" s="38" t="s">
        <v>869</v>
      </c>
      <c r="I94" s="38" t="s">
        <v>870</v>
      </c>
      <c r="J94" s="38" t="s">
        <v>871</v>
      </c>
      <c r="K94" s="38" t="s">
        <v>872</v>
      </c>
      <c r="L94" s="38" t="s">
        <v>873</v>
      </c>
      <c r="M94" s="38" t="s">
        <v>874</v>
      </c>
      <c r="N94" s="38" t="s">
        <v>875</v>
      </c>
      <c r="O94" s="38" t="s">
        <v>876</v>
      </c>
      <c r="P94" s="38" t="s">
        <v>877</v>
      </c>
      <c r="Q94" s="38" t="s">
        <v>878</v>
      </c>
      <c r="R94" s="38" t="s">
        <v>879</v>
      </c>
    </row>
    <row r="95" spans="2:19" x14ac:dyDescent="0.15">
      <c r="B95" s="75" t="s">
        <v>991</v>
      </c>
      <c r="C95" s="66" t="e">
        <f t="shared" ref="C95:P95" si="0">C88/$S$88</f>
        <v>#DIV/0!</v>
      </c>
      <c r="D95" s="66" t="e">
        <f t="shared" si="0"/>
        <v>#DIV/0!</v>
      </c>
      <c r="E95" s="66" t="e">
        <f t="shared" si="0"/>
        <v>#DIV/0!</v>
      </c>
      <c r="F95" s="66" t="e">
        <f t="shared" si="0"/>
        <v>#DIV/0!</v>
      </c>
      <c r="G95" s="66" t="e">
        <f t="shared" si="0"/>
        <v>#DIV/0!</v>
      </c>
      <c r="H95" s="66" t="e">
        <f t="shared" si="0"/>
        <v>#DIV/0!</v>
      </c>
      <c r="I95" s="66" t="e">
        <f t="shared" si="0"/>
        <v>#DIV/0!</v>
      </c>
      <c r="J95" s="66" t="e">
        <f t="shared" si="0"/>
        <v>#DIV/0!</v>
      </c>
      <c r="K95" s="66" t="e">
        <f t="shared" si="0"/>
        <v>#DIV/0!</v>
      </c>
      <c r="L95" s="66" t="e">
        <f t="shared" si="0"/>
        <v>#DIV/0!</v>
      </c>
      <c r="M95" s="66" t="e">
        <f t="shared" si="0"/>
        <v>#DIV/0!</v>
      </c>
      <c r="N95" s="66" t="e">
        <f t="shared" si="0"/>
        <v>#DIV/0!</v>
      </c>
      <c r="O95" s="66" t="e">
        <f t="shared" si="0"/>
        <v>#DIV/0!</v>
      </c>
      <c r="P95" s="66" t="e">
        <f t="shared" si="0"/>
        <v>#DIV/0!</v>
      </c>
      <c r="Q95" s="66" t="e">
        <f t="shared" ref="Q95:R95" si="1">Q88/$S$88</f>
        <v>#DIV/0!</v>
      </c>
      <c r="R95" s="66" t="e">
        <f t="shared" si="1"/>
        <v>#DIV/0!</v>
      </c>
    </row>
    <row r="96" spans="2:19" x14ac:dyDescent="0.15">
      <c r="B96" s="75" t="s">
        <v>992</v>
      </c>
      <c r="C96" s="66" t="e">
        <f>C89/$S$88</f>
        <v>#DIV/0!</v>
      </c>
      <c r="D96" s="66" t="e">
        <f t="shared" ref="D96:P96" si="2">D89/$S$89</f>
        <v>#DIV/0!</v>
      </c>
      <c r="E96" s="66" t="e">
        <f t="shared" si="2"/>
        <v>#DIV/0!</v>
      </c>
      <c r="F96" s="66" t="e">
        <f t="shared" si="2"/>
        <v>#DIV/0!</v>
      </c>
      <c r="G96" s="66" t="e">
        <f t="shared" si="2"/>
        <v>#DIV/0!</v>
      </c>
      <c r="H96" s="66" t="e">
        <f t="shared" si="2"/>
        <v>#DIV/0!</v>
      </c>
      <c r="I96" s="66" t="e">
        <f t="shared" si="2"/>
        <v>#DIV/0!</v>
      </c>
      <c r="J96" s="66" t="e">
        <f t="shared" si="2"/>
        <v>#DIV/0!</v>
      </c>
      <c r="K96" s="66" t="e">
        <f t="shared" si="2"/>
        <v>#DIV/0!</v>
      </c>
      <c r="L96" s="66" t="e">
        <f t="shared" si="2"/>
        <v>#DIV/0!</v>
      </c>
      <c r="M96" s="66" t="e">
        <f t="shared" si="2"/>
        <v>#DIV/0!</v>
      </c>
      <c r="N96" s="66" t="e">
        <f t="shared" si="2"/>
        <v>#DIV/0!</v>
      </c>
      <c r="O96" s="66" t="e">
        <f t="shared" si="2"/>
        <v>#DIV/0!</v>
      </c>
      <c r="P96" s="66" t="e">
        <f t="shared" si="2"/>
        <v>#DIV/0!</v>
      </c>
      <c r="Q96" s="66" t="e">
        <f t="shared" ref="Q96:R96" si="3">Q89/$S$89</f>
        <v>#DIV/0!</v>
      </c>
      <c r="R96" s="66" t="e">
        <f t="shared" si="3"/>
        <v>#DIV/0!</v>
      </c>
    </row>
    <row r="97" spans="2:37" x14ac:dyDescent="0.15">
      <c r="B97" s="75" t="s">
        <v>993</v>
      </c>
      <c r="C97" s="66" t="e">
        <f>C90/$S$88</f>
        <v>#DIV/0!</v>
      </c>
      <c r="D97" s="66" t="e">
        <f t="shared" ref="D97:P97" si="4">D90/$S$90</f>
        <v>#DIV/0!</v>
      </c>
      <c r="E97" s="66" t="e">
        <f t="shared" si="4"/>
        <v>#DIV/0!</v>
      </c>
      <c r="F97" s="66" t="e">
        <f t="shared" si="4"/>
        <v>#DIV/0!</v>
      </c>
      <c r="G97" s="66" t="e">
        <f t="shared" si="4"/>
        <v>#DIV/0!</v>
      </c>
      <c r="H97" s="66" t="e">
        <f t="shared" si="4"/>
        <v>#DIV/0!</v>
      </c>
      <c r="I97" s="66" t="e">
        <f t="shared" si="4"/>
        <v>#DIV/0!</v>
      </c>
      <c r="J97" s="66" t="e">
        <f t="shared" si="4"/>
        <v>#DIV/0!</v>
      </c>
      <c r="K97" s="66" t="e">
        <f t="shared" si="4"/>
        <v>#DIV/0!</v>
      </c>
      <c r="L97" s="66" t="e">
        <f t="shared" si="4"/>
        <v>#DIV/0!</v>
      </c>
      <c r="M97" s="66" t="e">
        <f t="shared" si="4"/>
        <v>#DIV/0!</v>
      </c>
      <c r="N97" s="66" t="e">
        <f t="shared" si="4"/>
        <v>#DIV/0!</v>
      </c>
      <c r="O97" s="66" t="e">
        <f t="shared" si="4"/>
        <v>#DIV/0!</v>
      </c>
      <c r="P97" s="66" t="e">
        <f t="shared" si="4"/>
        <v>#DIV/0!</v>
      </c>
      <c r="Q97" s="66" t="e">
        <f t="shared" ref="Q97:R97" si="5">Q90/$S$90</f>
        <v>#DIV/0!</v>
      </c>
      <c r="R97" s="66" t="e">
        <f t="shared" si="5"/>
        <v>#DIV/0!</v>
      </c>
    </row>
    <row r="98" spans="2:37" x14ac:dyDescent="0.15">
      <c r="B98" s="110" t="s">
        <v>994</v>
      </c>
      <c r="C98" s="115" t="e">
        <f t="shared" ref="C98:P98" si="6">C91/$S$91</f>
        <v>#DIV/0!</v>
      </c>
      <c r="D98" s="115" t="e">
        <f t="shared" si="6"/>
        <v>#DIV/0!</v>
      </c>
      <c r="E98" s="115" t="e">
        <f t="shared" si="6"/>
        <v>#DIV/0!</v>
      </c>
      <c r="F98" s="115" t="e">
        <f t="shared" si="6"/>
        <v>#DIV/0!</v>
      </c>
      <c r="G98" s="115" t="e">
        <f t="shared" si="6"/>
        <v>#DIV/0!</v>
      </c>
      <c r="H98" s="115" t="e">
        <f t="shared" si="6"/>
        <v>#DIV/0!</v>
      </c>
      <c r="I98" s="115" t="e">
        <f t="shared" si="6"/>
        <v>#DIV/0!</v>
      </c>
      <c r="J98" s="115" t="e">
        <f t="shared" si="6"/>
        <v>#DIV/0!</v>
      </c>
      <c r="K98" s="115" t="e">
        <f t="shared" si="6"/>
        <v>#DIV/0!</v>
      </c>
      <c r="L98" s="115" t="e">
        <f t="shared" si="6"/>
        <v>#DIV/0!</v>
      </c>
      <c r="M98" s="115" t="e">
        <f t="shared" si="6"/>
        <v>#DIV/0!</v>
      </c>
      <c r="N98" s="115" t="e">
        <f t="shared" si="6"/>
        <v>#DIV/0!</v>
      </c>
      <c r="O98" s="115" t="e">
        <f t="shared" si="6"/>
        <v>#DIV/0!</v>
      </c>
      <c r="P98" s="115" t="e">
        <f t="shared" si="6"/>
        <v>#DIV/0!</v>
      </c>
      <c r="Q98" s="115" t="e">
        <f t="shared" ref="Q98:R98" si="7">Q91/$S$91</f>
        <v>#DIV/0!</v>
      </c>
      <c r="R98" s="115" t="e">
        <f t="shared" si="7"/>
        <v>#DIV/0!</v>
      </c>
    </row>
    <row r="99" spans="2:37" ht="30.75" customHeight="1" x14ac:dyDescent="0.15"/>
    <row r="102" spans="2:37" ht="29" x14ac:dyDescent="0.2">
      <c r="B102" s="334" t="str">
        <f>B6</f>
        <v>Hammersmith, Fulham, Kensington, Chelsea and Westminster</v>
      </c>
      <c r="C102" s="444" t="s">
        <v>998</v>
      </c>
      <c r="D102" s="445"/>
      <c r="E102" s="445"/>
      <c r="F102" s="445"/>
      <c r="G102" s="445"/>
      <c r="H102" s="445"/>
      <c r="I102" s="445"/>
      <c r="J102" s="445"/>
      <c r="K102" s="445"/>
      <c r="L102" s="445"/>
      <c r="M102" s="445"/>
      <c r="N102" s="445"/>
      <c r="O102" s="445"/>
      <c r="P102" s="445"/>
      <c r="Q102" s="445"/>
      <c r="R102" s="445"/>
      <c r="U102" s="114" t="str">
        <f>B6</f>
        <v>Hammersmith, Fulham, Kensington, Chelsea and Westminster</v>
      </c>
      <c r="V102" s="441" t="s">
        <v>1363</v>
      </c>
      <c r="W102" s="442"/>
      <c r="X102" s="442"/>
      <c r="Y102" s="442"/>
      <c r="Z102" s="442"/>
      <c r="AA102" s="442"/>
      <c r="AB102" s="442"/>
      <c r="AC102" s="442"/>
      <c r="AD102" s="442"/>
      <c r="AE102" s="442"/>
      <c r="AF102" s="442"/>
      <c r="AG102" s="442"/>
      <c r="AH102" s="442"/>
      <c r="AI102" s="442"/>
      <c r="AJ102" s="442"/>
      <c r="AK102" s="443"/>
    </row>
    <row r="103" spans="2:37" ht="15.75" customHeight="1" x14ac:dyDescent="0.15">
      <c r="B103" s="400"/>
      <c r="C103" s="38" t="s">
        <v>864</v>
      </c>
      <c r="D103" s="38" t="s">
        <v>865</v>
      </c>
      <c r="E103" s="38" t="s">
        <v>866</v>
      </c>
      <c r="F103" s="38" t="s">
        <v>867</v>
      </c>
      <c r="G103" s="38" t="s">
        <v>868</v>
      </c>
      <c r="H103" s="38" t="s">
        <v>869</v>
      </c>
      <c r="I103" s="38" t="s">
        <v>870</v>
      </c>
      <c r="J103" s="38" t="s">
        <v>871</v>
      </c>
      <c r="K103" s="38" t="s">
        <v>872</v>
      </c>
      <c r="L103" s="38" t="s">
        <v>873</v>
      </c>
      <c r="M103" s="38" t="s">
        <v>874</v>
      </c>
      <c r="N103" s="38" t="s">
        <v>875</v>
      </c>
      <c r="O103" s="38" t="s">
        <v>876</v>
      </c>
      <c r="P103" s="38" t="s">
        <v>877</v>
      </c>
      <c r="Q103" s="38" t="s">
        <v>878</v>
      </c>
      <c r="R103" s="38" t="s">
        <v>879</v>
      </c>
      <c r="U103" s="95" t="s">
        <v>1001</v>
      </c>
      <c r="V103" s="38" t="s">
        <v>864</v>
      </c>
      <c r="W103" s="38" t="s">
        <v>865</v>
      </c>
      <c r="X103" s="38" t="s">
        <v>866</v>
      </c>
      <c r="Y103" s="38" t="s">
        <v>867</v>
      </c>
      <c r="Z103" s="38" t="s">
        <v>868</v>
      </c>
      <c r="AA103" s="38" t="s">
        <v>869</v>
      </c>
      <c r="AB103" s="38" t="s">
        <v>870</v>
      </c>
      <c r="AC103" s="38" t="s">
        <v>871</v>
      </c>
      <c r="AD103" s="38" t="s">
        <v>872</v>
      </c>
      <c r="AE103" s="38" t="s">
        <v>873</v>
      </c>
      <c r="AF103" s="38" t="s">
        <v>874</v>
      </c>
      <c r="AG103" s="38" t="s">
        <v>875</v>
      </c>
      <c r="AH103" s="38" t="s">
        <v>876</v>
      </c>
      <c r="AI103" s="38" t="s">
        <v>877</v>
      </c>
      <c r="AJ103" s="38" t="s">
        <v>878</v>
      </c>
      <c r="AK103" s="38" t="s">
        <v>879</v>
      </c>
    </row>
    <row r="104" spans="2:37" ht="14.25" customHeight="1" x14ac:dyDescent="0.15">
      <c r="B104" s="75" t="s">
        <v>997</v>
      </c>
      <c r="C104" s="75">
        <f>SUMIFS('caseload data'!E:E,'caseload data'!$D:$D,"PO",'caseload data'!$C:$C,'cluster overview'!$B$102,'caseload data'!$B:$B,"community")</f>
        <v>0</v>
      </c>
      <c r="D104" s="75">
        <f>SUMIFS('caseload data'!F:F,'caseload data'!$D:$D,"PO",'caseload data'!$C:$C,'cluster overview'!$B$102,'caseload data'!$B:$B,"community")</f>
        <v>0</v>
      </c>
      <c r="E104" s="75">
        <f>SUMIFS('caseload data'!G:G,'caseload data'!$D:$D,"PO",'caseload data'!$C:$C,'cluster overview'!$B$102,'caseload data'!$B:$B,"community")</f>
        <v>0</v>
      </c>
      <c r="F104" s="75">
        <f>SUMIFS('caseload data'!H:H,'caseload data'!$D:$D,"PO",'caseload data'!$C:$C,'cluster overview'!$B$102,'caseload data'!$B:$B,"community")</f>
        <v>0</v>
      </c>
      <c r="G104" s="75">
        <f>SUMIFS('caseload data'!I:I,'caseload data'!$D:$D,"PO",'caseload data'!$C:$C,'cluster overview'!$B$102,'caseload data'!$B:$B,"community")</f>
        <v>0</v>
      </c>
      <c r="H104" s="75">
        <f>SUMIFS('caseload data'!J:J,'caseload data'!$D:$D,"PO",'caseload data'!$C:$C,'cluster overview'!$B$102,'caseload data'!$B:$B,"community")</f>
        <v>0</v>
      </c>
      <c r="I104" s="75">
        <f>SUMIFS('caseload data'!K:K,'caseload data'!$D:$D,"PO",'caseload data'!$C:$C,'cluster overview'!$B$102,'caseload data'!$B:$B,"community")</f>
        <v>0</v>
      </c>
      <c r="J104" s="75">
        <f>SUMIFS('caseload data'!L:L,'caseload data'!$D:$D,"PO",'caseload data'!$C:$C,'cluster overview'!$B$102,'caseload data'!$B:$B,"community")</f>
        <v>0</v>
      </c>
      <c r="K104" s="75">
        <f>SUMIFS('caseload data'!M:M,'caseload data'!$D:$D,"PO",'caseload data'!$C:$C,'cluster overview'!$B$102,'caseload data'!$B:$B,"community")</f>
        <v>0</v>
      </c>
      <c r="L104" s="75">
        <f>SUMIFS('caseload data'!N:N,'caseload data'!$D:$D,"PO",'caseload data'!$C:$C,'cluster overview'!$B$102,'caseload data'!$B:$B,"community")</f>
        <v>0</v>
      </c>
      <c r="M104" s="75">
        <f>SUMIFS('caseload data'!O:O,'caseload data'!$D:$D,"PO",'caseload data'!$C:$C,'cluster overview'!$B$102,'caseload data'!$B:$B,"community")</f>
        <v>0</v>
      </c>
      <c r="N104" s="75">
        <f>SUMIFS('caseload data'!P:P,'caseload data'!$D:$D,"PO",'caseload data'!$C:$C,'cluster overview'!$B$102,'caseload data'!$B:$B,"community")</f>
        <v>0</v>
      </c>
      <c r="O104" s="75">
        <f>SUMIFS('caseload data'!Q:Q,'caseload data'!$D:$D,"PO",'caseload data'!$C:$C,'cluster overview'!$B$102,'caseload data'!$B:$B,"community")</f>
        <v>0</v>
      </c>
      <c r="P104" s="75">
        <f>SUMIFS('caseload data'!R:R,'caseload data'!$D:$D,"PO",'caseload data'!$C:$C,'cluster overview'!$B$102,'caseload data'!$B:$B,"community")</f>
        <v>0</v>
      </c>
      <c r="Q104" s="75">
        <f>SUMIFS('caseload data'!S:S,'caseload data'!$D:$D,"PO",'caseload data'!$C:$C,'cluster overview'!$B$102,'caseload data'!$B:$B,"community")</f>
        <v>0</v>
      </c>
      <c r="R104" s="75">
        <f>SUMIFS('caseload data'!T:T,'caseload data'!$D:$D,"PO",'caseload data'!$C:$C,'cluster overview'!$B$102,'caseload data'!$B:$B,"community")</f>
        <v>0</v>
      </c>
      <c r="U104" s="75" t="s">
        <v>997</v>
      </c>
      <c r="V104" s="67" t="str">
        <f>IFERROR(C$104/SUM(C$104:C$107),"")</f>
        <v/>
      </c>
      <c r="W104" s="67" t="str">
        <f>IFERROR(D$104/SUM(D$104:D$107),"")</f>
        <v/>
      </c>
      <c r="X104" s="67" t="str">
        <f t="shared" ref="X104:AK104" si="8">IFERROR(E$104/SUM(E$104:E$107),"")</f>
        <v/>
      </c>
      <c r="Y104" s="67" t="str">
        <f t="shared" si="8"/>
        <v/>
      </c>
      <c r="Z104" s="67" t="str">
        <f t="shared" si="8"/>
        <v/>
      </c>
      <c r="AA104" s="67" t="str">
        <f t="shared" si="8"/>
        <v/>
      </c>
      <c r="AB104" s="67" t="str">
        <f t="shared" si="8"/>
        <v/>
      </c>
      <c r="AC104" s="67" t="str">
        <f t="shared" si="8"/>
        <v/>
      </c>
      <c r="AD104" s="67" t="str">
        <f t="shared" si="8"/>
        <v/>
      </c>
      <c r="AE104" s="67" t="str">
        <f t="shared" si="8"/>
        <v/>
      </c>
      <c r="AF104" s="67" t="str">
        <f t="shared" si="8"/>
        <v/>
      </c>
      <c r="AG104" s="67" t="str">
        <f t="shared" si="8"/>
        <v/>
      </c>
      <c r="AH104" s="67" t="str">
        <f t="shared" si="8"/>
        <v/>
      </c>
      <c r="AI104" s="67" t="str">
        <f t="shared" si="8"/>
        <v/>
      </c>
      <c r="AJ104" s="67" t="str">
        <f t="shared" si="8"/>
        <v/>
      </c>
      <c r="AK104" s="67" t="str">
        <f t="shared" si="8"/>
        <v/>
      </c>
    </row>
    <row r="105" spans="2:37" ht="14.25" customHeight="1" x14ac:dyDescent="0.15">
      <c r="B105" s="75" t="s">
        <v>1002</v>
      </c>
      <c r="C105" s="75">
        <f>SUMIFS('caseload data'!E:E,'caseload data'!$D:$D,"PSO",'caseload data'!$C:$C,'cluster overview'!$B$102,'caseload data'!$B:$B,"community")</f>
        <v>0</v>
      </c>
      <c r="D105" s="75">
        <f>SUMIFS('caseload data'!F:F,'caseload data'!$D:$D,"PSO",'caseload data'!$C:$C,'cluster overview'!$B$102,'caseload data'!$B:$B,"community")</f>
        <v>0</v>
      </c>
      <c r="E105" s="75">
        <f>SUMIFS('caseload data'!G:G,'caseload data'!$D:$D,"PSO",'caseload data'!$C:$C,'cluster overview'!$B$102,'caseload data'!$B:$B,"community")</f>
        <v>0</v>
      </c>
      <c r="F105" s="75">
        <f>SUMIFS('caseload data'!H:H,'caseload data'!$D:$D,"PSO",'caseload data'!$C:$C,'cluster overview'!$B$102,'caseload data'!$B:$B,"community")</f>
        <v>0</v>
      </c>
      <c r="G105" s="75">
        <f>SUMIFS('caseload data'!I:I,'caseload data'!$D:$D,"PSO",'caseload data'!$C:$C,'cluster overview'!$B$102,'caseload data'!$B:$B,"community")</f>
        <v>0</v>
      </c>
      <c r="H105" s="75">
        <f>SUMIFS('caseload data'!J:J,'caseload data'!$D:$D,"PSO",'caseload data'!$C:$C,'cluster overview'!$B$102,'caseload data'!$B:$B,"community")</f>
        <v>0</v>
      </c>
      <c r="I105" s="75">
        <f>SUMIFS('caseload data'!K:K,'caseload data'!$D:$D,"PSO",'caseload data'!$C:$C,'cluster overview'!$B$102,'caseload data'!$B:$B,"community")</f>
        <v>0</v>
      </c>
      <c r="J105" s="75">
        <f>SUMIFS('caseload data'!L:L,'caseload data'!$D:$D,"PSO",'caseload data'!$C:$C,'cluster overview'!$B$102,'caseload data'!$B:$B,"community")</f>
        <v>0</v>
      </c>
      <c r="K105" s="75">
        <f>SUMIFS('caseload data'!M:M,'caseload data'!$D:$D,"PSO",'caseload data'!$C:$C,'cluster overview'!$B$102,'caseload data'!$B:$B,"community")</f>
        <v>0</v>
      </c>
      <c r="L105" s="75">
        <f>SUMIFS('caseload data'!N:N,'caseload data'!$D:$D,"PSO",'caseload data'!$C:$C,'cluster overview'!$B$102,'caseload data'!$B:$B,"community")</f>
        <v>0</v>
      </c>
      <c r="M105" s="75">
        <f>SUMIFS('caseload data'!O:O,'caseload data'!$D:$D,"PSO",'caseload data'!$C:$C,'cluster overview'!$B$102,'caseload data'!$B:$B,"community")</f>
        <v>0</v>
      </c>
      <c r="N105" s="75">
        <f>SUMIFS('caseload data'!P:P,'caseload data'!$D:$D,"PSO",'caseload data'!$C:$C,'cluster overview'!$B$102,'caseload data'!$B:$B,"community")</f>
        <v>0</v>
      </c>
      <c r="O105" s="75">
        <f>SUMIFS('caseload data'!Q:Q,'caseload data'!$D:$D,"PSO",'caseload data'!$C:$C,'cluster overview'!$B$102,'caseload data'!$B:$B,"community")</f>
        <v>0</v>
      </c>
      <c r="P105" s="75">
        <f>SUMIFS('caseload data'!R:R,'caseload data'!$D:$D,"PSO",'caseload data'!$C:$C,'cluster overview'!$B$102,'caseload data'!$B:$B,"community")</f>
        <v>0</v>
      </c>
      <c r="Q105" s="75">
        <f>SUMIFS('caseload data'!S:S,'caseload data'!$D:$D,"PSO",'caseload data'!$C:$C,'cluster overview'!$B$102,'caseload data'!$B:$B,"community")</f>
        <v>0</v>
      </c>
      <c r="R105" s="75">
        <f>SUMIFS('caseload data'!T:T,'caseload data'!$D:$D,"PSO",'caseload data'!$C:$C,'cluster overview'!$B$102,'caseload data'!$B:$B,"community")</f>
        <v>0</v>
      </c>
      <c r="U105" s="75" t="s">
        <v>1002</v>
      </c>
      <c r="V105" s="67" t="str">
        <f>IFERROR(C$105/SUM(C$104:C$107),"")</f>
        <v/>
      </c>
      <c r="W105" s="67" t="str">
        <f>IFERROR(D$105/SUM(D$104:D$107),"")</f>
        <v/>
      </c>
      <c r="X105" s="67" t="str">
        <f t="shared" ref="X105:AK105" si="9">IFERROR(E$105/SUM(E$104:E$107),"")</f>
        <v/>
      </c>
      <c r="Y105" s="67" t="str">
        <f t="shared" si="9"/>
        <v/>
      </c>
      <c r="Z105" s="67" t="str">
        <f t="shared" si="9"/>
        <v/>
      </c>
      <c r="AA105" s="67" t="str">
        <f t="shared" si="9"/>
        <v/>
      </c>
      <c r="AB105" s="67" t="str">
        <f t="shared" si="9"/>
        <v/>
      </c>
      <c r="AC105" s="67" t="str">
        <f t="shared" si="9"/>
        <v/>
      </c>
      <c r="AD105" s="67" t="str">
        <f t="shared" si="9"/>
        <v/>
      </c>
      <c r="AE105" s="67" t="str">
        <f t="shared" si="9"/>
        <v/>
      </c>
      <c r="AF105" s="67" t="str">
        <f t="shared" si="9"/>
        <v/>
      </c>
      <c r="AG105" s="67" t="str">
        <f t="shared" si="9"/>
        <v/>
      </c>
      <c r="AH105" s="67" t="str">
        <f t="shared" si="9"/>
        <v/>
      </c>
      <c r="AI105" s="67" t="str">
        <f t="shared" si="9"/>
        <v/>
      </c>
      <c r="AJ105" s="67" t="str">
        <f t="shared" si="9"/>
        <v/>
      </c>
      <c r="AK105" s="67" t="str">
        <f t="shared" si="9"/>
        <v/>
      </c>
    </row>
    <row r="106" spans="2:37" ht="14.25" customHeight="1" x14ac:dyDescent="0.15">
      <c r="B106" s="75" t="s">
        <v>1003</v>
      </c>
      <c r="C106" s="75">
        <f>SUMIFS('caseload data'!E:E,'caseload data'!$D:$D,"TPO",'caseload data'!$C:$C,'cluster overview'!$B$102,'caseload data'!$B:$B,"community")</f>
        <v>0</v>
      </c>
      <c r="D106" s="75">
        <f>SUMIFS('caseload data'!F:F,'caseload data'!$D:$D,"TPO",'caseload data'!$C:$C,'cluster overview'!$B$102,'caseload data'!$B:$B,"community")</f>
        <v>0</v>
      </c>
      <c r="E106" s="75">
        <f>SUMIFS('caseload data'!G:G,'caseload data'!$D:$D,"TPO",'caseload data'!$C:$C,'cluster overview'!$B$102,'caseload data'!$B:$B,"community")</f>
        <v>0</v>
      </c>
      <c r="F106" s="75">
        <f>SUMIFS('caseload data'!H:H,'caseload data'!$D:$D,"TPO",'caseload data'!$C:$C,'cluster overview'!$B$102,'caseload data'!$B:$B,"community")</f>
        <v>0</v>
      </c>
      <c r="G106" s="75">
        <f>SUMIFS('caseload data'!I:I,'caseload data'!$D:$D,"TPO",'caseload data'!$C:$C,'cluster overview'!$B$102,'caseload data'!$B:$B,"community")</f>
        <v>0</v>
      </c>
      <c r="H106" s="75">
        <f>SUMIFS('caseload data'!J:J,'caseload data'!$D:$D,"TPO",'caseload data'!$C:$C,'cluster overview'!$B$102,'caseload data'!$B:$B,"community")</f>
        <v>0</v>
      </c>
      <c r="I106" s="75">
        <f>SUMIFS('caseload data'!K:K,'caseload data'!$D:$D,"TPO",'caseload data'!$C:$C,'cluster overview'!$B$102,'caseload data'!$B:$B,"community")</f>
        <v>0</v>
      </c>
      <c r="J106" s="75">
        <f>SUMIFS('caseload data'!L:L,'caseload data'!$D:$D,"TPO",'caseload data'!$C:$C,'cluster overview'!$B$102,'caseload data'!$B:$B,"community")</f>
        <v>0</v>
      </c>
      <c r="K106" s="75">
        <f>SUMIFS('caseload data'!M:M,'caseload data'!$D:$D,"TPO",'caseload data'!$C:$C,'cluster overview'!$B$102,'caseload data'!$B:$B,"community")</f>
        <v>0</v>
      </c>
      <c r="L106" s="75">
        <f>SUMIFS('caseload data'!N:N,'caseload data'!$D:$D,"TPO",'caseload data'!$C:$C,'cluster overview'!$B$102,'caseload data'!$B:$B,"community")</f>
        <v>0</v>
      </c>
      <c r="M106" s="75">
        <f>SUMIFS('caseload data'!O:O,'caseload data'!$D:$D,"TPO",'caseload data'!$C:$C,'cluster overview'!$B$102,'caseload data'!$B:$B,"community")</f>
        <v>0</v>
      </c>
      <c r="N106" s="75">
        <f>SUMIFS('caseload data'!P:P,'caseload data'!$D:$D,"TPO",'caseload data'!$C:$C,'cluster overview'!$B$102,'caseload data'!$B:$B,"community")</f>
        <v>0</v>
      </c>
      <c r="O106" s="75">
        <f>SUMIFS('caseload data'!Q:Q,'caseload data'!$D:$D,"TPO",'caseload data'!$C:$C,'cluster overview'!$B$102,'caseload data'!$B:$B,"community")</f>
        <v>0</v>
      </c>
      <c r="P106" s="75">
        <f>SUMIFS('caseload data'!R:R,'caseload data'!$D:$D,"TPO",'caseload data'!$C:$C,'cluster overview'!$B$102,'caseload data'!$B:$B,"community")</f>
        <v>0</v>
      </c>
      <c r="Q106" s="75">
        <f>SUMIFS('caseload data'!S:S,'caseload data'!$D:$D,"TPO",'caseload data'!$C:$C,'cluster overview'!$B$102,'caseload data'!$B:$B,"community")</f>
        <v>0</v>
      </c>
      <c r="R106" s="75">
        <f>SUMIFS('caseload data'!T:T,'caseload data'!$D:$D,"TPO",'caseload data'!$C:$C,'cluster overview'!$B$102,'caseload data'!$B:$B,"community")</f>
        <v>0</v>
      </c>
      <c r="U106" s="75" t="s">
        <v>1003</v>
      </c>
      <c r="V106" s="67" t="str">
        <f>IFERROR(C$106/SUM(C$104:C$107),"")</f>
        <v/>
      </c>
      <c r="W106" s="67" t="str">
        <f>IFERROR(D$106/SUM(D$104:D$107),"")</f>
        <v/>
      </c>
      <c r="X106" s="67" t="str">
        <f t="shared" ref="X106:AK106" si="10">IFERROR(E$106/SUM(E$104:E$107),"")</f>
        <v/>
      </c>
      <c r="Y106" s="67" t="str">
        <f t="shared" si="10"/>
        <v/>
      </c>
      <c r="Z106" s="67" t="str">
        <f t="shared" si="10"/>
        <v/>
      </c>
      <c r="AA106" s="67" t="str">
        <f t="shared" si="10"/>
        <v/>
      </c>
      <c r="AB106" s="67" t="str">
        <f t="shared" si="10"/>
        <v/>
      </c>
      <c r="AC106" s="67" t="str">
        <f t="shared" si="10"/>
        <v/>
      </c>
      <c r="AD106" s="67" t="str">
        <f t="shared" si="10"/>
        <v/>
      </c>
      <c r="AE106" s="67" t="str">
        <f t="shared" si="10"/>
        <v/>
      </c>
      <c r="AF106" s="67" t="str">
        <f t="shared" si="10"/>
        <v/>
      </c>
      <c r="AG106" s="67" t="str">
        <f t="shared" si="10"/>
        <v/>
      </c>
      <c r="AH106" s="67" t="str">
        <f t="shared" si="10"/>
        <v/>
      </c>
      <c r="AI106" s="67" t="str">
        <f t="shared" si="10"/>
        <v/>
      </c>
      <c r="AJ106" s="67" t="str">
        <f t="shared" si="10"/>
        <v/>
      </c>
      <c r="AK106" s="67" t="str">
        <f t="shared" si="10"/>
        <v/>
      </c>
    </row>
    <row r="107" spans="2:37" ht="14.25" customHeight="1" x14ac:dyDescent="0.15">
      <c r="B107" s="75" t="s">
        <v>1004</v>
      </c>
      <c r="C107" s="75">
        <f>SUMIFS('caseload data'!E:E,'caseload data'!$D:$D,"SPO",'caseload data'!$C:$C,'cluster overview'!$B$102,'caseload data'!$B:$B,"community")</f>
        <v>0</v>
      </c>
      <c r="D107" s="75">
        <f>SUMIFS('caseload data'!F:F,'caseload data'!$D:$D,"SPO",'caseload data'!$C:$C,'cluster overview'!$B$102,'caseload data'!$B:$B,"community")</f>
        <v>0</v>
      </c>
      <c r="E107" s="75">
        <f>SUMIFS('caseload data'!G:G,'caseload data'!$D:$D,"SPO",'caseload data'!$C:$C,'cluster overview'!$B$102,'caseload data'!$B:$B,"community")</f>
        <v>0</v>
      </c>
      <c r="F107" s="75">
        <f>SUMIFS('caseload data'!H:H,'caseload data'!$D:$D,"SPO",'caseload data'!$C:$C,'cluster overview'!$B$102,'caseload data'!$B:$B,"community")</f>
        <v>0</v>
      </c>
      <c r="G107" s="75">
        <f>SUMIFS('caseload data'!I:I,'caseload data'!$D:$D,"SPO",'caseload data'!$C:$C,'cluster overview'!$B$102,'caseload data'!$B:$B,"community")</f>
        <v>0</v>
      </c>
      <c r="H107" s="75">
        <f>SUMIFS('caseload data'!J:J,'caseload data'!$D:$D,"SPO",'caseload data'!$C:$C,'cluster overview'!$B$102,'caseload data'!$B:$B,"community")</f>
        <v>0</v>
      </c>
      <c r="I107" s="75">
        <f>SUMIFS('caseload data'!K:K,'caseload data'!$D:$D,"SPO",'caseload data'!$C:$C,'cluster overview'!$B$102,'caseload data'!$B:$B,"community")</f>
        <v>0</v>
      </c>
      <c r="J107" s="75">
        <f>SUMIFS('caseload data'!L:L,'caseload data'!$D:$D,"SPO",'caseload data'!$C:$C,'cluster overview'!$B$102,'caseload data'!$B:$B,"community")</f>
        <v>0</v>
      </c>
      <c r="K107" s="75">
        <f>SUMIFS('caseload data'!M:M,'caseload data'!$D:$D,"SPO",'caseload data'!$C:$C,'cluster overview'!$B$102,'caseload data'!$B:$B,"community")</f>
        <v>0</v>
      </c>
      <c r="L107" s="75">
        <f>SUMIFS('caseload data'!N:N,'caseload data'!$D:$D,"SPO",'caseload data'!$C:$C,'cluster overview'!$B$102,'caseload data'!$B:$B,"community")</f>
        <v>0</v>
      </c>
      <c r="M107" s="75">
        <f>SUMIFS('caseload data'!O:O,'caseload data'!$D:$D,"SPO",'caseload data'!$C:$C,'cluster overview'!$B$102,'caseload data'!$B:$B,"community")</f>
        <v>0</v>
      </c>
      <c r="N107" s="75">
        <f>SUMIFS('caseload data'!P:P,'caseload data'!$D:$D,"SPO",'caseload data'!$C:$C,'cluster overview'!$B$102,'caseload data'!$B:$B,"community")</f>
        <v>0</v>
      </c>
      <c r="O107" s="75">
        <f>SUMIFS('caseload data'!Q:Q,'caseload data'!$D:$D,"SPO",'caseload data'!$C:$C,'cluster overview'!$B$102,'caseload data'!$B:$B,"community")</f>
        <v>0</v>
      </c>
      <c r="P107" s="75">
        <f>SUMIFS('caseload data'!R:R,'caseload data'!$D:$D,"SPO",'caseload data'!$C:$C,'cluster overview'!$B$102,'caseload data'!$B:$B,"community")</f>
        <v>0</v>
      </c>
      <c r="Q107" s="75">
        <f>SUMIFS('caseload data'!S:S,'caseload data'!$D:$D,"SPO",'caseload data'!$C:$C,'cluster overview'!$B$102,'caseload data'!$B:$B,"community")</f>
        <v>0</v>
      </c>
      <c r="R107" s="75">
        <f>SUMIFS('caseload data'!T:T,'caseload data'!$D:$D,"SPO",'caseload data'!$C:$C,'cluster overview'!$B$102,'caseload data'!$B:$B,"community")</f>
        <v>0</v>
      </c>
      <c r="U107" s="75" t="s">
        <v>1004</v>
      </c>
      <c r="V107" s="67" t="str">
        <f>IFERROR(C$107/SUM(C$104:C$107),"")</f>
        <v/>
      </c>
      <c r="W107" s="67" t="str">
        <f>IFERROR(D$107/SUM(D$104:D$107),"")</f>
        <v/>
      </c>
      <c r="X107" s="67" t="str">
        <f t="shared" ref="X107:AK107" si="11">IFERROR(E$107/SUM(E$104:E$107),"")</f>
        <v/>
      </c>
      <c r="Y107" s="67" t="str">
        <f t="shared" si="11"/>
        <v/>
      </c>
      <c r="Z107" s="67" t="str">
        <f t="shared" si="11"/>
        <v/>
      </c>
      <c r="AA107" s="67" t="str">
        <f t="shared" si="11"/>
        <v/>
      </c>
      <c r="AB107" s="67" t="str">
        <f t="shared" si="11"/>
        <v/>
      </c>
      <c r="AC107" s="67" t="str">
        <f t="shared" si="11"/>
        <v/>
      </c>
      <c r="AD107" s="67" t="str">
        <f t="shared" si="11"/>
        <v/>
      </c>
      <c r="AE107" s="67" t="str">
        <f t="shared" si="11"/>
        <v/>
      </c>
      <c r="AF107" s="67" t="str">
        <f t="shared" si="11"/>
        <v/>
      </c>
      <c r="AG107" s="67" t="str">
        <f t="shared" si="11"/>
        <v/>
      </c>
      <c r="AH107" s="67" t="str">
        <f t="shared" si="11"/>
        <v/>
      </c>
      <c r="AI107" s="67" t="str">
        <f t="shared" si="11"/>
        <v/>
      </c>
      <c r="AJ107" s="67" t="str">
        <f t="shared" si="11"/>
        <v/>
      </c>
      <c r="AK107" s="67" t="str">
        <f t="shared" si="11"/>
        <v/>
      </c>
    </row>
    <row r="108" spans="2:37" ht="32.25" customHeight="1" x14ac:dyDescent="0.15">
      <c r="B108" s="21"/>
    </row>
    <row r="109" spans="2:37" ht="14.25" customHeight="1" x14ac:dyDescent="0.2">
      <c r="B109" s="334" t="str">
        <f>B6</f>
        <v>Hammersmith, Fulham, Kensington, Chelsea and Westminster</v>
      </c>
      <c r="C109" s="444" t="s">
        <v>1005</v>
      </c>
      <c r="D109" s="445"/>
      <c r="E109" s="445"/>
      <c r="F109" s="445"/>
      <c r="G109" s="445"/>
      <c r="H109" s="445"/>
      <c r="I109" s="445"/>
      <c r="J109" s="445"/>
      <c r="K109" s="445"/>
      <c r="L109" s="445"/>
      <c r="M109" s="445"/>
      <c r="N109" s="445"/>
      <c r="O109" s="445"/>
      <c r="P109" s="445"/>
      <c r="Q109" s="445"/>
      <c r="R109" s="445"/>
      <c r="U109" s="114" t="str">
        <f>B6</f>
        <v>Hammersmith, Fulham, Kensington, Chelsea and Westminster</v>
      </c>
      <c r="V109" s="441" t="s">
        <v>1364</v>
      </c>
      <c r="W109" s="442"/>
      <c r="X109" s="442"/>
      <c r="Y109" s="442"/>
      <c r="Z109" s="442"/>
      <c r="AA109" s="442"/>
      <c r="AB109" s="442"/>
      <c r="AC109" s="442"/>
      <c r="AD109" s="442"/>
      <c r="AE109" s="442"/>
      <c r="AF109" s="442"/>
      <c r="AG109" s="442"/>
      <c r="AH109" s="442"/>
      <c r="AI109" s="442"/>
      <c r="AJ109" s="442"/>
      <c r="AK109" s="443"/>
    </row>
    <row r="110" spans="2:37" ht="14.25" customHeight="1" x14ac:dyDescent="0.15">
      <c r="B110" s="95" t="s">
        <v>1000</v>
      </c>
      <c r="C110" s="38" t="s">
        <v>864</v>
      </c>
      <c r="D110" s="38" t="s">
        <v>865</v>
      </c>
      <c r="E110" s="38" t="s">
        <v>866</v>
      </c>
      <c r="F110" s="38" t="s">
        <v>867</v>
      </c>
      <c r="G110" s="38" t="s">
        <v>868</v>
      </c>
      <c r="H110" s="38" t="s">
        <v>869</v>
      </c>
      <c r="I110" s="38" t="s">
        <v>870</v>
      </c>
      <c r="J110" s="38" t="s">
        <v>871</v>
      </c>
      <c r="K110" s="38" t="s">
        <v>872</v>
      </c>
      <c r="L110" s="38" t="s">
        <v>873</v>
      </c>
      <c r="M110" s="38" t="s">
        <v>874</v>
      </c>
      <c r="N110" s="38" t="s">
        <v>875</v>
      </c>
      <c r="O110" s="38" t="s">
        <v>876</v>
      </c>
      <c r="P110" s="38" t="s">
        <v>877</v>
      </c>
      <c r="Q110" s="38" t="s">
        <v>878</v>
      </c>
      <c r="R110" s="38" t="s">
        <v>879</v>
      </c>
      <c r="U110" s="95" t="s">
        <v>1001</v>
      </c>
      <c r="V110" s="38" t="s">
        <v>864</v>
      </c>
      <c r="W110" s="38" t="s">
        <v>865</v>
      </c>
      <c r="X110" s="38" t="s">
        <v>866</v>
      </c>
      <c r="Y110" s="38" t="s">
        <v>867</v>
      </c>
      <c r="Z110" s="38" t="s">
        <v>868</v>
      </c>
      <c r="AA110" s="38" t="s">
        <v>869</v>
      </c>
      <c r="AB110" s="38" t="s">
        <v>870</v>
      </c>
      <c r="AC110" s="38" t="s">
        <v>871</v>
      </c>
      <c r="AD110" s="38" t="s">
        <v>872</v>
      </c>
      <c r="AE110" s="38" t="s">
        <v>873</v>
      </c>
      <c r="AF110" s="38" t="s">
        <v>874</v>
      </c>
      <c r="AG110" s="38" t="s">
        <v>875</v>
      </c>
      <c r="AH110" s="38" t="s">
        <v>876</v>
      </c>
      <c r="AI110" s="38" t="s">
        <v>877</v>
      </c>
      <c r="AJ110" s="38" t="s">
        <v>878</v>
      </c>
      <c r="AK110" s="38" t="s">
        <v>879</v>
      </c>
    </row>
    <row r="111" spans="2:37" ht="14.25" customHeight="1" x14ac:dyDescent="0.15">
      <c r="B111" s="75" t="s">
        <v>997</v>
      </c>
      <c r="C111" s="75">
        <f>SUMIFS('caseload data'!E:E,'caseload data'!$D:$D,"PO",'caseload data'!$C:$C,'cluster overview'!$B$102,'caseload data'!$B:$B,"licence")</f>
        <v>0</v>
      </c>
      <c r="D111" s="75">
        <f>SUMIFS('caseload data'!F:F,'caseload data'!$D:$D,"PO",'caseload data'!$C:$C,'cluster overview'!$B$102,'caseload data'!$B:$B,"licence")</f>
        <v>0</v>
      </c>
      <c r="E111" s="75">
        <f>SUMIFS('caseload data'!G:G,'caseload data'!$D:$D,"PO",'caseload data'!$C:$C,'cluster overview'!$B$102,'caseload data'!$B:$B,"licence")</f>
        <v>0</v>
      </c>
      <c r="F111" s="75">
        <f>SUMIFS('caseload data'!H:H,'caseload data'!$D:$D,"PO",'caseload data'!$C:$C,'cluster overview'!$B$102,'caseload data'!$B:$B,"licence")</f>
        <v>0</v>
      </c>
      <c r="G111" s="75">
        <f>SUMIFS('caseload data'!I:I,'caseload data'!$D:$D,"PO",'caseload data'!$C:$C,'cluster overview'!$B$102,'caseload data'!$B:$B,"licence")</f>
        <v>0</v>
      </c>
      <c r="H111" s="75">
        <f>SUMIFS('caseload data'!J:J,'caseload data'!$D:$D,"PO",'caseload data'!$C:$C,'cluster overview'!$B$102,'caseload data'!$B:$B,"licence")</f>
        <v>0</v>
      </c>
      <c r="I111" s="75">
        <f>SUMIFS('caseload data'!K:K,'caseload data'!$D:$D,"PO",'caseload data'!$C:$C,'cluster overview'!$B$102,'caseload data'!$B:$B,"licence")</f>
        <v>0</v>
      </c>
      <c r="J111" s="75">
        <f>SUMIFS('caseload data'!L:L,'caseload data'!$D:$D,"PO",'caseload data'!$C:$C,'cluster overview'!$B$102,'caseload data'!$B:$B,"licence")</f>
        <v>0</v>
      </c>
      <c r="K111" s="75">
        <f>SUMIFS('caseload data'!M:M,'caseload data'!$D:$D,"PO",'caseload data'!$C:$C,'cluster overview'!$B$102,'caseload data'!$B:$B,"licence")</f>
        <v>0</v>
      </c>
      <c r="L111" s="75">
        <f>SUMIFS('caseload data'!N:N,'caseload data'!$D:$D,"PO",'caseload data'!$C:$C,'cluster overview'!$B$102,'caseload data'!$B:$B,"licence")</f>
        <v>0</v>
      </c>
      <c r="M111" s="75">
        <f>SUMIFS('caseload data'!O:O,'caseload data'!$D:$D,"PO",'caseload data'!$C:$C,'cluster overview'!$B$102,'caseload data'!$B:$B,"licence")</f>
        <v>0</v>
      </c>
      <c r="N111" s="75">
        <f>SUMIFS('caseload data'!P:P,'caseload data'!$D:$D,"PO",'caseload data'!$C:$C,'cluster overview'!$B$102,'caseload data'!$B:$B,"licence")</f>
        <v>0</v>
      </c>
      <c r="O111" s="75">
        <f>SUMIFS('caseload data'!Q:Q,'caseload data'!$D:$D,"PO",'caseload data'!$C:$C,'cluster overview'!$B$102,'caseload data'!$B:$B,"licence")</f>
        <v>0</v>
      </c>
      <c r="P111" s="75">
        <f>SUMIFS('caseload data'!R:R,'caseload data'!$D:$D,"PO",'caseload data'!$C:$C,'cluster overview'!$B$102,'caseload data'!$B:$B,"licence")</f>
        <v>0</v>
      </c>
      <c r="Q111" s="75">
        <f>SUMIFS('caseload data'!S:S,'caseload data'!$D:$D,"PO",'caseload data'!$C:$C,'cluster overview'!$B$102,'caseload data'!$B:$B,"licence")</f>
        <v>0</v>
      </c>
      <c r="R111" s="75">
        <f>SUMIFS('caseload data'!T:T,'caseload data'!$D:$D,"PO",'caseload data'!$C:$C,'cluster overview'!$B$102,'caseload data'!$B:$B,"licence")</f>
        <v>0</v>
      </c>
      <c r="U111" s="75" t="s">
        <v>997</v>
      </c>
      <c r="V111" s="67" t="str">
        <f>IFERROR(C$111/SUM(C$111:C$114),"")</f>
        <v/>
      </c>
      <c r="W111" s="67" t="str">
        <f>IFERROR(D$111/SUM(D$111:D$114),"")</f>
        <v/>
      </c>
      <c r="X111" s="67" t="str">
        <f t="shared" ref="X111:AK111" si="12">IFERROR(E$111/SUM(E$111:E$114),"")</f>
        <v/>
      </c>
      <c r="Y111" s="67" t="str">
        <f t="shared" si="12"/>
        <v/>
      </c>
      <c r="Z111" s="67" t="str">
        <f t="shared" si="12"/>
        <v/>
      </c>
      <c r="AA111" s="67" t="str">
        <f t="shared" si="12"/>
        <v/>
      </c>
      <c r="AB111" s="67" t="str">
        <f t="shared" si="12"/>
        <v/>
      </c>
      <c r="AC111" s="67" t="str">
        <f t="shared" si="12"/>
        <v/>
      </c>
      <c r="AD111" s="67" t="str">
        <f t="shared" si="12"/>
        <v/>
      </c>
      <c r="AE111" s="67" t="str">
        <f t="shared" si="12"/>
        <v/>
      </c>
      <c r="AF111" s="67" t="str">
        <f t="shared" si="12"/>
        <v/>
      </c>
      <c r="AG111" s="67" t="str">
        <f t="shared" si="12"/>
        <v/>
      </c>
      <c r="AH111" s="67" t="str">
        <f t="shared" si="12"/>
        <v/>
      </c>
      <c r="AI111" s="67" t="str">
        <f t="shared" si="12"/>
        <v/>
      </c>
      <c r="AJ111" s="67" t="str">
        <f t="shared" si="12"/>
        <v/>
      </c>
      <c r="AK111" s="67" t="str">
        <f t="shared" si="12"/>
        <v/>
      </c>
    </row>
    <row r="112" spans="2:37" ht="14.25" customHeight="1" x14ac:dyDescent="0.15">
      <c r="B112" s="75" t="s">
        <v>1002</v>
      </c>
      <c r="C112" s="75">
        <f>SUMIFS('caseload data'!E:E,'caseload data'!$D:$D,"PSO",'caseload data'!$C:$C,'cluster overview'!$B$102,'caseload data'!$B:$B,"licence")</f>
        <v>0</v>
      </c>
      <c r="D112" s="75">
        <f>SUMIFS('caseload data'!F:F,'caseload data'!$D:$D,"PSO",'caseload data'!$C:$C,'cluster overview'!$B$102,'caseload data'!$B:$B,"licence")</f>
        <v>0</v>
      </c>
      <c r="E112" s="75">
        <f>SUMIFS('caseload data'!G:G,'caseload data'!$D:$D,"PSO",'caseload data'!$C:$C,'cluster overview'!$B$102,'caseload data'!$B:$B,"licence")</f>
        <v>0</v>
      </c>
      <c r="F112" s="75">
        <f>SUMIFS('caseload data'!H:H,'caseload data'!$D:$D,"PSO",'caseload data'!$C:$C,'cluster overview'!$B$102,'caseload data'!$B:$B,"licence")</f>
        <v>0</v>
      </c>
      <c r="G112" s="75">
        <f>SUMIFS('caseload data'!I:I,'caseload data'!$D:$D,"PSO",'caseload data'!$C:$C,'cluster overview'!$B$102,'caseload data'!$B:$B,"licence")</f>
        <v>0</v>
      </c>
      <c r="H112" s="75">
        <f>SUMIFS('caseload data'!J:J,'caseload data'!$D:$D,"PSO",'caseload data'!$C:$C,'cluster overview'!$B$102,'caseload data'!$B:$B,"licence")</f>
        <v>0</v>
      </c>
      <c r="I112" s="75">
        <f>SUMIFS('caseload data'!K:K,'caseload data'!$D:$D,"PSO",'caseload data'!$C:$C,'cluster overview'!$B$102,'caseload data'!$B:$B,"licence")</f>
        <v>0</v>
      </c>
      <c r="J112" s="75">
        <f>SUMIFS('caseload data'!L:L,'caseload data'!$D:$D,"PSO",'caseload data'!$C:$C,'cluster overview'!$B$102,'caseload data'!$B:$B,"licence")</f>
        <v>0</v>
      </c>
      <c r="K112" s="75">
        <f>SUMIFS('caseload data'!M:M,'caseload data'!$D:$D,"PSO",'caseload data'!$C:$C,'cluster overview'!$B$102,'caseload data'!$B:$B,"licence")</f>
        <v>0</v>
      </c>
      <c r="L112" s="75">
        <f>SUMIFS('caseload data'!N:N,'caseload data'!$D:$D,"PSO",'caseload data'!$C:$C,'cluster overview'!$B$102,'caseload data'!$B:$B,"licence")</f>
        <v>0</v>
      </c>
      <c r="M112" s="75">
        <f>SUMIFS('caseload data'!O:O,'caseload data'!$D:$D,"PSO",'caseload data'!$C:$C,'cluster overview'!$B$102,'caseload data'!$B:$B,"licence")</f>
        <v>0</v>
      </c>
      <c r="N112" s="75">
        <f>SUMIFS('caseload data'!P:P,'caseload data'!$D:$D,"PSO",'caseload data'!$C:$C,'cluster overview'!$B$102,'caseload data'!$B:$B,"licence")</f>
        <v>0</v>
      </c>
      <c r="O112" s="75">
        <f>SUMIFS('caseload data'!Q:Q,'caseload data'!$D:$D,"PSO",'caseload data'!$C:$C,'cluster overview'!$B$102,'caseload data'!$B:$B,"licence")</f>
        <v>0</v>
      </c>
      <c r="P112" s="75">
        <f>SUMIFS('caseload data'!R:R,'caseload data'!$D:$D,"PSO",'caseload data'!$C:$C,'cluster overview'!$B$102,'caseload data'!$B:$B,"licence")</f>
        <v>0</v>
      </c>
      <c r="Q112" s="75">
        <f>SUMIFS('caseload data'!S:S,'caseload data'!$D:$D,"PSO",'caseload data'!$C:$C,'cluster overview'!$B$102,'caseload data'!$B:$B,"licence")</f>
        <v>0</v>
      </c>
      <c r="R112" s="75">
        <f>SUMIFS('caseload data'!T:T,'caseload data'!$D:$D,"PSO",'caseload data'!$C:$C,'cluster overview'!$B$102,'caseload data'!$B:$B,"licence")</f>
        <v>0</v>
      </c>
      <c r="U112" s="75" t="s">
        <v>1002</v>
      </c>
      <c r="V112" s="67" t="str">
        <f>IFERROR(C$112/SUM(C$111:C$114),"")</f>
        <v/>
      </c>
      <c r="W112" s="67" t="str">
        <f>IFERROR(D$112/SUM(D$111:D$114),"")</f>
        <v/>
      </c>
      <c r="X112" s="67" t="str">
        <f t="shared" ref="X112:AK112" si="13">IFERROR(E$112/SUM(E$111:E$114),"")</f>
        <v/>
      </c>
      <c r="Y112" s="67" t="str">
        <f t="shared" si="13"/>
        <v/>
      </c>
      <c r="Z112" s="67" t="str">
        <f t="shared" si="13"/>
        <v/>
      </c>
      <c r="AA112" s="67" t="str">
        <f t="shared" si="13"/>
        <v/>
      </c>
      <c r="AB112" s="67" t="str">
        <f t="shared" si="13"/>
        <v/>
      </c>
      <c r="AC112" s="67" t="str">
        <f t="shared" si="13"/>
        <v/>
      </c>
      <c r="AD112" s="67" t="str">
        <f t="shared" si="13"/>
        <v/>
      </c>
      <c r="AE112" s="67" t="str">
        <f t="shared" si="13"/>
        <v/>
      </c>
      <c r="AF112" s="67" t="str">
        <f t="shared" si="13"/>
        <v/>
      </c>
      <c r="AG112" s="67" t="str">
        <f t="shared" si="13"/>
        <v/>
      </c>
      <c r="AH112" s="67" t="str">
        <f t="shared" si="13"/>
        <v/>
      </c>
      <c r="AI112" s="67" t="str">
        <f t="shared" si="13"/>
        <v/>
      </c>
      <c r="AJ112" s="67" t="str">
        <f t="shared" si="13"/>
        <v/>
      </c>
      <c r="AK112" s="67" t="str">
        <f t="shared" si="13"/>
        <v/>
      </c>
    </row>
    <row r="113" spans="2:37" ht="14.25" customHeight="1" x14ac:dyDescent="0.15">
      <c r="B113" s="75" t="s">
        <v>1003</v>
      </c>
      <c r="C113" s="75">
        <f>SUMIFS('caseload data'!E:E,'caseload data'!$D:$D,"TPO",'caseload data'!$C:$C,'cluster overview'!$B$102,'caseload data'!$B:$B,"licence")</f>
        <v>0</v>
      </c>
      <c r="D113" s="75">
        <f>SUMIFS('caseload data'!F:F,'caseload data'!$D:$D,"TPO",'caseload data'!$C:$C,'cluster overview'!$B$102,'caseload data'!$B:$B,"licence")</f>
        <v>0</v>
      </c>
      <c r="E113" s="75">
        <f>SUMIFS('caseload data'!G:G,'caseload data'!$D:$D,"TPO",'caseload data'!$C:$C,'cluster overview'!$B$102,'caseload data'!$B:$B,"licence")</f>
        <v>0</v>
      </c>
      <c r="F113" s="75">
        <f>SUMIFS('caseload data'!H:H,'caseload data'!$D:$D,"TPO",'caseload data'!$C:$C,'cluster overview'!$B$102,'caseload data'!$B:$B,"licence")</f>
        <v>0</v>
      </c>
      <c r="G113" s="75">
        <f>SUMIFS('caseload data'!I:I,'caseload data'!$D:$D,"TPO",'caseload data'!$C:$C,'cluster overview'!$B$102,'caseload data'!$B:$B,"licence")</f>
        <v>0</v>
      </c>
      <c r="H113" s="75">
        <f>SUMIFS('caseload data'!J:J,'caseload data'!$D:$D,"TPO",'caseload data'!$C:$C,'cluster overview'!$B$102,'caseload data'!$B:$B,"licence")</f>
        <v>0</v>
      </c>
      <c r="I113" s="75">
        <f>SUMIFS('caseload data'!K:K,'caseload data'!$D:$D,"TPO",'caseload data'!$C:$C,'cluster overview'!$B$102,'caseload data'!$B:$B,"licence")</f>
        <v>0</v>
      </c>
      <c r="J113" s="75">
        <f>SUMIFS('caseload data'!L:L,'caseload data'!$D:$D,"TPO",'caseload data'!$C:$C,'cluster overview'!$B$102,'caseload data'!$B:$B,"licence")</f>
        <v>0</v>
      </c>
      <c r="K113" s="75">
        <f>SUMIFS('caseload data'!M:M,'caseload data'!$D:$D,"TPO",'caseload data'!$C:$C,'cluster overview'!$B$102,'caseload data'!$B:$B,"licence")</f>
        <v>0</v>
      </c>
      <c r="L113" s="75">
        <f>SUMIFS('caseload data'!N:N,'caseload data'!$D:$D,"TPO",'caseload data'!$C:$C,'cluster overview'!$B$102,'caseload data'!$B:$B,"licence")</f>
        <v>0</v>
      </c>
      <c r="M113" s="75">
        <f>SUMIFS('caseload data'!O:O,'caseload data'!$D:$D,"TPO",'caseload data'!$C:$C,'cluster overview'!$B$102,'caseload data'!$B:$B,"licence")</f>
        <v>0</v>
      </c>
      <c r="N113" s="75">
        <f>SUMIFS('caseload data'!P:P,'caseload data'!$D:$D,"TPO",'caseload data'!$C:$C,'cluster overview'!$B$102,'caseload data'!$B:$B,"licence")</f>
        <v>0</v>
      </c>
      <c r="O113" s="75">
        <f>SUMIFS('caseload data'!Q:Q,'caseload data'!$D:$D,"TPO",'caseload data'!$C:$C,'cluster overview'!$B$102,'caseload data'!$B:$B,"licence")</f>
        <v>0</v>
      </c>
      <c r="P113" s="75">
        <f>SUMIFS('caseload data'!R:R,'caseload data'!$D:$D,"TPO",'caseload data'!$C:$C,'cluster overview'!$B$102,'caseload data'!$B:$B,"licence")</f>
        <v>0</v>
      </c>
      <c r="Q113" s="75">
        <f>SUMIFS('caseload data'!S:S,'caseload data'!$D:$D,"TPO",'caseload data'!$C:$C,'cluster overview'!$B$102,'caseload data'!$B:$B,"licence")</f>
        <v>0</v>
      </c>
      <c r="R113" s="75">
        <f>SUMIFS('caseload data'!T:T,'caseload data'!$D:$D,"TPO",'caseload data'!$C:$C,'cluster overview'!$B$102,'caseload data'!$B:$B,"licence")</f>
        <v>0</v>
      </c>
      <c r="U113" s="75" t="s">
        <v>1003</v>
      </c>
      <c r="V113" s="67" t="str">
        <f>IFERROR(C$113/SUM(C$111:C$114),"")</f>
        <v/>
      </c>
      <c r="W113" s="67" t="str">
        <f>IFERROR(D$113/SUM(D$111:D$114),"")</f>
        <v/>
      </c>
      <c r="X113" s="67" t="str">
        <f t="shared" ref="X113:AK113" si="14">IFERROR(E$113/SUM(E$111:E$114),"")</f>
        <v/>
      </c>
      <c r="Y113" s="67" t="str">
        <f t="shared" si="14"/>
        <v/>
      </c>
      <c r="Z113" s="67" t="str">
        <f t="shared" si="14"/>
        <v/>
      </c>
      <c r="AA113" s="67" t="str">
        <f t="shared" si="14"/>
        <v/>
      </c>
      <c r="AB113" s="67" t="str">
        <f t="shared" si="14"/>
        <v/>
      </c>
      <c r="AC113" s="67" t="str">
        <f t="shared" si="14"/>
        <v/>
      </c>
      <c r="AD113" s="67" t="str">
        <f t="shared" si="14"/>
        <v/>
      </c>
      <c r="AE113" s="67" t="str">
        <f t="shared" si="14"/>
        <v/>
      </c>
      <c r="AF113" s="67" t="str">
        <f t="shared" si="14"/>
        <v/>
      </c>
      <c r="AG113" s="67" t="str">
        <f t="shared" si="14"/>
        <v/>
      </c>
      <c r="AH113" s="67" t="str">
        <f t="shared" si="14"/>
        <v/>
      </c>
      <c r="AI113" s="67" t="str">
        <f t="shared" si="14"/>
        <v/>
      </c>
      <c r="AJ113" s="67" t="str">
        <f t="shared" si="14"/>
        <v/>
      </c>
      <c r="AK113" s="67" t="str">
        <f t="shared" si="14"/>
        <v/>
      </c>
    </row>
    <row r="114" spans="2:37" ht="14.25" customHeight="1" x14ac:dyDescent="0.15">
      <c r="B114" s="75" t="s">
        <v>1004</v>
      </c>
      <c r="C114" s="75">
        <f>SUMIFS('caseload data'!E:E,'caseload data'!$D:$D,"SPO",'caseload data'!$C:$C,'cluster overview'!$B$102,'caseload data'!$B:$B,"licence")</f>
        <v>0</v>
      </c>
      <c r="D114" s="75">
        <f>SUMIFS('caseload data'!F:F,'caseload data'!$D:$D,"SPO",'caseload data'!$C:$C,'cluster overview'!$B$102,'caseload data'!$B:$B,"licence")</f>
        <v>0</v>
      </c>
      <c r="E114" s="75">
        <f>SUMIFS('caseload data'!G:G,'caseload data'!$D:$D,"SPO",'caseload data'!$C:$C,'cluster overview'!$B$102,'caseload data'!$B:$B,"licence")</f>
        <v>0</v>
      </c>
      <c r="F114" s="75">
        <f>SUMIFS('caseload data'!H:H,'caseload data'!$D:$D,"SPO",'caseload data'!$C:$C,'cluster overview'!$B$102,'caseload data'!$B:$B,"licence")</f>
        <v>0</v>
      </c>
      <c r="G114" s="75">
        <f>SUMIFS('caseload data'!I:I,'caseload data'!$D:$D,"SPO",'caseload data'!$C:$C,'cluster overview'!$B$102,'caseload data'!$B:$B,"licence")</f>
        <v>0</v>
      </c>
      <c r="H114" s="75">
        <f>SUMIFS('caseload data'!J:J,'caseload data'!$D:$D,"SPO",'caseload data'!$C:$C,'cluster overview'!$B$102,'caseload data'!$B:$B,"licence")</f>
        <v>0</v>
      </c>
      <c r="I114" s="75">
        <f>SUMIFS('caseload data'!K:K,'caseload data'!$D:$D,"SPO",'caseload data'!$C:$C,'cluster overview'!$B$102,'caseload data'!$B:$B,"licence")</f>
        <v>0</v>
      </c>
      <c r="J114" s="75">
        <f>SUMIFS('caseload data'!L:L,'caseload data'!$D:$D,"SPO",'caseload data'!$C:$C,'cluster overview'!$B$102,'caseload data'!$B:$B,"licence")</f>
        <v>0</v>
      </c>
      <c r="K114" s="75">
        <f>SUMIFS('caseload data'!M:M,'caseload data'!$D:$D,"SPO",'caseload data'!$C:$C,'cluster overview'!$B$102,'caseload data'!$B:$B,"licence")</f>
        <v>0</v>
      </c>
      <c r="L114" s="75">
        <f>SUMIFS('caseload data'!N:N,'caseload data'!$D:$D,"SPO",'caseload data'!$C:$C,'cluster overview'!$B$102,'caseload data'!$B:$B,"licence")</f>
        <v>0</v>
      </c>
      <c r="M114" s="75">
        <f>SUMIFS('caseload data'!O:O,'caseload data'!$D:$D,"SPO",'caseload data'!$C:$C,'cluster overview'!$B$102,'caseload data'!$B:$B,"licence")</f>
        <v>0</v>
      </c>
      <c r="N114" s="75">
        <f>SUMIFS('caseload data'!P:P,'caseload data'!$D:$D,"SPO",'caseload data'!$C:$C,'cluster overview'!$B$102,'caseload data'!$B:$B,"licence")</f>
        <v>0</v>
      </c>
      <c r="O114" s="75">
        <f>SUMIFS('caseload data'!Q:Q,'caseload data'!$D:$D,"SPO",'caseload data'!$C:$C,'cluster overview'!$B$102,'caseload data'!$B:$B,"licence")</f>
        <v>0</v>
      </c>
      <c r="P114" s="75">
        <f>SUMIFS('caseload data'!R:R,'caseload data'!$D:$D,"SPO",'caseload data'!$C:$C,'cluster overview'!$B$102,'caseload data'!$B:$B,"licence")</f>
        <v>0</v>
      </c>
      <c r="Q114" s="75">
        <f>SUMIFS('caseload data'!S:S,'caseload data'!$D:$D,"SPO",'caseload data'!$C:$C,'cluster overview'!$B$102,'caseload data'!$B:$B,"licence")</f>
        <v>0</v>
      </c>
      <c r="R114" s="75">
        <f>SUMIFS('caseload data'!T:T,'caseload data'!$D:$D,"SPO",'caseload data'!$C:$C,'cluster overview'!$B$102,'caseload data'!$B:$B,"licence")</f>
        <v>0</v>
      </c>
      <c r="U114" s="75" t="s">
        <v>1004</v>
      </c>
      <c r="V114" s="67" t="str">
        <f>IFERROR(C$114/SUM(C$111:C$114),"")</f>
        <v/>
      </c>
      <c r="W114" s="67" t="str">
        <f>IFERROR(D$114/SUM(D$111:D$114),"")</f>
        <v/>
      </c>
      <c r="X114" s="67" t="str">
        <f t="shared" ref="X114:AK114" si="15">IFERROR(E$114/SUM(E$111:E$114),"")</f>
        <v/>
      </c>
      <c r="Y114" s="67" t="str">
        <f t="shared" si="15"/>
        <v/>
      </c>
      <c r="Z114" s="67" t="str">
        <f t="shared" si="15"/>
        <v/>
      </c>
      <c r="AA114" s="67" t="str">
        <f t="shared" si="15"/>
        <v/>
      </c>
      <c r="AB114" s="67" t="str">
        <f t="shared" si="15"/>
        <v/>
      </c>
      <c r="AC114" s="67" t="str">
        <f t="shared" si="15"/>
        <v/>
      </c>
      <c r="AD114" s="67" t="str">
        <f t="shared" si="15"/>
        <v/>
      </c>
      <c r="AE114" s="67" t="str">
        <f t="shared" si="15"/>
        <v/>
      </c>
      <c r="AF114" s="67" t="str">
        <f t="shared" si="15"/>
        <v/>
      </c>
      <c r="AG114" s="67" t="str">
        <f t="shared" si="15"/>
        <v/>
      </c>
      <c r="AH114" s="67" t="str">
        <f t="shared" si="15"/>
        <v/>
      </c>
      <c r="AI114" s="67" t="str">
        <f t="shared" si="15"/>
        <v/>
      </c>
      <c r="AJ114" s="67" t="str">
        <f t="shared" si="15"/>
        <v/>
      </c>
      <c r="AK114" s="67" t="str">
        <f t="shared" si="15"/>
        <v/>
      </c>
    </row>
    <row r="115" spans="2:37" ht="39" customHeight="1" x14ac:dyDescent="0.15">
      <c r="B115" s="21"/>
    </row>
    <row r="116" spans="2:37" ht="14.25" customHeight="1" x14ac:dyDescent="0.2">
      <c r="B116" s="334" t="str">
        <f>B6</f>
        <v>Hammersmith, Fulham, Kensington, Chelsea and Westminster</v>
      </c>
      <c r="C116" s="444" t="s">
        <v>1006</v>
      </c>
      <c r="D116" s="445"/>
      <c r="E116" s="445"/>
      <c r="F116" s="445"/>
      <c r="G116" s="445"/>
      <c r="H116" s="445"/>
      <c r="I116" s="445"/>
      <c r="J116" s="445"/>
      <c r="K116" s="445"/>
      <c r="L116" s="445"/>
      <c r="M116" s="445"/>
      <c r="N116" s="445"/>
      <c r="O116" s="445"/>
      <c r="P116" s="445"/>
      <c r="Q116" s="445"/>
      <c r="R116" s="445"/>
      <c r="U116" s="114" t="str">
        <f>B6</f>
        <v>Hammersmith, Fulham, Kensington, Chelsea and Westminster</v>
      </c>
      <c r="V116" s="441" t="s">
        <v>1362</v>
      </c>
      <c r="W116" s="442"/>
      <c r="X116" s="442"/>
      <c r="Y116" s="442"/>
      <c r="Z116" s="442"/>
      <c r="AA116" s="442"/>
      <c r="AB116" s="442"/>
      <c r="AC116" s="442"/>
      <c r="AD116" s="442"/>
      <c r="AE116" s="442"/>
      <c r="AF116" s="442"/>
      <c r="AG116" s="442"/>
      <c r="AH116" s="442"/>
      <c r="AI116" s="442"/>
      <c r="AJ116" s="442"/>
      <c r="AK116" s="443"/>
    </row>
    <row r="117" spans="2:37" ht="14.25" customHeight="1" x14ac:dyDescent="0.15">
      <c r="B117" s="95" t="s">
        <v>1000</v>
      </c>
      <c r="C117" s="38" t="s">
        <v>864</v>
      </c>
      <c r="D117" s="38" t="s">
        <v>865</v>
      </c>
      <c r="E117" s="38" t="s">
        <v>866</v>
      </c>
      <c r="F117" s="38" t="s">
        <v>867</v>
      </c>
      <c r="G117" s="38" t="s">
        <v>868</v>
      </c>
      <c r="H117" s="38" t="s">
        <v>869</v>
      </c>
      <c r="I117" s="38" t="s">
        <v>870</v>
      </c>
      <c r="J117" s="38" t="s">
        <v>871</v>
      </c>
      <c r="K117" s="38" t="s">
        <v>872</v>
      </c>
      <c r="L117" s="38" t="s">
        <v>873</v>
      </c>
      <c r="M117" s="38" t="s">
        <v>874</v>
      </c>
      <c r="N117" s="38" t="s">
        <v>875</v>
      </c>
      <c r="O117" s="38" t="s">
        <v>876</v>
      </c>
      <c r="P117" s="38" t="s">
        <v>877</v>
      </c>
      <c r="Q117" s="38" t="s">
        <v>878</v>
      </c>
      <c r="R117" s="38" t="s">
        <v>879</v>
      </c>
      <c r="U117" s="95" t="s">
        <v>1001</v>
      </c>
      <c r="V117" s="38" t="s">
        <v>864</v>
      </c>
      <c r="W117" s="38" t="s">
        <v>865</v>
      </c>
      <c r="X117" s="38" t="s">
        <v>866</v>
      </c>
      <c r="Y117" s="38" t="s">
        <v>867</v>
      </c>
      <c r="Z117" s="38" t="s">
        <v>868</v>
      </c>
      <c r="AA117" s="38" t="s">
        <v>869</v>
      </c>
      <c r="AB117" s="38" t="s">
        <v>870</v>
      </c>
      <c r="AC117" s="38" t="s">
        <v>871</v>
      </c>
      <c r="AD117" s="38" t="s">
        <v>872</v>
      </c>
      <c r="AE117" s="38" t="s">
        <v>873</v>
      </c>
      <c r="AF117" s="38" t="s">
        <v>874</v>
      </c>
      <c r="AG117" s="38" t="s">
        <v>875</v>
      </c>
      <c r="AH117" s="38" t="s">
        <v>876</v>
      </c>
      <c r="AI117" s="38" t="s">
        <v>877</v>
      </c>
      <c r="AJ117" s="38" t="s">
        <v>878</v>
      </c>
      <c r="AK117" s="38" t="s">
        <v>879</v>
      </c>
    </row>
    <row r="118" spans="2:37" ht="14.25" customHeight="1" x14ac:dyDescent="0.15">
      <c r="B118" s="75" t="s">
        <v>997</v>
      </c>
      <c r="C118" s="75">
        <f>SUMIFS('caseload data'!E:E,'caseload data'!$D:$D,"PO",'caseload data'!$C:$C,'cluster overview'!$B$102,'caseload data'!$B:$B,"custody")</f>
        <v>0</v>
      </c>
      <c r="D118" s="75">
        <f>SUMIFS('caseload data'!F:F,'caseload data'!$D:$D,"PO",'caseload data'!$C:$C,'cluster overview'!$B$102,'caseload data'!$B:$B,"custody")</f>
        <v>0</v>
      </c>
      <c r="E118" s="75">
        <f>SUMIFS('caseload data'!G:G,'caseload data'!$D:$D,"PO",'caseload data'!$C:$C,'cluster overview'!$B$102,'caseload data'!$B:$B,"custody")</f>
        <v>0</v>
      </c>
      <c r="F118" s="75">
        <f>SUMIFS('caseload data'!H:H,'caseload data'!$D:$D,"PO",'caseload data'!$C:$C,'cluster overview'!$B$102,'caseload data'!$B:$B,"custody")</f>
        <v>0</v>
      </c>
      <c r="G118" s="75">
        <f>SUMIFS('caseload data'!I:I,'caseload data'!$D:$D,"PO",'caseload data'!$C:$C,'cluster overview'!$B$102,'caseload data'!$B:$B,"custody")</f>
        <v>0</v>
      </c>
      <c r="H118" s="75">
        <f>SUMIFS('caseload data'!J:J,'caseload data'!$D:$D,"PO",'caseload data'!$C:$C,'cluster overview'!$B$102,'caseload data'!$B:$B,"custody")</f>
        <v>0</v>
      </c>
      <c r="I118" s="75">
        <f>SUMIFS('caseload data'!K:K,'caseload data'!$D:$D,"PO",'caseload data'!$C:$C,'cluster overview'!$B$102,'caseload data'!$B:$B,"custody")</f>
        <v>0</v>
      </c>
      <c r="J118" s="75">
        <f>SUMIFS('caseload data'!L:L,'caseload data'!$D:$D,"PO",'caseload data'!$C:$C,'cluster overview'!$B$102,'caseload data'!$B:$B,"custody")</f>
        <v>0</v>
      </c>
      <c r="K118" s="75">
        <f>SUMIFS('caseload data'!M:M,'caseload data'!$D:$D,"PO",'caseload data'!$C:$C,'cluster overview'!$B$102,'caseload data'!$B:$B,"custody")</f>
        <v>0</v>
      </c>
      <c r="L118" s="75">
        <f>SUMIFS('caseload data'!N:N,'caseload data'!$D:$D,"PO",'caseload data'!$C:$C,'cluster overview'!$B$102,'caseload data'!$B:$B,"custody")</f>
        <v>0</v>
      </c>
      <c r="M118" s="75">
        <f>SUMIFS('caseload data'!O:O,'caseload data'!$D:$D,"PO",'caseload data'!$C:$C,'cluster overview'!$B$102,'caseload data'!$B:$B,"custody")</f>
        <v>0</v>
      </c>
      <c r="N118" s="75">
        <f>SUMIFS('caseload data'!P:P,'caseload data'!$D:$D,"PO",'caseload data'!$C:$C,'cluster overview'!$B$102,'caseload data'!$B:$B,"custody")</f>
        <v>0</v>
      </c>
      <c r="O118" s="75">
        <f>SUMIFS('caseload data'!Q:Q,'caseload data'!$D:$D,"PO",'caseload data'!$C:$C,'cluster overview'!$B$102,'caseload data'!$B:$B,"custody")</f>
        <v>0</v>
      </c>
      <c r="P118" s="75">
        <f>SUMIFS('caseload data'!R:R,'caseload data'!$D:$D,"PO",'caseload data'!$C:$C,'cluster overview'!$B$102,'caseload data'!$B:$B,"custody")</f>
        <v>0</v>
      </c>
      <c r="Q118" s="75">
        <f>SUMIFS('caseload data'!S:S,'caseload data'!$D:$D,"PO",'caseload data'!$C:$C,'cluster overview'!$B$102,'caseload data'!$B:$B,"custody")</f>
        <v>0</v>
      </c>
      <c r="R118" s="75">
        <f>SUMIFS('caseload data'!T:T,'caseload data'!$D:$D,"PO",'caseload data'!$C:$C,'cluster overview'!$B$102,'caseload data'!$B:$B,"custody")</f>
        <v>0</v>
      </c>
      <c r="U118" s="75" t="s">
        <v>997</v>
      </c>
      <c r="V118" s="67" t="str">
        <f>IFERROR(C$118/SUM(C$118:C$121),"")</f>
        <v/>
      </c>
      <c r="W118" s="67" t="str">
        <f>IFERROR(D$118/SUM(D$118:D$121),"")</f>
        <v/>
      </c>
      <c r="X118" s="67" t="str">
        <f t="shared" ref="X118:AK118" si="16">IFERROR(E$118/SUM(E$118:E$121),"")</f>
        <v/>
      </c>
      <c r="Y118" s="67" t="str">
        <f t="shared" si="16"/>
        <v/>
      </c>
      <c r="Z118" s="67" t="str">
        <f t="shared" si="16"/>
        <v/>
      </c>
      <c r="AA118" s="67" t="str">
        <f t="shared" si="16"/>
        <v/>
      </c>
      <c r="AB118" s="67" t="str">
        <f t="shared" si="16"/>
        <v/>
      </c>
      <c r="AC118" s="67" t="str">
        <f t="shared" si="16"/>
        <v/>
      </c>
      <c r="AD118" s="67" t="str">
        <f t="shared" si="16"/>
        <v/>
      </c>
      <c r="AE118" s="67" t="str">
        <f t="shared" si="16"/>
        <v/>
      </c>
      <c r="AF118" s="67" t="str">
        <f t="shared" si="16"/>
        <v/>
      </c>
      <c r="AG118" s="67" t="str">
        <f t="shared" si="16"/>
        <v/>
      </c>
      <c r="AH118" s="67" t="str">
        <f t="shared" si="16"/>
        <v/>
      </c>
      <c r="AI118" s="67" t="str">
        <f t="shared" si="16"/>
        <v/>
      </c>
      <c r="AJ118" s="67" t="str">
        <f t="shared" si="16"/>
        <v/>
      </c>
      <c r="AK118" s="67" t="str">
        <f t="shared" si="16"/>
        <v/>
      </c>
    </row>
    <row r="119" spans="2:37" ht="14.25" customHeight="1" x14ac:dyDescent="0.15">
      <c r="B119" s="75" t="s">
        <v>1002</v>
      </c>
      <c r="C119" s="75">
        <f>SUMIFS('caseload data'!E:E,'caseload data'!$D:$D,"PSO",'caseload data'!$C:$C,'cluster overview'!$B$102,'caseload data'!$B:$B,"custody")</f>
        <v>0</v>
      </c>
      <c r="D119" s="75">
        <f>SUMIFS('caseload data'!F:F,'caseload data'!$D:$D,"PSO",'caseload data'!$C:$C,'cluster overview'!$B$102,'caseload data'!$B:$B,"custody")</f>
        <v>0</v>
      </c>
      <c r="E119" s="75">
        <f>SUMIFS('caseload data'!G:G,'caseload data'!$D:$D,"PSO",'caseload data'!$C:$C,'cluster overview'!$B$102,'caseload data'!$B:$B,"custody")</f>
        <v>0</v>
      </c>
      <c r="F119" s="75">
        <f>SUMIFS('caseload data'!H:H,'caseload data'!$D:$D,"PSO",'caseload data'!$C:$C,'cluster overview'!$B$102,'caseload data'!$B:$B,"custody")</f>
        <v>0</v>
      </c>
      <c r="G119" s="75">
        <f>SUMIFS('caseload data'!I:I,'caseload data'!$D:$D,"PSO",'caseload data'!$C:$C,'cluster overview'!$B$102,'caseload data'!$B:$B,"custody")</f>
        <v>0</v>
      </c>
      <c r="H119" s="75">
        <f>SUMIFS('caseload data'!J:J,'caseload data'!$D:$D,"PSO",'caseload data'!$C:$C,'cluster overview'!$B$102,'caseload data'!$B:$B,"custody")</f>
        <v>0</v>
      </c>
      <c r="I119" s="75">
        <f>SUMIFS('caseload data'!K:K,'caseload data'!$D:$D,"PSO",'caseload data'!$C:$C,'cluster overview'!$B$102,'caseload data'!$B:$B,"custody")</f>
        <v>0</v>
      </c>
      <c r="J119" s="75">
        <f>SUMIFS('caseload data'!L:L,'caseload data'!$D:$D,"PSO",'caseload data'!$C:$C,'cluster overview'!$B$102,'caseload data'!$B:$B,"custody")</f>
        <v>0</v>
      </c>
      <c r="K119" s="75">
        <f>SUMIFS('caseload data'!M:M,'caseload data'!$D:$D,"PSO",'caseload data'!$C:$C,'cluster overview'!$B$102,'caseload data'!$B:$B,"custody")</f>
        <v>0</v>
      </c>
      <c r="L119" s="75">
        <f>SUMIFS('caseload data'!N:N,'caseload data'!$D:$D,"PSO",'caseload data'!$C:$C,'cluster overview'!$B$102,'caseload data'!$B:$B,"custody")</f>
        <v>0</v>
      </c>
      <c r="M119" s="75">
        <f>SUMIFS('caseload data'!O:O,'caseload data'!$D:$D,"PSO",'caseload data'!$C:$C,'cluster overview'!$B$102,'caseload data'!$B:$B,"custody")</f>
        <v>0</v>
      </c>
      <c r="N119" s="75">
        <f>SUMIFS('caseload data'!P:P,'caseload data'!$D:$D,"PSO",'caseload data'!$C:$C,'cluster overview'!$B$102,'caseload data'!$B:$B,"custody")</f>
        <v>0</v>
      </c>
      <c r="O119" s="75">
        <f>SUMIFS('caseload data'!Q:Q,'caseload data'!$D:$D,"PSO",'caseload data'!$C:$C,'cluster overview'!$B$102,'caseload data'!$B:$B,"custody")</f>
        <v>0</v>
      </c>
      <c r="P119" s="75">
        <f>SUMIFS('caseload data'!R:R,'caseload data'!$D:$D,"PSO",'caseload data'!$C:$C,'cluster overview'!$B$102,'caseload data'!$B:$B,"custody")</f>
        <v>0</v>
      </c>
      <c r="Q119" s="75">
        <f>SUMIFS('caseload data'!S:S,'caseload data'!$D:$D,"PSO",'caseload data'!$C:$C,'cluster overview'!$B$102,'caseload data'!$B:$B,"custody")</f>
        <v>0</v>
      </c>
      <c r="R119" s="75">
        <f>SUMIFS('caseload data'!T:T,'caseload data'!$D:$D,"PSO",'caseload data'!$C:$C,'cluster overview'!$B$102,'caseload data'!$B:$B,"custody")</f>
        <v>0</v>
      </c>
      <c r="U119" s="75" t="s">
        <v>1002</v>
      </c>
      <c r="V119" s="67" t="str">
        <f>IFERROR(C$119/SUM(C$118:C$121),"")</f>
        <v/>
      </c>
      <c r="W119" s="67" t="str">
        <f>IFERROR(D$119/SUM(D$118:D$121),"")</f>
        <v/>
      </c>
      <c r="X119" s="67" t="str">
        <f t="shared" ref="X119:AK119" si="17">IFERROR(E$119/SUM(E$118:E$121),"")</f>
        <v/>
      </c>
      <c r="Y119" s="67" t="str">
        <f t="shared" si="17"/>
        <v/>
      </c>
      <c r="Z119" s="67" t="str">
        <f t="shared" si="17"/>
        <v/>
      </c>
      <c r="AA119" s="67" t="str">
        <f t="shared" si="17"/>
        <v/>
      </c>
      <c r="AB119" s="67" t="str">
        <f t="shared" si="17"/>
        <v/>
      </c>
      <c r="AC119" s="67" t="str">
        <f t="shared" si="17"/>
        <v/>
      </c>
      <c r="AD119" s="67" t="str">
        <f t="shared" si="17"/>
        <v/>
      </c>
      <c r="AE119" s="67" t="str">
        <f t="shared" si="17"/>
        <v/>
      </c>
      <c r="AF119" s="67" t="str">
        <f t="shared" si="17"/>
        <v/>
      </c>
      <c r="AG119" s="67" t="str">
        <f t="shared" si="17"/>
        <v/>
      </c>
      <c r="AH119" s="67" t="str">
        <f t="shared" si="17"/>
        <v/>
      </c>
      <c r="AI119" s="67" t="str">
        <f t="shared" si="17"/>
        <v/>
      </c>
      <c r="AJ119" s="67" t="str">
        <f t="shared" si="17"/>
        <v/>
      </c>
      <c r="AK119" s="67" t="str">
        <f t="shared" si="17"/>
        <v/>
      </c>
    </row>
    <row r="120" spans="2:37" ht="14.25" customHeight="1" x14ac:dyDescent="0.15">
      <c r="B120" s="75" t="s">
        <v>1003</v>
      </c>
      <c r="C120" s="75">
        <f>SUMIFS('caseload data'!E:E,'caseload data'!$D:$D,"TPO",'caseload data'!$C:$C,'cluster overview'!$B$102,'caseload data'!$B:$B,"custody")</f>
        <v>0</v>
      </c>
      <c r="D120" s="75">
        <f>SUMIFS('caseload data'!F:F,'caseload data'!$D:$D,"TPO",'caseload data'!$C:$C,'cluster overview'!$B$102,'caseload data'!$B:$B,"custody")</f>
        <v>0</v>
      </c>
      <c r="E120" s="75">
        <f>SUMIFS('caseload data'!G:G,'caseload data'!$D:$D,"TPO",'caseload data'!$C:$C,'cluster overview'!$B$102,'caseload data'!$B:$B,"custody")</f>
        <v>0</v>
      </c>
      <c r="F120" s="75">
        <f>SUMIFS('caseload data'!H:H,'caseload data'!$D:$D,"TPO",'caseload data'!$C:$C,'cluster overview'!$B$102,'caseload data'!$B:$B,"custody")</f>
        <v>0</v>
      </c>
      <c r="G120" s="75">
        <f>SUMIFS('caseload data'!I:I,'caseload data'!$D:$D,"TPO",'caseload data'!$C:$C,'cluster overview'!$B$102,'caseload data'!$B:$B,"custody")</f>
        <v>0</v>
      </c>
      <c r="H120" s="75">
        <f>SUMIFS('caseload data'!J:J,'caseload data'!$D:$D,"TPO",'caseload data'!$C:$C,'cluster overview'!$B$102,'caseload data'!$B:$B,"custody")</f>
        <v>0</v>
      </c>
      <c r="I120" s="75">
        <f>SUMIFS('caseload data'!K:K,'caseload data'!$D:$D,"TPO",'caseload data'!$C:$C,'cluster overview'!$B$102,'caseload data'!$B:$B,"custody")</f>
        <v>0</v>
      </c>
      <c r="J120" s="75">
        <f>SUMIFS('caseload data'!L:L,'caseload data'!$D:$D,"TPO",'caseload data'!$C:$C,'cluster overview'!$B$102,'caseload data'!$B:$B,"custody")</f>
        <v>0</v>
      </c>
      <c r="K120" s="75">
        <f>SUMIFS('caseload data'!M:M,'caseload data'!$D:$D,"TPO",'caseload data'!$C:$C,'cluster overview'!$B$102,'caseload data'!$B:$B,"custody")</f>
        <v>0</v>
      </c>
      <c r="L120" s="75">
        <f>SUMIFS('caseload data'!N:N,'caseload data'!$D:$D,"TPO",'caseload data'!$C:$C,'cluster overview'!$B$102,'caseload data'!$B:$B,"custody")</f>
        <v>0</v>
      </c>
      <c r="M120" s="75">
        <f>SUMIFS('caseload data'!O:O,'caseload data'!$D:$D,"TPO",'caseload data'!$C:$C,'cluster overview'!$B$102,'caseload data'!$B:$B,"custody")</f>
        <v>0</v>
      </c>
      <c r="N120" s="75">
        <f>SUMIFS('caseload data'!P:P,'caseload data'!$D:$D,"TPO",'caseload data'!$C:$C,'cluster overview'!$B$102,'caseload data'!$B:$B,"custody")</f>
        <v>0</v>
      </c>
      <c r="O120" s="75">
        <f>SUMIFS('caseload data'!Q:Q,'caseload data'!$D:$D,"TPO",'caseload data'!$C:$C,'cluster overview'!$B$102,'caseload data'!$B:$B,"custody")</f>
        <v>0</v>
      </c>
      <c r="P120" s="75">
        <f>SUMIFS('caseload data'!R:R,'caseload data'!$D:$D,"TPO",'caseload data'!$C:$C,'cluster overview'!$B$102,'caseload data'!$B:$B,"custody")</f>
        <v>0</v>
      </c>
      <c r="Q120" s="75">
        <f>SUMIFS('caseload data'!S:S,'caseload data'!$D:$D,"TPO",'caseload data'!$C:$C,'cluster overview'!$B$102,'caseload data'!$B:$B,"custody")</f>
        <v>0</v>
      </c>
      <c r="R120" s="75">
        <f>SUMIFS('caseload data'!T:T,'caseload data'!$D:$D,"TPO",'caseload data'!$C:$C,'cluster overview'!$B$102,'caseload data'!$B:$B,"custody")</f>
        <v>0</v>
      </c>
      <c r="U120" s="75" t="s">
        <v>1003</v>
      </c>
      <c r="V120" s="67" t="str">
        <f>IFERROR(C$120/SUM(C$118:C$121),"")</f>
        <v/>
      </c>
      <c r="W120" s="67" t="str">
        <f>IFERROR(D$120/SUM(D$118:D$121),"")</f>
        <v/>
      </c>
      <c r="X120" s="67" t="str">
        <f t="shared" ref="X120:AK120" si="18">IFERROR(E$120/SUM(E$118:E$121),"")</f>
        <v/>
      </c>
      <c r="Y120" s="67" t="str">
        <f t="shared" si="18"/>
        <v/>
      </c>
      <c r="Z120" s="67" t="str">
        <f t="shared" si="18"/>
        <v/>
      </c>
      <c r="AA120" s="67" t="str">
        <f t="shared" si="18"/>
        <v/>
      </c>
      <c r="AB120" s="67" t="str">
        <f t="shared" si="18"/>
        <v/>
      </c>
      <c r="AC120" s="67" t="str">
        <f t="shared" si="18"/>
        <v/>
      </c>
      <c r="AD120" s="67" t="str">
        <f t="shared" si="18"/>
        <v/>
      </c>
      <c r="AE120" s="67" t="str">
        <f t="shared" si="18"/>
        <v/>
      </c>
      <c r="AF120" s="67" t="str">
        <f t="shared" si="18"/>
        <v/>
      </c>
      <c r="AG120" s="67" t="str">
        <f t="shared" si="18"/>
        <v/>
      </c>
      <c r="AH120" s="67" t="str">
        <f t="shared" si="18"/>
        <v/>
      </c>
      <c r="AI120" s="67" t="str">
        <f t="shared" si="18"/>
        <v/>
      </c>
      <c r="AJ120" s="67" t="str">
        <f t="shared" si="18"/>
        <v/>
      </c>
      <c r="AK120" s="67" t="str">
        <f t="shared" si="18"/>
        <v/>
      </c>
    </row>
    <row r="121" spans="2:37" ht="14.25" customHeight="1" x14ac:dyDescent="0.15">
      <c r="B121" s="75" t="s">
        <v>1004</v>
      </c>
      <c r="C121" s="75">
        <f>SUMIFS('caseload data'!E:E,'caseload data'!$D:$D,"SPO",'caseload data'!$C:$C,'cluster overview'!$B$102,'caseload data'!$B:$B,"custody")</f>
        <v>0</v>
      </c>
      <c r="D121" s="75">
        <f>SUMIFS('caseload data'!F:F,'caseload data'!$D:$D,"SPO",'caseload data'!$C:$C,'cluster overview'!$B$102,'caseload data'!$B:$B,"custody")</f>
        <v>0</v>
      </c>
      <c r="E121" s="75">
        <f>SUMIFS('caseload data'!G:G,'caseload data'!$D:$D,"SPO",'caseload data'!$C:$C,'cluster overview'!$B$102,'caseload data'!$B:$B,"custody")</f>
        <v>0</v>
      </c>
      <c r="F121" s="75">
        <f>SUMIFS('caseload data'!H:H,'caseload data'!$D:$D,"SPO",'caseload data'!$C:$C,'cluster overview'!$B$102,'caseload data'!$B:$B,"custody")</f>
        <v>0</v>
      </c>
      <c r="G121" s="75">
        <f>SUMIFS('caseload data'!I:I,'caseload data'!$D:$D,"SPO",'caseload data'!$C:$C,'cluster overview'!$B$102,'caseload data'!$B:$B,"custody")</f>
        <v>0</v>
      </c>
      <c r="H121" s="75">
        <f>SUMIFS('caseload data'!J:J,'caseload data'!$D:$D,"SPO",'caseload data'!$C:$C,'cluster overview'!$B$102,'caseload data'!$B:$B,"custody")</f>
        <v>0</v>
      </c>
      <c r="I121" s="75">
        <f>SUMIFS('caseload data'!K:K,'caseload data'!$D:$D,"SPO",'caseload data'!$C:$C,'cluster overview'!$B$102,'caseload data'!$B:$B,"custody")</f>
        <v>0</v>
      </c>
      <c r="J121" s="75">
        <f>SUMIFS('caseload data'!L:L,'caseload data'!$D:$D,"SPO",'caseload data'!$C:$C,'cluster overview'!$B$102,'caseload data'!$B:$B,"custody")</f>
        <v>0</v>
      </c>
      <c r="K121" s="75">
        <f>SUMIFS('caseload data'!M:M,'caseload data'!$D:$D,"SPO",'caseload data'!$C:$C,'cluster overview'!$B$102,'caseload data'!$B:$B,"custody")</f>
        <v>0</v>
      </c>
      <c r="L121" s="75">
        <f>SUMIFS('caseload data'!N:N,'caseload data'!$D:$D,"SPO",'caseload data'!$C:$C,'cluster overview'!$B$102,'caseload data'!$B:$B,"custody")</f>
        <v>0</v>
      </c>
      <c r="M121" s="75">
        <f>SUMIFS('caseload data'!O:O,'caseload data'!$D:$D,"SPO",'caseload data'!$C:$C,'cluster overview'!$B$102,'caseload data'!$B:$B,"custody")</f>
        <v>0</v>
      </c>
      <c r="N121" s="75">
        <f>SUMIFS('caseload data'!P:P,'caseload data'!$D:$D,"SPO",'caseload data'!$C:$C,'cluster overview'!$B$102,'caseload data'!$B:$B,"custody")</f>
        <v>0</v>
      </c>
      <c r="O121" s="75">
        <f>SUMIFS('caseload data'!Q:Q,'caseload data'!$D:$D,"SPO",'caseload data'!$C:$C,'cluster overview'!$B$102,'caseload data'!$B:$B,"custody")</f>
        <v>0</v>
      </c>
      <c r="P121" s="75">
        <f>SUMIFS('caseload data'!R:R,'caseload data'!$D:$D,"SPO",'caseload data'!$C:$C,'cluster overview'!$B$102,'caseload data'!$B:$B,"custody")</f>
        <v>0</v>
      </c>
      <c r="Q121" s="75">
        <f>SUMIFS('caseload data'!S:S,'caseload data'!$D:$D,"SPO",'caseload data'!$C:$C,'cluster overview'!$B$102,'caseload data'!$B:$B,"custody")</f>
        <v>0</v>
      </c>
      <c r="R121" s="75">
        <f>SUMIFS('caseload data'!T:T,'caseload data'!$D:$D,"SPO",'caseload data'!$C:$C,'cluster overview'!$B$102,'caseload data'!$B:$B,"custody")</f>
        <v>0</v>
      </c>
      <c r="U121" s="75" t="s">
        <v>1004</v>
      </c>
      <c r="V121" s="67" t="str">
        <f>IFERROR(C$121/SUM(C$118:C$121),"")</f>
        <v/>
      </c>
      <c r="W121" s="67" t="str">
        <f>IFERROR(D$121/SUM(D$118:D$121),"")</f>
        <v/>
      </c>
      <c r="X121" s="67" t="str">
        <f t="shared" ref="X121:AK121" si="19">IFERROR(E$121/SUM(E$118:E$121),"")</f>
        <v/>
      </c>
      <c r="Y121" s="67" t="str">
        <f t="shared" si="19"/>
        <v/>
      </c>
      <c r="Z121" s="67" t="str">
        <f t="shared" si="19"/>
        <v/>
      </c>
      <c r="AA121" s="67" t="str">
        <f t="shared" si="19"/>
        <v/>
      </c>
      <c r="AB121" s="67" t="str">
        <f t="shared" si="19"/>
        <v/>
      </c>
      <c r="AC121" s="67" t="str">
        <f t="shared" si="19"/>
        <v/>
      </c>
      <c r="AD121" s="67" t="str">
        <f t="shared" si="19"/>
        <v/>
      </c>
      <c r="AE121" s="67" t="str">
        <f t="shared" si="19"/>
        <v/>
      </c>
      <c r="AF121" s="67" t="str">
        <f t="shared" si="19"/>
        <v/>
      </c>
      <c r="AG121" s="67" t="str">
        <f t="shared" si="19"/>
        <v/>
      </c>
      <c r="AH121" s="67" t="str">
        <f t="shared" si="19"/>
        <v/>
      </c>
      <c r="AI121" s="67" t="str">
        <f t="shared" si="19"/>
        <v/>
      </c>
      <c r="AJ121" s="67" t="str">
        <f t="shared" si="19"/>
        <v/>
      </c>
      <c r="AK121" s="67" t="str">
        <f t="shared" si="19"/>
        <v/>
      </c>
    </row>
    <row r="122" spans="2:37" ht="31.5" customHeight="1" x14ac:dyDescent="0.15"/>
    <row r="123" spans="2:37" ht="14.25" customHeight="1" x14ac:dyDescent="0.2">
      <c r="B123" s="334" t="str">
        <f>B6</f>
        <v>Hammersmith, Fulham, Kensington, Chelsea and Westminster</v>
      </c>
      <c r="C123" s="444" t="s">
        <v>1007</v>
      </c>
      <c r="D123" s="445"/>
      <c r="E123" s="445"/>
      <c r="F123" s="445"/>
      <c r="G123" s="445"/>
      <c r="H123" s="445"/>
      <c r="I123" s="445"/>
      <c r="J123" s="445"/>
      <c r="K123" s="445"/>
      <c r="L123" s="445"/>
      <c r="M123" s="445"/>
      <c r="N123" s="445"/>
      <c r="O123" s="445"/>
      <c r="P123" s="445"/>
      <c r="Q123" s="445"/>
      <c r="R123" s="445"/>
      <c r="U123" s="114" t="str">
        <f>B6</f>
        <v>Hammersmith, Fulham, Kensington, Chelsea and Westminster</v>
      </c>
      <c r="V123" s="441" t="s">
        <v>1365</v>
      </c>
      <c r="W123" s="442"/>
      <c r="X123" s="442"/>
      <c r="Y123" s="442"/>
      <c r="Z123" s="442"/>
      <c r="AA123" s="442"/>
      <c r="AB123" s="442"/>
      <c r="AC123" s="442"/>
      <c r="AD123" s="442"/>
      <c r="AE123" s="442"/>
      <c r="AF123" s="442"/>
      <c r="AG123" s="442"/>
      <c r="AH123" s="442"/>
      <c r="AI123" s="442"/>
      <c r="AJ123" s="442"/>
      <c r="AK123" s="443"/>
    </row>
    <row r="124" spans="2:37" ht="14.25" customHeight="1" x14ac:dyDescent="0.15">
      <c r="B124" s="95" t="s">
        <v>1000</v>
      </c>
      <c r="C124" s="38" t="s">
        <v>864</v>
      </c>
      <c r="D124" s="38" t="s">
        <v>865</v>
      </c>
      <c r="E124" s="38" t="s">
        <v>866</v>
      </c>
      <c r="F124" s="38" t="s">
        <v>867</v>
      </c>
      <c r="G124" s="38" t="s">
        <v>868</v>
      </c>
      <c r="H124" s="38" t="s">
        <v>869</v>
      </c>
      <c r="I124" s="38" t="s">
        <v>870</v>
      </c>
      <c r="J124" s="38" t="s">
        <v>871</v>
      </c>
      <c r="K124" s="38" t="s">
        <v>872</v>
      </c>
      <c r="L124" s="38" t="s">
        <v>873</v>
      </c>
      <c r="M124" s="38" t="s">
        <v>874</v>
      </c>
      <c r="N124" s="38" t="s">
        <v>875</v>
      </c>
      <c r="O124" s="38" t="s">
        <v>876</v>
      </c>
      <c r="P124" s="38" t="s">
        <v>877</v>
      </c>
      <c r="Q124" s="38" t="s">
        <v>878</v>
      </c>
      <c r="R124" s="38" t="s">
        <v>879</v>
      </c>
      <c r="U124" s="51" t="s">
        <v>1001</v>
      </c>
      <c r="V124" s="38" t="s">
        <v>864</v>
      </c>
      <c r="W124" s="38" t="s">
        <v>865</v>
      </c>
      <c r="X124" s="38" t="s">
        <v>866</v>
      </c>
      <c r="Y124" s="38" t="s">
        <v>867</v>
      </c>
      <c r="Z124" s="38" t="s">
        <v>868</v>
      </c>
      <c r="AA124" s="38" t="s">
        <v>869</v>
      </c>
      <c r="AB124" s="38" t="s">
        <v>870</v>
      </c>
      <c r="AC124" s="38" t="s">
        <v>871</v>
      </c>
      <c r="AD124" s="38" t="s">
        <v>872</v>
      </c>
      <c r="AE124" s="38" t="s">
        <v>873</v>
      </c>
      <c r="AF124" s="38" t="s">
        <v>874</v>
      </c>
      <c r="AG124" s="38" t="s">
        <v>875</v>
      </c>
      <c r="AH124" s="38" t="s">
        <v>876</v>
      </c>
      <c r="AI124" s="38" t="s">
        <v>877</v>
      </c>
      <c r="AJ124" s="38" t="s">
        <v>878</v>
      </c>
      <c r="AK124" s="38" t="s">
        <v>879</v>
      </c>
    </row>
    <row r="125" spans="2:37" ht="14.25" customHeight="1" x14ac:dyDescent="0.15">
      <c r="B125" s="75" t="s">
        <v>997</v>
      </c>
      <c r="C125" s="75">
        <f>SUMIFS('caseload data'!E:E,'caseload data'!$D:$D,"PO",'caseload data'!$C:$C,'cluster overview'!$B$109)</f>
        <v>0</v>
      </c>
      <c r="D125" s="75">
        <f>SUMIFS('caseload data'!F:F,'caseload data'!$D:$D,"PO",'caseload data'!$C:$C,'cluster overview'!$B$109)</f>
        <v>0</v>
      </c>
      <c r="E125" s="75">
        <f>SUMIFS('caseload data'!G:G,'caseload data'!$D:$D,"PO",'caseload data'!$C:$C,'cluster overview'!$B$109)</f>
        <v>0</v>
      </c>
      <c r="F125" s="75">
        <f>SUMIFS('caseload data'!H:H,'caseload data'!$D:$D,"PO",'caseload data'!$C:$C,'cluster overview'!$B$109)</f>
        <v>0</v>
      </c>
      <c r="G125" s="75">
        <f>SUMIFS('caseload data'!I:I,'caseload data'!$D:$D,"PO",'caseload data'!$C:$C,'cluster overview'!$B$109)</f>
        <v>0</v>
      </c>
      <c r="H125" s="75">
        <f>SUMIFS('caseload data'!J:J,'caseload data'!$D:$D,"PO",'caseload data'!$C:$C,'cluster overview'!$B$109)</f>
        <v>0</v>
      </c>
      <c r="I125" s="75">
        <f>SUMIFS('caseload data'!K:K,'caseload data'!$D:$D,"PO",'caseload data'!$C:$C,'cluster overview'!$B$109)</f>
        <v>0</v>
      </c>
      <c r="J125" s="75">
        <f>SUMIFS('caseload data'!L:L,'caseload data'!$D:$D,"PO",'caseload data'!$C:$C,'cluster overview'!$B$109)</f>
        <v>0</v>
      </c>
      <c r="K125" s="75">
        <f>SUMIFS('caseload data'!M:M,'caseload data'!$D:$D,"PO",'caseload data'!$C:$C,'cluster overview'!$B$109)</f>
        <v>0</v>
      </c>
      <c r="L125" s="75">
        <f>SUMIFS('caseload data'!N:N,'caseload data'!$D:$D,"PO",'caseload data'!$C:$C,'cluster overview'!$B$109)</f>
        <v>0</v>
      </c>
      <c r="M125" s="75">
        <f>SUMIFS('caseload data'!O:O,'caseload data'!$D:$D,"PO",'caseload data'!$C:$C,'cluster overview'!$B$109)</f>
        <v>0</v>
      </c>
      <c r="N125" s="75">
        <f>SUMIFS('caseload data'!P:P,'caseload data'!$D:$D,"PO",'caseload data'!$C:$C,'cluster overview'!$B$109)</f>
        <v>0</v>
      </c>
      <c r="O125" s="75">
        <f>SUMIFS('caseload data'!Q:Q,'caseload data'!$D:$D,"PO",'caseload data'!$C:$C,'cluster overview'!$B$109)</f>
        <v>0</v>
      </c>
      <c r="P125" s="75">
        <f>SUMIFS('caseload data'!R:R,'caseload data'!$D:$D,"PO",'caseload data'!$C:$C,'cluster overview'!$B$109)</f>
        <v>0</v>
      </c>
      <c r="Q125" s="75">
        <f>SUMIFS('caseload data'!S:S,'caseload data'!$D:$D,"PO",'caseload data'!$C:$C,'cluster overview'!$B$109)</f>
        <v>0</v>
      </c>
      <c r="R125" s="75">
        <f>SUMIFS('caseload data'!T:T,'caseload data'!$D:$D,"PO",'caseload data'!$C:$C,'cluster overview'!$B$109)</f>
        <v>0</v>
      </c>
      <c r="U125" s="75" t="s">
        <v>997</v>
      </c>
      <c r="V125" s="67" t="str">
        <f>IFERROR(C$125/SUM(C$125:C$128),"")</f>
        <v/>
      </c>
      <c r="W125" s="67" t="str">
        <f>IFERROR(D$125/SUM(D$125:D$128),"")</f>
        <v/>
      </c>
      <c r="X125" s="67" t="str">
        <f t="shared" ref="X125:AK125" si="20">IFERROR(E$125/SUM(E$125:E$128),"")</f>
        <v/>
      </c>
      <c r="Y125" s="67" t="str">
        <f t="shared" si="20"/>
        <v/>
      </c>
      <c r="Z125" s="67" t="str">
        <f t="shared" si="20"/>
        <v/>
      </c>
      <c r="AA125" s="67" t="str">
        <f t="shared" si="20"/>
        <v/>
      </c>
      <c r="AB125" s="67" t="str">
        <f t="shared" si="20"/>
        <v/>
      </c>
      <c r="AC125" s="67" t="str">
        <f t="shared" si="20"/>
        <v/>
      </c>
      <c r="AD125" s="67" t="str">
        <f t="shared" si="20"/>
        <v/>
      </c>
      <c r="AE125" s="67" t="str">
        <f t="shared" si="20"/>
        <v/>
      </c>
      <c r="AF125" s="67" t="str">
        <f t="shared" si="20"/>
        <v/>
      </c>
      <c r="AG125" s="67" t="str">
        <f t="shared" si="20"/>
        <v/>
      </c>
      <c r="AH125" s="67" t="str">
        <f t="shared" si="20"/>
        <v/>
      </c>
      <c r="AI125" s="67" t="str">
        <f t="shared" si="20"/>
        <v/>
      </c>
      <c r="AJ125" s="67" t="str">
        <f t="shared" si="20"/>
        <v/>
      </c>
      <c r="AK125" s="67" t="str">
        <f t="shared" si="20"/>
        <v/>
      </c>
    </row>
    <row r="126" spans="2:37" ht="14.25" customHeight="1" x14ac:dyDescent="0.15">
      <c r="B126" s="75" t="s">
        <v>1002</v>
      </c>
      <c r="C126" s="75">
        <f>SUMIFS('caseload data'!E:E,'caseload data'!$D:$D,"PSO",'caseload data'!$C:$C,'cluster overview'!$B$109)</f>
        <v>0</v>
      </c>
      <c r="D126" s="75">
        <f>SUMIFS('caseload data'!F:F,'caseload data'!$D:$D,"PSO",'caseload data'!$C:$C,'cluster overview'!$B$109)</f>
        <v>0</v>
      </c>
      <c r="E126" s="75">
        <f>SUMIFS('caseload data'!G:G,'caseload data'!$D:$D,"PSO",'caseload data'!$C:$C,'cluster overview'!$B$109)</f>
        <v>0</v>
      </c>
      <c r="F126" s="75">
        <f>SUMIFS('caseload data'!H:H,'caseload data'!$D:$D,"PSO",'caseload data'!$C:$C,'cluster overview'!$B$109)</f>
        <v>0</v>
      </c>
      <c r="G126" s="75">
        <f>SUMIFS('caseload data'!I:I,'caseload data'!$D:$D,"PSO",'caseload data'!$C:$C,'cluster overview'!$B$109)</f>
        <v>0</v>
      </c>
      <c r="H126" s="75">
        <f>SUMIFS('caseload data'!J:J,'caseload data'!$D:$D,"PSO",'caseload data'!$C:$C,'cluster overview'!$B$109)</f>
        <v>0</v>
      </c>
      <c r="I126" s="75">
        <f>SUMIFS('caseload data'!K:K,'caseload data'!$D:$D,"PSO",'caseload data'!$C:$C,'cluster overview'!$B$109)</f>
        <v>0</v>
      </c>
      <c r="J126" s="75">
        <f>SUMIFS('caseload data'!L:L,'caseload data'!$D:$D,"PSO",'caseload data'!$C:$C,'cluster overview'!$B$109)</f>
        <v>0</v>
      </c>
      <c r="K126" s="75">
        <f>SUMIFS('caseload data'!M:M,'caseload data'!$D:$D,"PSO",'caseload data'!$C:$C,'cluster overview'!$B$109)</f>
        <v>0</v>
      </c>
      <c r="L126" s="75">
        <f>SUMIFS('caseload data'!N:N,'caseload data'!$D:$D,"PSO",'caseload data'!$C:$C,'cluster overview'!$B$109)</f>
        <v>0</v>
      </c>
      <c r="M126" s="75">
        <f>SUMIFS('caseload data'!O:O,'caseload data'!$D:$D,"PSO",'caseload data'!$C:$C,'cluster overview'!$B$109)</f>
        <v>0</v>
      </c>
      <c r="N126" s="75">
        <f>SUMIFS('caseload data'!P:P,'caseload data'!$D:$D,"PSO",'caseload data'!$C:$C,'cluster overview'!$B$109)</f>
        <v>0</v>
      </c>
      <c r="O126" s="75">
        <f>SUMIFS('caseload data'!Q:Q,'caseload data'!$D:$D,"PSO",'caseload data'!$C:$C,'cluster overview'!$B$109)</f>
        <v>0</v>
      </c>
      <c r="P126" s="75">
        <f>SUMIFS('caseload data'!R:R,'caseload data'!$D:$D,"PSO",'caseload data'!$C:$C,'cluster overview'!$B$109)</f>
        <v>0</v>
      </c>
      <c r="Q126" s="75">
        <f>SUMIFS('caseload data'!S:S,'caseload data'!$D:$D,"PSO",'caseload data'!$C:$C,'cluster overview'!$B$109)</f>
        <v>0</v>
      </c>
      <c r="R126" s="75">
        <f>SUMIFS('caseload data'!T:T,'caseload data'!$D:$D,"PSO",'caseload data'!$C:$C,'cluster overview'!$B$109)</f>
        <v>0</v>
      </c>
      <c r="U126" s="75" t="s">
        <v>1002</v>
      </c>
      <c r="V126" s="67" t="str">
        <f>IFERROR(C$126/SUM(C$125:C$128),"")</f>
        <v/>
      </c>
      <c r="W126" s="67" t="str">
        <f>IFERROR(D$126/SUM(D$125:D$128),"")</f>
        <v/>
      </c>
      <c r="X126" s="67" t="str">
        <f t="shared" ref="X126:AK126" si="21">IFERROR(E$126/SUM(E$125:E$128),"")</f>
        <v/>
      </c>
      <c r="Y126" s="67" t="str">
        <f t="shared" si="21"/>
        <v/>
      </c>
      <c r="Z126" s="67" t="str">
        <f t="shared" si="21"/>
        <v/>
      </c>
      <c r="AA126" s="67" t="str">
        <f t="shared" si="21"/>
        <v/>
      </c>
      <c r="AB126" s="67" t="str">
        <f t="shared" si="21"/>
        <v/>
      </c>
      <c r="AC126" s="67" t="str">
        <f t="shared" si="21"/>
        <v/>
      </c>
      <c r="AD126" s="67" t="str">
        <f t="shared" si="21"/>
        <v/>
      </c>
      <c r="AE126" s="67" t="str">
        <f t="shared" si="21"/>
        <v/>
      </c>
      <c r="AF126" s="67" t="str">
        <f t="shared" si="21"/>
        <v/>
      </c>
      <c r="AG126" s="67" t="str">
        <f t="shared" si="21"/>
        <v/>
      </c>
      <c r="AH126" s="67" t="str">
        <f t="shared" si="21"/>
        <v/>
      </c>
      <c r="AI126" s="67" t="str">
        <f t="shared" si="21"/>
        <v/>
      </c>
      <c r="AJ126" s="67" t="str">
        <f t="shared" si="21"/>
        <v/>
      </c>
      <c r="AK126" s="67" t="str">
        <f t="shared" si="21"/>
        <v/>
      </c>
    </row>
    <row r="127" spans="2:37" ht="14.25" customHeight="1" x14ac:dyDescent="0.15">
      <c r="B127" s="75" t="s">
        <v>1003</v>
      </c>
      <c r="C127" s="75">
        <f>SUMIFS('caseload data'!E:E,'caseload data'!$D:$D,"TPO",'caseload data'!$C:$C,'cluster overview'!$B$109)</f>
        <v>0</v>
      </c>
      <c r="D127" s="75">
        <f>SUMIFS('caseload data'!F:F,'caseload data'!$D:$D,"TPO",'caseload data'!$C:$C,'cluster overview'!$B$109)</f>
        <v>0</v>
      </c>
      <c r="E127" s="75">
        <f>SUMIFS('caseload data'!G:G,'caseload data'!$D:$D,"TPO",'caseload data'!$C:$C,'cluster overview'!$B$109)</f>
        <v>0</v>
      </c>
      <c r="F127" s="75">
        <f>SUMIFS('caseload data'!H:H,'caseload data'!$D:$D,"TPO",'caseload data'!$C:$C,'cluster overview'!$B$109)</f>
        <v>0</v>
      </c>
      <c r="G127" s="75">
        <f>SUMIFS('caseload data'!I:I,'caseload data'!$D:$D,"TPO",'caseload data'!$C:$C,'cluster overview'!$B$109)</f>
        <v>0</v>
      </c>
      <c r="H127" s="75">
        <f>SUMIFS('caseload data'!J:J,'caseload data'!$D:$D,"TPO",'caseload data'!$C:$C,'cluster overview'!$B$109)</f>
        <v>0</v>
      </c>
      <c r="I127" s="75">
        <f>SUMIFS('caseload data'!K:K,'caseload data'!$D:$D,"TPO",'caseload data'!$C:$C,'cluster overview'!$B$109)</f>
        <v>0</v>
      </c>
      <c r="J127" s="75">
        <f>SUMIFS('caseload data'!L:L,'caseload data'!$D:$D,"TPO",'caseload data'!$C:$C,'cluster overview'!$B$109)</f>
        <v>0</v>
      </c>
      <c r="K127" s="75">
        <f>SUMIFS('caseload data'!M:M,'caseload data'!$D:$D,"TPO",'caseload data'!$C:$C,'cluster overview'!$B$109)</f>
        <v>0</v>
      </c>
      <c r="L127" s="75">
        <f>SUMIFS('caseload data'!N:N,'caseload data'!$D:$D,"TPO",'caseload data'!$C:$C,'cluster overview'!$B$109)</f>
        <v>0</v>
      </c>
      <c r="M127" s="75">
        <f>SUMIFS('caseload data'!O:O,'caseload data'!$D:$D,"TPO",'caseload data'!$C:$C,'cluster overview'!$B$109)</f>
        <v>0</v>
      </c>
      <c r="N127" s="75">
        <f>SUMIFS('caseload data'!P:P,'caseload data'!$D:$D,"TPO",'caseload data'!$C:$C,'cluster overview'!$B$109)</f>
        <v>0</v>
      </c>
      <c r="O127" s="75">
        <f>SUMIFS('caseload data'!Q:Q,'caseload data'!$D:$D,"TPO",'caseload data'!$C:$C,'cluster overview'!$B$109)</f>
        <v>0</v>
      </c>
      <c r="P127" s="75">
        <f>SUMIFS('caseload data'!R:R,'caseload data'!$D:$D,"TPO",'caseload data'!$C:$C,'cluster overview'!$B$109)</f>
        <v>0</v>
      </c>
      <c r="Q127" s="75">
        <f>SUMIFS('caseload data'!S:S,'caseload data'!$D:$D,"TPO",'caseload data'!$C:$C,'cluster overview'!$B$109)</f>
        <v>0</v>
      </c>
      <c r="R127" s="75">
        <f>SUMIFS('caseload data'!T:T,'caseload data'!$D:$D,"TPO",'caseload data'!$C:$C,'cluster overview'!$B$109)</f>
        <v>0</v>
      </c>
      <c r="U127" s="75" t="s">
        <v>1003</v>
      </c>
      <c r="V127" s="67" t="str">
        <f>IFERROR(C$127/SUM(C$125:C$128),"")</f>
        <v/>
      </c>
      <c r="W127" s="67" t="str">
        <f>IFERROR(D$127/SUM(D$125:D$128),"")</f>
        <v/>
      </c>
      <c r="X127" s="67" t="str">
        <f t="shared" ref="X127:AK127" si="22">IFERROR(E$127/SUM(E$125:E$128),"")</f>
        <v/>
      </c>
      <c r="Y127" s="67" t="str">
        <f t="shared" si="22"/>
        <v/>
      </c>
      <c r="Z127" s="67" t="str">
        <f t="shared" si="22"/>
        <v/>
      </c>
      <c r="AA127" s="67" t="str">
        <f t="shared" si="22"/>
        <v/>
      </c>
      <c r="AB127" s="67" t="str">
        <f t="shared" si="22"/>
        <v/>
      </c>
      <c r="AC127" s="67" t="str">
        <f t="shared" si="22"/>
        <v/>
      </c>
      <c r="AD127" s="67" t="str">
        <f t="shared" si="22"/>
        <v/>
      </c>
      <c r="AE127" s="67" t="str">
        <f t="shared" si="22"/>
        <v/>
      </c>
      <c r="AF127" s="67" t="str">
        <f t="shared" si="22"/>
        <v/>
      </c>
      <c r="AG127" s="67" t="str">
        <f t="shared" si="22"/>
        <v/>
      </c>
      <c r="AH127" s="67" t="str">
        <f t="shared" si="22"/>
        <v/>
      </c>
      <c r="AI127" s="67" t="str">
        <f t="shared" si="22"/>
        <v/>
      </c>
      <c r="AJ127" s="67" t="str">
        <f t="shared" si="22"/>
        <v/>
      </c>
      <c r="AK127" s="67" t="str">
        <f t="shared" si="22"/>
        <v/>
      </c>
    </row>
    <row r="128" spans="2:37" ht="14.25" customHeight="1" x14ac:dyDescent="0.15">
      <c r="B128" s="75" t="s">
        <v>1004</v>
      </c>
      <c r="C128" s="75">
        <f>SUMIFS('caseload data'!E:E,'caseload data'!$D:$D,"SPO",'caseload data'!$C:$C,'cluster overview'!$B$109)</f>
        <v>0</v>
      </c>
      <c r="D128" s="75">
        <f>SUMIFS('caseload data'!F:F,'caseload data'!$D:$D,"SPO",'caseload data'!$C:$C,'cluster overview'!$B$109)</f>
        <v>0</v>
      </c>
      <c r="E128" s="75">
        <f>SUMIFS('caseload data'!G:G,'caseload data'!$D:$D,"SPO",'caseload data'!$C:$C,'cluster overview'!$B$109)</f>
        <v>0</v>
      </c>
      <c r="F128" s="75">
        <f>SUMIFS('caseload data'!H:H,'caseload data'!$D:$D,"SPO",'caseload data'!$C:$C,'cluster overview'!$B$109)</f>
        <v>0</v>
      </c>
      <c r="G128" s="75">
        <f>SUMIFS('caseload data'!I:I,'caseload data'!$D:$D,"SPO",'caseload data'!$C:$C,'cluster overview'!$B$109)</f>
        <v>0</v>
      </c>
      <c r="H128" s="75">
        <f>SUMIFS('caseload data'!J:J,'caseload data'!$D:$D,"SPO",'caseload data'!$C:$C,'cluster overview'!$B$109)</f>
        <v>0</v>
      </c>
      <c r="I128" s="75">
        <f>SUMIFS('caseload data'!K:K,'caseload data'!$D:$D,"SPO",'caseload data'!$C:$C,'cluster overview'!$B$109)</f>
        <v>0</v>
      </c>
      <c r="J128" s="75">
        <f>SUMIFS('caseload data'!L:L,'caseload data'!$D:$D,"SPO",'caseload data'!$C:$C,'cluster overview'!$B$109)</f>
        <v>0</v>
      </c>
      <c r="K128" s="75">
        <f>SUMIFS('caseload data'!M:M,'caseload data'!$D:$D,"SPO",'caseload data'!$C:$C,'cluster overview'!$B$109)</f>
        <v>0</v>
      </c>
      <c r="L128" s="75">
        <f>SUMIFS('caseload data'!N:N,'caseload data'!$D:$D,"SPO",'caseload data'!$C:$C,'cluster overview'!$B$109)</f>
        <v>0</v>
      </c>
      <c r="M128" s="75">
        <f>SUMIFS('caseload data'!O:O,'caseload data'!$D:$D,"SPO",'caseload data'!$C:$C,'cluster overview'!$B$109)</f>
        <v>0</v>
      </c>
      <c r="N128" s="75">
        <f>SUMIFS('caseload data'!P:P,'caseload data'!$D:$D,"SPO",'caseload data'!$C:$C,'cluster overview'!$B$109)</f>
        <v>0</v>
      </c>
      <c r="O128" s="75">
        <f>SUMIFS('caseload data'!Q:Q,'caseload data'!$D:$D,"SPO",'caseload data'!$C:$C,'cluster overview'!$B$109)</f>
        <v>0</v>
      </c>
      <c r="P128" s="75">
        <f>SUMIFS('caseload data'!R:R,'caseload data'!$D:$D,"SPO",'caseload data'!$C:$C,'cluster overview'!$B$109)</f>
        <v>0</v>
      </c>
      <c r="Q128" s="75">
        <f>SUMIFS('caseload data'!S:S,'caseload data'!$D:$D,"SPO",'caseload data'!$C:$C,'cluster overview'!$B$109)</f>
        <v>0</v>
      </c>
      <c r="R128" s="75">
        <f>SUMIFS('caseload data'!T:T,'caseload data'!$D:$D,"SPO",'caseload data'!$C:$C,'cluster overview'!$B$109)</f>
        <v>0</v>
      </c>
      <c r="U128" s="75" t="s">
        <v>1004</v>
      </c>
      <c r="V128" s="67" t="str">
        <f>IFERROR(C$128/SUM(C$125:C$128),"")</f>
        <v/>
      </c>
      <c r="W128" s="67" t="str">
        <f>IFERROR(D$128/SUM(D$125:D$128),"")</f>
        <v/>
      </c>
      <c r="X128" s="67" t="str">
        <f t="shared" ref="X128:AK128" si="23">IFERROR(E$128/SUM(E$125:E$128),"")</f>
        <v/>
      </c>
      <c r="Y128" s="67" t="str">
        <f t="shared" si="23"/>
        <v/>
      </c>
      <c r="Z128" s="67" t="str">
        <f t="shared" si="23"/>
        <v/>
      </c>
      <c r="AA128" s="67" t="str">
        <f t="shared" si="23"/>
        <v/>
      </c>
      <c r="AB128" s="67" t="str">
        <f t="shared" si="23"/>
        <v/>
      </c>
      <c r="AC128" s="67" t="str">
        <f t="shared" si="23"/>
        <v/>
      </c>
      <c r="AD128" s="67" t="str">
        <f t="shared" si="23"/>
        <v/>
      </c>
      <c r="AE128" s="67" t="str">
        <f t="shared" si="23"/>
        <v/>
      </c>
      <c r="AF128" s="67" t="str">
        <f t="shared" si="23"/>
        <v/>
      </c>
      <c r="AG128" s="67" t="str">
        <f t="shared" si="23"/>
        <v/>
      </c>
      <c r="AH128" s="67" t="str">
        <f t="shared" si="23"/>
        <v/>
      </c>
      <c r="AI128" s="67" t="str">
        <f t="shared" si="23"/>
        <v/>
      </c>
      <c r="AJ128" s="67" t="str">
        <f t="shared" si="23"/>
        <v/>
      </c>
      <c r="AK128" s="67" t="str">
        <f t="shared" si="23"/>
        <v/>
      </c>
    </row>
    <row r="129" ht="31.5" customHeight="1" x14ac:dyDescent="0.15"/>
    <row r="130" ht="14.25" customHeight="1" x14ac:dyDescent="0.15"/>
    <row r="131" ht="14.25" customHeight="1" x14ac:dyDescent="0.15"/>
    <row r="132" ht="14.25" customHeight="1" x14ac:dyDescent="0.15"/>
    <row r="133" ht="14.25" customHeight="1" x14ac:dyDescent="0.15"/>
    <row r="134" ht="14.25" customHeight="1" x14ac:dyDescent="0.15"/>
  </sheetData>
  <sortState xmlns:xlrd2="http://schemas.microsoft.com/office/spreadsheetml/2017/richdata2" ref="B34:D79">
    <sortCondition ref="B34:B79"/>
  </sortState>
  <mergeCells count="28">
    <mergeCell ref="B86:S86"/>
    <mergeCell ref="B93:R93"/>
    <mergeCell ref="C102:R102"/>
    <mergeCell ref="C109:R109"/>
    <mergeCell ref="C116:R116"/>
    <mergeCell ref="B26:F26"/>
    <mergeCell ref="G26:H26"/>
    <mergeCell ref="I26:K26"/>
    <mergeCell ref="F47:F51"/>
    <mergeCell ref="G47:G51"/>
    <mergeCell ref="F34:F36"/>
    <mergeCell ref="G34:G36"/>
    <mergeCell ref="B32:D32"/>
    <mergeCell ref="F32:G32"/>
    <mergeCell ref="F37:F39"/>
    <mergeCell ref="G37:G39"/>
    <mergeCell ref="F41:F46"/>
    <mergeCell ref="G41:G46"/>
    <mergeCell ref="B8:F8"/>
    <mergeCell ref="A1:M1"/>
    <mergeCell ref="A2:M2"/>
    <mergeCell ref="B19:F19"/>
    <mergeCell ref="G19:H19"/>
    <mergeCell ref="V102:AK102"/>
    <mergeCell ref="V109:AK109"/>
    <mergeCell ref="V116:AK116"/>
    <mergeCell ref="V123:AK123"/>
    <mergeCell ref="C123:R123"/>
  </mergeCells>
  <phoneticPr fontId="76" type="noConversion"/>
  <conditionalFormatting sqref="C11:E11 C10:F10">
    <cfRule type="cellIs" dxfId="6098" priority="201" operator="lessThan">
      <formula>0.9</formula>
    </cfRule>
    <cfRule type="cellIs" dxfId="6097" priority="202" operator="greaterThanOrEqual">
      <formula>1.1</formula>
    </cfRule>
  </conditionalFormatting>
  <conditionalFormatting sqref="F11">
    <cfRule type="cellIs" dxfId="6096" priority="197" operator="lessThan">
      <formula>0.9</formula>
    </cfRule>
    <cfRule type="cellIs" dxfId="6095" priority="198" operator="greaterThanOrEqual">
      <formula>1.1</formula>
    </cfRule>
  </conditionalFormatting>
  <conditionalFormatting sqref="C105:C106">
    <cfRule type="cellIs" dxfId="6094" priority="191" operator="equal">
      <formula>0</formula>
    </cfRule>
    <cfRule type="cellIs" dxfId="6093" priority="192" operator="greaterThan">
      <formula>0</formula>
    </cfRule>
  </conditionalFormatting>
  <conditionalFormatting sqref="D105:D106">
    <cfRule type="cellIs" dxfId="6092" priority="189" operator="equal">
      <formula>0</formula>
    </cfRule>
    <cfRule type="cellIs" dxfId="6091" priority="190" operator="greaterThan">
      <formula>0</formula>
    </cfRule>
  </conditionalFormatting>
  <conditionalFormatting sqref="E105:E106">
    <cfRule type="cellIs" dxfId="6090" priority="187" operator="equal">
      <formula>0</formula>
    </cfRule>
    <cfRule type="cellIs" dxfId="6089" priority="188" operator="greaterThan">
      <formula>0</formula>
    </cfRule>
  </conditionalFormatting>
  <conditionalFormatting sqref="F105:F106">
    <cfRule type="cellIs" dxfId="6088" priority="185" operator="equal">
      <formula>0</formula>
    </cfRule>
    <cfRule type="cellIs" dxfId="6087" priority="186" operator="greaterThan">
      <formula>0</formula>
    </cfRule>
  </conditionalFormatting>
  <conditionalFormatting sqref="G105:G106">
    <cfRule type="cellIs" dxfId="6086" priority="183" operator="equal">
      <formula>0</formula>
    </cfRule>
    <cfRule type="cellIs" dxfId="6085" priority="184" operator="greaterThan">
      <formula>0</formula>
    </cfRule>
  </conditionalFormatting>
  <conditionalFormatting sqref="H105:H106">
    <cfRule type="cellIs" dxfId="6084" priority="181" operator="equal">
      <formula>0</formula>
    </cfRule>
    <cfRule type="cellIs" dxfId="6083" priority="182" operator="greaterThan">
      <formula>0</formula>
    </cfRule>
  </conditionalFormatting>
  <conditionalFormatting sqref="I105:I106">
    <cfRule type="cellIs" dxfId="6082" priority="179" operator="equal">
      <formula>0</formula>
    </cfRule>
    <cfRule type="cellIs" dxfId="6081" priority="180" operator="greaterThan">
      <formula>0</formula>
    </cfRule>
  </conditionalFormatting>
  <conditionalFormatting sqref="J105:J106">
    <cfRule type="cellIs" dxfId="6080" priority="177" operator="equal">
      <formula>0</formula>
    </cfRule>
    <cfRule type="cellIs" dxfId="6079" priority="178" operator="greaterThan">
      <formula>0</formula>
    </cfRule>
  </conditionalFormatting>
  <conditionalFormatting sqref="O104">
    <cfRule type="cellIs" dxfId="6078" priority="175" operator="equal">
      <formula>0</formula>
    </cfRule>
    <cfRule type="cellIs" dxfId="6077" priority="176" operator="greaterThan">
      <formula>0</formula>
    </cfRule>
  </conditionalFormatting>
  <conditionalFormatting sqref="P104">
    <cfRule type="cellIs" dxfId="6076" priority="173" operator="equal">
      <formula>0</formula>
    </cfRule>
    <cfRule type="cellIs" dxfId="6075" priority="174" operator="greaterThan">
      <formula>0</formula>
    </cfRule>
  </conditionalFormatting>
  <conditionalFormatting sqref="Q104">
    <cfRule type="cellIs" dxfId="6074" priority="171" operator="equal">
      <formula>0</formula>
    </cfRule>
    <cfRule type="cellIs" dxfId="6073" priority="172" operator="greaterThan">
      <formula>0</formula>
    </cfRule>
  </conditionalFormatting>
  <conditionalFormatting sqref="R104">
    <cfRule type="cellIs" dxfId="6072" priority="169" operator="equal">
      <formula>0</formula>
    </cfRule>
    <cfRule type="cellIs" dxfId="6071" priority="170" operator="greaterThan">
      <formula>0</formula>
    </cfRule>
  </conditionalFormatting>
  <conditionalFormatting sqref="C112:C113">
    <cfRule type="cellIs" dxfId="6070" priority="167" operator="equal">
      <formula>0</formula>
    </cfRule>
    <cfRule type="cellIs" dxfId="6069" priority="168" operator="greaterThan">
      <formula>0</formula>
    </cfRule>
  </conditionalFormatting>
  <conditionalFormatting sqref="D112:D113">
    <cfRule type="cellIs" dxfId="6068" priority="165" operator="equal">
      <formula>0</formula>
    </cfRule>
    <cfRule type="cellIs" dxfId="6067" priority="166" operator="greaterThan">
      <formula>0</formula>
    </cfRule>
  </conditionalFormatting>
  <conditionalFormatting sqref="E112:E113">
    <cfRule type="cellIs" dxfId="6066" priority="163" operator="equal">
      <formula>0</formula>
    </cfRule>
    <cfRule type="cellIs" dxfId="6065" priority="164" operator="greaterThan">
      <formula>0</formula>
    </cfRule>
  </conditionalFormatting>
  <conditionalFormatting sqref="F112:F113">
    <cfRule type="cellIs" dxfId="6064" priority="161" operator="equal">
      <formula>0</formula>
    </cfRule>
    <cfRule type="cellIs" dxfId="6063" priority="162" operator="greaterThan">
      <formula>0</formula>
    </cfRule>
  </conditionalFormatting>
  <conditionalFormatting sqref="G112:G113">
    <cfRule type="cellIs" dxfId="6062" priority="159" operator="equal">
      <formula>0</formula>
    </cfRule>
    <cfRule type="cellIs" dxfId="6061" priority="160" operator="greaterThan">
      <formula>0</formula>
    </cfRule>
  </conditionalFormatting>
  <conditionalFormatting sqref="H112:H113">
    <cfRule type="cellIs" dxfId="6060" priority="157" operator="equal">
      <formula>0</formula>
    </cfRule>
    <cfRule type="cellIs" dxfId="6059" priority="158" operator="greaterThan">
      <formula>0</formula>
    </cfRule>
  </conditionalFormatting>
  <conditionalFormatting sqref="I112:I113">
    <cfRule type="cellIs" dxfId="6058" priority="155" operator="equal">
      <formula>0</formula>
    </cfRule>
    <cfRule type="cellIs" dxfId="6057" priority="156" operator="greaterThan">
      <formula>0</formula>
    </cfRule>
  </conditionalFormatting>
  <conditionalFormatting sqref="J112:J113">
    <cfRule type="cellIs" dxfId="6056" priority="153" operator="equal">
      <formula>0</formula>
    </cfRule>
    <cfRule type="cellIs" dxfId="6055" priority="154" operator="greaterThan">
      <formula>0</formula>
    </cfRule>
  </conditionalFormatting>
  <conditionalFormatting sqref="O111">
    <cfRule type="cellIs" dxfId="6054" priority="151" operator="equal">
      <formula>0</formula>
    </cfRule>
    <cfRule type="cellIs" dxfId="6053" priority="152" operator="greaterThan">
      <formula>0</formula>
    </cfRule>
  </conditionalFormatting>
  <conditionalFormatting sqref="P111">
    <cfRule type="cellIs" dxfId="6052" priority="149" operator="equal">
      <formula>0</formula>
    </cfRule>
    <cfRule type="cellIs" dxfId="6051" priority="150" operator="greaterThan">
      <formula>0</formula>
    </cfRule>
  </conditionalFormatting>
  <conditionalFormatting sqref="Q111">
    <cfRule type="cellIs" dxfId="6050" priority="147" operator="equal">
      <formula>0</formula>
    </cfRule>
    <cfRule type="cellIs" dxfId="6049" priority="148" operator="greaterThan">
      <formula>0</formula>
    </cfRule>
  </conditionalFormatting>
  <conditionalFormatting sqref="R111">
    <cfRule type="cellIs" dxfId="6048" priority="145" operator="equal">
      <formula>0</formula>
    </cfRule>
    <cfRule type="cellIs" dxfId="6047" priority="146" operator="greaterThan">
      <formula>0</formula>
    </cfRule>
  </conditionalFormatting>
  <conditionalFormatting sqref="C119:C120">
    <cfRule type="cellIs" dxfId="6046" priority="143" operator="equal">
      <formula>0</formula>
    </cfRule>
    <cfRule type="cellIs" dxfId="6045" priority="144" operator="greaterThan">
      <formula>0</formula>
    </cfRule>
  </conditionalFormatting>
  <conditionalFormatting sqref="D119:D120">
    <cfRule type="cellIs" dxfId="6044" priority="141" operator="equal">
      <formula>0</formula>
    </cfRule>
    <cfRule type="cellIs" dxfId="6043" priority="142" operator="greaterThan">
      <formula>0</formula>
    </cfRule>
  </conditionalFormatting>
  <conditionalFormatting sqref="E119:E120">
    <cfRule type="cellIs" dxfId="6042" priority="139" operator="equal">
      <formula>0</formula>
    </cfRule>
    <cfRule type="cellIs" dxfId="6041" priority="140" operator="greaterThan">
      <formula>0</formula>
    </cfRule>
  </conditionalFormatting>
  <conditionalFormatting sqref="F119:F120">
    <cfRule type="cellIs" dxfId="6040" priority="137" operator="equal">
      <formula>0</formula>
    </cfRule>
    <cfRule type="cellIs" dxfId="6039" priority="138" operator="greaterThan">
      <formula>0</formula>
    </cfRule>
  </conditionalFormatting>
  <conditionalFormatting sqref="G119:G120">
    <cfRule type="cellIs" dxfId="6038" priority="135" operator="equal">
      <formula>0</formula>
    </cfRule>
    <cfRule type="cellIs" dxfId="6037" priority="136" operator="greaterThan">
      <formula>0</formula>
    </cfRule>
  </conditionalFormatting>
  <conditionalFormatting sqref="H119:H120">
    <cfRule type="cellIs" dxfId="6036" priority="133" operator="equal">
      <formula>0</formula>
    </cfRule>
    <cfRule type="cellIs" dxfId="6035" priority="134" operator="greaterThan">
      <formula>0</formula>
    </cfRule>
  </conditionalFormatting>
  <conditionalFormatting sqref="I119:I120">
    <cfRule type="cellIs" dxfId="6034" priority="131" operator="equal">
      <formula>0</formula>
    </cfRule>
    <cfRule type="cellIs" dxfId="6033" priority="132" operator="greaterThan">
      <formula>0</formula>
    </cfRule>
  </conditionalFormatting>
  <conditionalFormatting sqref="J119:J120">
    <cfRule type="cellIs" dxfId="6032" priority="129" operator="equal">
      <formula>0</formula>
    </cfRule>
    <cfRule type="cellIs" dxfId="6031" priority="130" operator="greaterThan">
      <formula>0</formula>
    </cfRule>
  </conditionalFormatting>
  <conditionalFormatting sqref="O118">
    <cfRule type="cellIs" dxfId="6030" priority="127" operator="equal">
      <formula>0</formula>
    </cfRule>
    <cfRule type="cellIs" dxfId="6029" priority="128" operator="greaterThan">
      <formula>0</formula>
    </cfRule>
  </conditionalFormatting>
  <conditionalFormatting sqref="P118">
    <cfRule type="cellIs" dxfId="6028" priority="125" operator="equal">
      <formula>0</formula>
    </cfRule>
    <cfRule type="cellIs" dxfId="6027" priority="126" operator="greaterThan">
      <formula>0</formula>
    </cfRule>
  </conditionalFormatting>
  <conditionalFormatting sqref="Q118">
    <cfRule type="cellIs" dxfId="6026" priority="123" operator="equal">
      <formula>0</formula>
    </cfRule>
    <cfRule type="cellIs" dxfId="6025" priority="124" operator="greaterThan">
      <formula>0</formula>
    </cfRule>
  </conditionalFormatting>
  <conditionalFormatting sqref="R118">
    <cfRule type="cellIs" dxfId="6024" priority="121" operator="equal">
      <formula>0</formula>
    </cfRule>
    <cfRule type="cellIs" dxfId="6023" priority="122" operator="greaterThan">
      <formula>0</formula>
    </cfRule>
  </conditionalFormatting>
  <conditionalFormatting sqref="C126:C127">
    <cfRule type="cellIs" dxfId="6022" priority="119" operator="equal">
      <formula>0</formula>
    </cfRule>
    <cfRule type="cellIs" dxfId="6021" priority="120" operator="greaterThan">
      <formula>0</formula>
    </cfRule>
  </conditionalFormatting>
  <conditionalFormatting sqref="D126:D127">
    <cfRule type="cellIs" dxfId="6020" priority="117" operator="equal">
      <formula>0</formula>
    </cfRule>
    <cfRule type="cellIs" dxfId="6019" priority="118" operator="greaterThan">
      <formula>0</formula>
    </cfRule>
  </conditionalFormatting>
  <conditionalFormatting sqref="E126:E127">
    <cfRule type="cellIs" dxfId="6018" priority="115" operator="equal">
      <formula>0</formula>
    </cfRule>
    <cfRule type="cellIs" dxfId="6017" priority="116" operator="greaterThan">
      <formula>0</formula>
    </cfRule>
  </conditionalFormatting>
  <conditionalFormatting sqref="F126:F127">
    <cfRule type="cellIs" dxfId="6016" priority="113" operator="equal">
      <formula>0</formula>
    </cfRule>
    <cfRule type="cellIs" dxfId="6015" priority="114" operator="greaterThan">
      <formula>0</formula>
    </cfRule>
  </conditionalFormatting>
  <conditionalFormatting sqref="G126:G127">
    <cfRule type="cellIs" dxfId="6014" priority="111" operator="equal">
      <formula>0</formula>
    </cfRule>
    <cfRule type="cellIs" dxfId="6013" priority="112" operator="greaterThan">
      <formula>0</formula>
    </cfRule>
  </conditionalFormatting>
  <conditionalFormatting sqref="H126:H127">
    <cfRule type="cellIs" dxfId="6012" priority="109" operator="equal">
      <formula>0</formula>
    </cfRule>
    <cfRule type="cellIs" dxfId="6011" priority="110" operator="greaterThan">
      <formula>0</formula>
    </cfRule>
  </conditionalFormatting>
  <conditionalFormatting sqref="I126:I127">
    <cfRule type="cellIs" dxfId="6010" priority="107" operator="equal">
      <formula>0</formula>
    </cfRule>
    <cfRule type="cellIs" dxfId="6009" priority="108" operator="greaterThan">
      <formula>0</formula>
    </cfRule>
  </conditionalFormatting>
  <conditionalFormatting sqref="J126:J127">
    <cfRule type="cellIs" dxfId="6008" priority="105" operator="equal">
      <formula>0</formula>
    </cfRule>
    <cfRule type="cellIs" dxfId="6007" priority="106" operator="greaterThan">
      <formula>0</formula>
    </cfRule>
  </conditionalFormatting>
  <conditionalFormatting sqref="O125">
    <cfRule type="cellIs" dxfId="6006" priority="103" operator="equal">
      <formula>0</formula>
    </cfRule>
    <cfRule type="cellIs" dxfId="6005" priority="104" operator="greaterThan">
      <formula>0</formula>
    </cfRule>
  </conditionalFormatting>
  <conditionalFormatting sqref="P125">
    <cfRule type="cellIs" dxfId="6004" priority="101" operator="equal">
      <formula>0</formula>
    </cfRule>
    <cfRule type="cellIs" dxfId="6003" priority="102" operator="greaterThan">
      <formula>0</formula>
    </cfRule>
  </conditionalFormatting>
  <conditionalFormatting sqref="Q125">
    <cfRule type="cellIs" dxfId="6002" priority="99" operator="equal">
      <formula>0</formula>
    </cfRule>
    <cfRule type="cellIs" dxfId="6001" priority="100" operator="greaterThan">
      <formula>0</formula>
    </cfRule>
  </conditionalFormatting>
  <conditionalFormatting sqref="R125">
    <cfRule type="cellIs" dxfId="6000" priority="97" operator="equal">
      <formula>0</formula>
    </cfRule>
    <cfRule type="cellIs" dxfId="5999" priority="98" operator="greaterThan">
      <formula>0</formula>
    </cfRule>
  </conditionalFormatting>
  <conditionalFormatting sqref="V105:V106">
    <cfRule type="cellIs" dxfId="5998" priority="95" operator="equal">
      <formula>0</formula>
    </cfRule>
    <cfRule type="cellIs" dxfId="5997" priority="96" operator="greaterThan">
      <formula>0</formula>
    </cfRule>
  </conditionalFormatting>
  <conditionalFormatting sqref="W105:W106">
    <cfRule type="cellIs" dxfId="5996" priority="93" operator="equal">
      <formula>0</formula>
    </cfRule>
    <cfRule type="cellIs" dxfId="5995" priority="94" operator="greaterThan">
      <formula>0</formula>
    </cfRule>
  </conditionalFormatting>
  <conditionalFormatting sqref="X105:X106">
    <cfRule type="cellIs" dxfId="5994" priority="91" operator="equal">
      <formula>0</formula>
    </cfRule>
    <cfRule type="cellIs" dxfId="5993" priority="92" operator="greaterThan">
      <formula>0</formula>
    </cfRule>
  </conditionalFormatting>
  <conditionalFormatting sqref="Y105:Y106">
    <cfRule type="cellIs" dxfId="5992" priority="89" operator="equal">
      <formula>0</formula>
    </cfRule>
    <cfRule type="cellIs" dxfId="5991" priority="90" operator="greaterThan">
      <formula>0</formula>
    </cfRule>
  </conditionalFormatting>
  <conditionalFormatting sqref="Z105:Z106">
    <cfRule type="cellIs" dxfId="5990" priority="87" operator="equal">
      <formula>0</formula>
    </cfRule>
    <cfRule type="cellIs" dxfId="5989" priority="88" operator="greaterThan">
      <formula>0</formula>
    </cfRule>
  </conditionalFormatting>
  <conditionalFormatting sqref="AA105:AA106">
    <cfRule type="cellIs" dxfId="5988" priority="85" operator="equal">
      <formula>0</formula>
    </cfRule>
    <cfRule type="cellIs" dxfId="5987" priority="86" operator="greaterThan">
      <formula>0</formula>
    </cfRule>
  </conditionalFormatting>
  <conditionalFormatting sqref="AB105:AB106">
    <cfRule type="cellIs" dxfId="5986" priority="83" operator="equal">
      <formula>0</formula>
    </cfRule>
    <cfRule type="cellIs" dxfId="5985" priority="84" operator="greaterThan">
      <formula>0</formula>
    </cfRule>
  </conditionalFormatting>
  <conditionalFormatting sqref="AC105:AC106">
    <cfRule type="cellIs" dxfId="5984" priority="81" operator="equal">
      <formula>0</formula>
    </cfRule>
    <cfRule type="cellIs" dxfId="5983" priority="82" operator="greaterThan">
      <formula>0</formula>
    </cfRule>
  </conditionalFormatting>
  <conditionalFormatting sqref="AH104">
    <cfRule type="cellIs" dxfId="5982" priority="79" operator="equal">
      <formula>0</formula>
    </cfRule>
    <cfRule type="cellIs" dxfId="5981" priority="80" operator="greaterThan">
      <formula>0</formula>
    </cfRule>
  </conditionalFormatting>
  <conditionalFormatting sqref="AI104">
    <cfRule type="cellIs" dxfId="5980" priority="77" operator="equal">
      <formula>0</formula>
    </cfRule>
    <cfRule type="cellIs" dxfId="5979" priority="78" operator="greaterThan">
      <formula>0</formula>
    </cfRule>
  </conditionalFormatting>
  <conditionalFormatting sqref="AJ104">
    <cfRule type="cellIs" dxfId="5978" priority="75" operator="equal">
      <formula>0</formula>
    </cfRule>
    <cfRule type="cellIs" dxfId="5977" priority="76" operator="greaterThan">
      <formula>0</formula>
    </cfRule>
  </conditionalFormatting>
  <conditionalFormatting sqref="AK104">
    <cfRule type="cellIs" dxfId="5976" priority="73" operator="equal">
      <formula>0</formula>
    </cfRule>
    <cfRule type="cellIs" dxfId="5975" priority="74" operator="greaterThan">
      <formula>0</formula>
    </cfRule>
  </conditionalFormatting>
  <conditionalFormatting sqref="V112:V113">
    <cfRule type="cellIs" dxfId="5974" priority="71" operator="equal">
      <formula>0</formula>
    </cfRule>
    <cfRule type="cellIs" dxfId="5973" priority="72" operator="greaterThan">
      <formula>0</formula>
    </cfRule>
  </conditionalFormatting>
  <conditionalFormatting sqref="W112:W113">
    <cfRule type="cellIs" dxfId="5972" priority="69" operator="equal">
      <formula>0</formula>
    </cfRule>
    <cfRule type="cellIs" dxfId="5971" priority="70" operator="greaterThan">
      <formula>0</formula>
    </cfRule>
  </conditionalFormatting>
  <conditionalFormatting sqref="X112:X113">
    <cfRule type="cellIs" dxfId="5970" priority="67" operator="equal">
      <formula>0</formula>
    </cfRule>
    <cfRule type="cellIs" dxfId="5969" priority="68" operator="greaterThan">
      <formula>0</formula>
    </cfRule>
  </conditionalFormatting>
  <conditionalFormatting sqref="Y112:Y113">
    <cfRule type="cellIs" dxfId="5968" priority="65" operator="equal">
      <formula>0</formula>
    </cfRule>
    <cfRule type="cellIs" dxfId="5967" priority="66" operator="greaterThan">
      <formula>0</formula>
    </cfRule>
  </conditionalFormatting>
  <conditionalFormatting sqref="Z112:Z113">
    <cfRule type="cellIs" dxfId="5966" priority="63" operator="equal">
      <formula>0</formula>
    </cfRule>
    <cfRule type="cellIs" dxfId="5965" priority="64" operator="greaterThan">
      <formula>0</formula>
    </cfRule>
  </conditionalFormatting>
  <conditionalFormatting sqref="AA112:AA113">
    <cfRule type="cellIs" dxfId="5964" priority="61" operator="equal">
      <formula>0</formula>
    </cfRule>
    <cfRule type="cellIs" dxfId="5963" priority="62" operator="greaterThan">
      <formula>0</formula>
    </cfRule>
  </conditionalFormatting>
  <conditionalFormatting sqref="AB112:AB113">
    <cfRule type="cellIs" dxfId="5962" priority="59" operator="equal">
      <formula>0</formula>
    </cfRule>
    <cfRule type="cellIs" dxfId="5961" priority="60" operator="greaterThan">
      <formula>0</formula>
    </cfRule>
  </conditionalFormatting>
  <conditionalFormatting sqref="AC112:AC113">
    <cfRule type="cellIs" dxfId="5960" priority="57" operator="equal">
      <formula>0</formula>
    </cfRule>
    <cfRule type="cellIs" dxfId="5959" priority="58" operator="greaterThan">
      <formula>0</formula>
    </cfRule>
  </conditionalFormatting>
  <conditionalFormatting sqref="AH111">
    <cfRule type="cellIs" dxfId="5958" priority="55" operator="equal">
      <formula>0</formula>
    </cfRule>
    <cfRule type="cellIs" dxfId="5957" priority="56" operator="greaterThan">
      <formula>0</formula>
    </cfRule>
  </conditionalFormatting>
  <conditionalFormatting sqref="AI111">
    <cfRule type="cellIs" dxfId="5956" priority="53" operator="equal">
      <formula>0</formula>
    </cfRule>
    <cfRule type="cellIs" dxfId="5955" priority="54" operator="greaterThan">
      <formula>0</formula>
    </cfRule>
  </conditionalFormatting>
  <conditionalFormatting sqref="AJ111">
    <cfRule type="cellIs" dxfId="5954" priority="51" operator="equal">
      <formula>0</formula>
    </cfRule>
    <cfRule type="cellIs" dxfId="5953" priority="52" operator="greaterThan">
      <formula>0</formula>
    </cfRule>
  </conditionalFormatting>
  <conditionalFormatting sqref="AK111">
    <cfRule type="cellIs" dxfId="5952" priority="49" operator="equal">
      <formula>0</formula>
    </cfRule>
    <cfRule type="cellIs" dxfId="5951" priority="50" operator="greaterThan">
      <formula>0</formula>
    </cfRule>
  </conditionalFormatting>
  <conditionalFormatting sqref="V119:V120">
    <cfRule type="cellIs" dxfId="5950" priority="47" operator="equal">
      <formula>0</formula>
    </cfRule>
    <cfRule type="cellIs" dxfId="5949" priority="48" operator="greaterThan">
      <formula>0</formula>
    </cfRule>
  </conditionalFormatting>
  <conditionalFormatting sqref="W119:W120">
    <cfRule type="cellIs" dxfId="5948" priority="45" operator="equal">
      <formula>0</formula>
    </cfRule>
    <cfRule type="cellIs" dxfId="5947" priority="46" operator="greaterThan">
      <formula>0</formula>
    </cfRule>
  </conditionalFormatting>
  <conditionalFormatting sqref="X119:X120">
    <cfRule type="cellIs" dxfId="5946" priority="43" operator="equal">
      <formula>0</formula>
    </cfRule>
    <cfRule type="cellIs" dxfId="5945" priority="44" operator="greaterThan">
      <formula>0</formula>
    </cfRule>
  </conditionalFormatting>
  <conditionalFormatting sqref="Y119:Y120">
    <cfRule type="cellIs" dxfId="5944" priority="41" operator="equal">
      <formula>0</formula>
    </cfRule>
    <cfRule type="cellIs" dxfId="5943" priority="42" operator="greaterThan">
      <formula>0</formula>
    </cfRule>
  </conditionalFormatting>
  <conditionalFormatting sqref="Z119:Z120">
    <cfRule type="cellIs" dxfId="5942" priority="39" operator="equal">
      <formula>0</formula>
    </cfRule>
    <cfRule type="cellIs" dxfId="5941" priority="40" operator="greaterThan">
      <formula>0</formula>
    </cfRule>
  </conditionalFormatting>
  <conditionalFormatting sqref="AA119:AA120">
    <cfRule type="cellIs" dxfId="5940" priority="37" operator="equal">
      <formula>0</formula>
    </cfRule>
    <cfRule type="cellIs" dxfId="5939" priority="38" operator="greaterThan">
      <formula>0</formula>
    </cfRule>
  </conditionalFormatting>
  <conditionalFormatting sqref="AB119:AB120">
    <cfRule type="cellIs" dxfId="5938" priority="35" operator="equal">
      <formula>0</formula>
    </cfRule>
    <cfRule type="cellIs" dxfId="5937" priority="36" operator="greaterThan">
      <formula>0</formula>
    </cfRule>
  </conditionalFormatting>
  <conditionalFormatting sqref="AC119:AC120">
    <cfRule type="cellIs" dxfId="5936" priority="33" operator="equal">
      <formula>0</formula>
    </cfRule>
    <cfRule type="cellIs" dxfId="5935" priority="34" operator="greaterThan">
      <formula>0</formula>
    </cfRule>
  </conditionalFormatting>
  <conditionalFormatting sqref="AH118">
    <cfRule type="cellIs" dxfId="5934" priority="31" operator="equal">
      <formula>0</formula>
    </cfRule>
    <cfRule type="cellIs" dxfId="5933" priority="32" operator="greaterThan">
      <formula>0</formula>
    </cfRule>
  </conditionalFormatting>
  <conditionalFormatting sqref="AI118">
    <cfRule type="cellIs" dxfId="5932" priority="29" operator="equal">
      <formula>0</formula>
    </cfRule>
    <cfRule type="cellIs" dxfId="5931" priority="30" operator="greaterThan">
      <formula>0</formula>
    </cfRule>
  </conditionalFormatting>
  <conditionalFormatting sqref="AJ118">
    <cfRule type="cellIs" dxfId="5930" priority="27" operator="equal">
      <formula>0</formula>
    </cfRule>
    <cfRule type="cellIs" dxfId="5929" priority="28" operator="greaterThan">
      <formula>0</formula>
    </cfRule>
  </conditionalFormatting>
  <conditionalFormatting sqref="AK118">
    <cfRule type="cellIs" dxfId="5928" priority="25" operator="equal">
      <formula>0</formula>
    </cfRule>
    <cfRule type="cellIs" dxfId="5927" priority="26" operator="greaterThan">
      <formula>0</formula>
    </cfRule>
  </conditionalFormatting>
  <conditionalFormatting sqref="V126:V127">
    <cfRule type="cellIs" dxfId="5926" priority="23" operator="equal">
      <formula>0</formula>
    </cfRule>
    <cfRule type="cellIs" dxfId="5925" priority="24" operator="greaterThan">
      <formula>0</formula>
    </cfRule>
  </conditionalFormatting>
  <conditionalFormatting sqref="W126:W127">
    <cfRule type="cellIs" dxfId="5924" priority="21" operator="equal">
      <formula>0</formula>
    </cfRule>
    <cfRule type="cellIs" dxfId="5923" priority="22" operator="greaterThan">
      <formula>0</formula>
    </cfRule>
  </conditionalFormatting>
  <conditionalFormatting sqref="X126:X127">
    <cfRule type="cellIs" dxfId="5922" priority="19" operator="equal">
      <formula>0</formula>
    </cfRule>
    <cfRule type="cellIs" dxfId="5921" priority="20" operator="greaterThan">
      <formula>0</formula>
    </cfRule>
  </conditionalFormatting>
  <conditionalFormatting sqref="Y126:Y127">
    <cfRule type="cellIs" dxfId="5920" priority="17" operator="equal">
      <formula>0</formula>
    </cfRule>
    <cfRule type="cellIs" dxfId="5919" priority="18" operator="greaterThan">
      <formula>0</formula>
    </cfRule>
  </conditionalFormatting>
  <conditionalFormatting sqref="Z126:Z127">
    <cfRule type="cellIs" dxfId="5918" priority="15" operator="equal">
      <formula>0</formula>
    </cfRule>
    <cfRule type="cellIs" dxfId="5917" priority="16" operator="greaterThan">
      <formula>0</formula>
    </cfRule>
  </conditionalFormatting>
  <conditionalFormatting sqref="AA126:AA127">
    <cfRule type="cellIs" dxfId="5916" priority="13" operator="equal">
      <formula>0</formula>
    </cfRule>
    <cfRule type="cellIs" dxfId="5915" priority="14" operator="greaterThan">
      <formula>0</formula>
    </cfRule>
  </conditionalFormatting>
  <conditionalFormatting sqref="AB126:AB127">
    <cfRule type="cellIs" dxfId="5914" priority="11" operator="equal">
      <formula>0</formula>
    </cfRule>
    <cfRule type="cellIs" dxfId="5913" priority="12" operator="greaterThan">
      <formula>0</formula>
    </cfRule>
  </conditionalFormatting>
  <conditionalFormatting sqref="AC126:AC127">
    <cfRule type="cellIs" dxfId="5912" priority="9" operator="equal">
      <formula>0</formula>
    </cfRule>
    <cfRule type="cellIs" dxfId="5911" priority="10" operator="greaterThan">
      <formula>0</formula>
    </cfRule>
  </conditionalFormatting>
  <conditionalFormatting sqref="AH125">
    <cfRule type="cellIs" dxfId="5910" priority="7" operator="equal">
      <formula>0</formula>
    </cfRule>
    <cfRule type="cellIs" dxfId="5909" priority="8" operator="greaterThan">
      <formula>0</formula>
    </cfRule>
  </conditionalFormatting>
  <conditionalFormatting sqref="AI125">
    <cfRule type="cellIs" dxfId="5908" priority="5" operator="equal">
      <formula>0</formula>
    </cfRule>
    <cfRule type="cellIs" dxfId="5907" priority="6" operator="greaterThan">
      <formula>0</formula>
    </cfRule>
  </conditionalFormatting>
  <conditionalFormatting sqref="AJ125">
    <cfRule type="cellIs" dxfId="5906" priority="3" operator="equal">
      <formula>0</formula>
    </cfRule>
    <cfRule type="cellIs" dxfId="5905" priority="4" operator="greaterThan">
      <formula>0</formula>
    </cfRule>
  </conditionalFormatting>
  <conditionalFormatting sqref="AK125">
    <cfRule type="cellIs" dxfId="5904" priority="1" operator="equal">
      <formula>0</formula>
    </cfRule>
    <cfRule type="cellIs" dxfId="5903" priority="2" operator="greaterThan">
      <formula>0</formula>
    </cfRule>
  </conditionalFormatting>
  <dataValidations count="2">
    <dataValidation type="list" allowBlank="1" showInputMessage="1" showErrorMessage="1" sqref="B6" xr:uid="{00000000-0002-0000-0800-000001000000}">
      <formula1>OFFSET(Anchor_Cell,1,MATCH($B$5,Team_Regions,0)-1,COUNTA(OFFSET(Anchor_Cell,1,MATCH(B5,Regions,0)-1,100)),1)</formula1>
    </dataValidation>
    <dataValidation type="list" allowBlank="1" showInputMessage="1" showErrorMessage="1" sqref="B5" xr:uid="{853D782F-5BD6-4D79-A2B6-88C6986BDB1F}">
      <formula1>Regions</formula1>
    </dataValidation>
  </dataValidation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82"/>
  <sheetViews>
    <sheetView showGridLines="0" zoomScale="85" zoomScaleNormal="85" workbookViewId="0">
      <selection activeCell="B6" sqref="B6"/>
    </sheetView>
  </sheetViews>
  <sheetFormatPr baseColWidth="10" defaultColWidth="9.1640625" defaultRowHeight="14" x14ac:dyDescent="0.15"/>
  <cols>
    <col min="2" max="2" width="42.5" customWidth="1"/>
    <col min="3" max="3" width="19.1640625" customWidth="1"/>
    <col min="4" max="4" width="20.5" bestFit="1" customWidth="1"/>
    <col min="5" max="5" width="16.33203125" customWidth="1"/>
    <col min="6" max="6" width="17.1640625" customWidth="1"/>
    <col min="7" max="7" width="18.5" customWidth="1"/>
    <col min="8" max="8" width="19.1640625" customWidth="1"/>
    <col min="9" max="9" width="17.5" customWidth="1"/>
    <col min="10" max="10" width="20.5" customWidth="1"/>
    <col min="11" max="11" width="23.6640625" customWidth="1"/>
    <col min="12" max="12" width="19.83203125" customWidth="1"/>
    <col min="13" max="13" width="17.83203125" bestFit="1" customWidth="1"/>
    <col min="14" max="14" width="8.5" bestFit="1" customWidth="1"/>
    <col min="17" max="17" width="10" bestFit="1" customWidth="1"/>
  </cols>
  <sheetData>
    <row r="1" spans="1:19" ht="43.5" customHeight="1" x14ac:dyDescent="0.15">
      <c r="A1" s="471" t="s">
        <v>1062</v>
      </c>
      <c r="B1" s="471"/>
      <c r="C1" s="471"/>
      <c r="D1" s="471"/>
      <c r="E1" s="471"/>
      <c r="F1" s="471"/>
      <c r="G1" s="471"/>
      <c r="H1" s="471"/>
      <c r="I1" s="471"/>
      <c r="J1" s="471"/>
      <c r="K1" s="471"/>
      <c r="L1" s="471"/>
      <c r="M1" s="471"/>
      <c r="N1" s="472"/>
      <c r="O1" s="472"/>
      <c r="P1" s="472"/>
      <c r="Q1" s="472"/>
      <c r="R1" s="472"/>
      <c r="S1" s="472"/>
    </row>
    <row r="2" spans="1:19" ht="37.5" customHeight="1" x14ac:dyDescent="0.15">
      <c r="A2" s="426"/>
      <c r="B2" s="426"/>
      <c r="C2" s="426"/>
      <c r="D2" s="426"/>
      <c r="E2" s="426"/>
      <c r="F2" s="426"/>
      <c r="G2" s="426"/>
      <c r="H2" s="426"/>
      <c r="I2" s="426"/>
      <c r="J2" s="426"/>
      <c r="K2" s="426"/>
      <c r="L2" s="426"/>
      <c r="M2" s="426"/>
      <c r="N2" s="241"/>
      <c r="O2" s="241"/>
      <c r="P2" s="241"/>
      <c r="Q2" s="241"/>
      <c r="R2" s="241"/>
      <c r="S2" s="241"/>
    </row>
    <row r="3" spans="1:19" ht="16.5" customHeight="1" x14ac:dyDescent="0.15"/>
    <row r="4" spans="1:19" ht="33.75" customHeight="1" x14ac:dyDescent="0.15">
      <c r="B4" s="337" t="s">
        <v>1063</v>
      </c>
    </row>
    <row r="5" spans="1:19" ht="24" customHeight="1" x14ac:dyDescent="0.15">
      <c r="B5" s="242" t="s">
        <v>28</v>
      </c>
      <c r="D5" t="s">
        <v>1064</v>
      </c>
      <c r="F5" s="40"/>
    </row>
    <row r="6" spans="1:19" ht="33" customHeight="1" x14ac:dyDescent="0.15">
      <c r="B6" s="304" t="s">
        <v>41</v>
      </c>
    </row>
    <row r="8" spans="1:19" ht="23" x14ac:dyDescent="0.15">
      <c r="B8" s="446" t="s">
        <v>936</v>
      </c>
      <c r="C8" s="447"/>
      <c r="D8" s="447"/>
      <c r="E8" s="447"/>
      <c r="F8" s="448"/>
    </row>
    <row r="9" spans="1:19" ht="56" x14ac:dyDescent="0.15">
      <c r="B9" s="62"/>
      <c r="C9" s="219" t="s">
        <v>937</v>
      </c>
      <c r="D9" s="63" t="s">
        <v>938</v>
      </c>
      <c r="E9" s="63" t="s">
        <v>939</v>
      </c>
      <c r="F9" s="63" t="s">
        <v>940</v>
      </c>
      <c r="G9" s="64"/>
      <c r="H9" s="219" t="s">
        <v>1042</v>
      </c>
      <c r="I9" s="219" t="s">
        <v>942</v>
      </c>
      <c r="J9" s="64"/>
      <c r="K9" s="219" t="s">
        <v>943</v>
      </c>
      <c r="L9" s="219" t="s">
        <v>944</v>
      </c>
      <c r="M9" s="64"/>
    </row>
    <row r="10" spans="1:19" x14ac:dyDescent="0.15">
      <c r="B10" s="65" t="str">
        <f>B6</f>
        <v>Boston - N53</v>
      </c>
      <c r="C10" s="111" t="str">
        <f>IFERROR(SUM((SUMIFS('capacity data'!$G:$G,'capacity data'!$E:$E,"PO",'capacity data'!$C:$C,B6))-SUMIFS('capacity data'!$H:$H,'capacity data'!$E:$E,"PO",'capacity data'!$C:$C,B6))/SUMIFS('capacity data'!$G:$G,'capacity data'!$E:$E,"PO",'capacity data'!$C:$C,B6),"")</f>
        <v/>
      </c>
      <c r="D10" s="67" t="str">
        <f>IFERROR(SUM((SUMIFS('capacity data'!$G:$G,'capacity data'!$E:$E,"PSO",'capacity data'!$C:$C,B6))-SUMIFS('capacity data'!$H:$H,'capacity data'!$E:$E,"PSO",'capacity data'!$C:$C,B6))/SUMIFS('capacity data'!$G:$G,'capacity data'!$E:$E,"PSO",'capacity data'!$C:$C,B6),"")</f>
        <v/>
      </c>
      <c r="E10" s="67" t="str">
        <f>IFERROR(SUM((SUMIFS('capacity data'!$G:$G,'capacity data'!$E:$E,"TPO",'capacity data'!$C:$C,B6))-SUMIFS('capacity data'!$H:$H,'capacity data'!$E:$E,"TPO",'capacity data'!$C:$C,B6))/SUMIFS('capacity data'!$G:$G,'capacity data'!$E:$E,"TPO",'capacity data'!$C:$C,B6),"")</f>
        <v/>
      </c>
      <c r="F10" s="67" t="str">
        <f>IFERROR(SUM((SUMIFS('capacity data'!G:G,'capacity data'!C:C,'team overview'!B6))-SUMIFS('capacity data'!H:H,'capacity data'!C:C,'team overview'!B6))/SUMIFS('capacity data'!G:G,'capacity data'!C:C,'team overview'!B6),"")</f>
        <v/>
      </c>
      <c r="G10" s="64"/>
      <c r="H10" s="66" t="e">
        <f>SUMIFS('capacity data'!$L:$L,'capacity data'!$C:$C,$B$6,'capacity data'!$E:$E,"PSO")/SUM((SUMIFS('capacity data'!$G:$G,'capacity data'!$E:$E,"PSO",'capacity data'!$C:$C,$B$6))-SUMIFS('capacity data'!$H:$H,'capacity data'!$E:$E,"PSO",'capacity data'!$C:$C,$B$6))</f>
        <v>#DIV/0!</v>
      </c>
      <c r="I10" s="211" t="e">
        <f>SUMIFS('capacity data'!$L:$L,'capacity data'!$C:$C,$B$6,'capacity data'!$E:$E,"PSO")/SUMIFS('capacity data'!$G:$G,'capacity data'!$E:$E,"PSO",'capacity data'!$C:$C,$B$6)</f>
        <v>#DIV/0!</v>
      </c>
      <c r="J10" s="64"/>
      <c r="K10" s="66" t="e">
        <f>SUMIFS('capacity data'!$L:$L,'capacity data'!$C:$C,$B$6,'capacity data'!$E:$E,"TPO")/SUM((SUMIFS('capacity data'!$G:$G,'capacity data'!$E:$E,"TPO",'capacity data'!$C:$C,$B$6))-SUMIFS('capacity data'!$H:$H,'capacity data'!$E:$E,"TPO",'capacity data'!$C:$C,$B$6))</f>
        <v>#DIV/0!</v>
      </c>
      <c r="L10" s="211" t="e">
        <f>SUMIFS('capacity data'!$L:$L,'capacity data'!$C:$C,$B$6,'capacity data'!$E:$E,"TPO")/SUMIFS('capacity data'!$G:$G,'capacity data'!$E:$E,"TPO",'capacity data'!$C:$C,$B$6)</f>
        <v>#DIV/0!</v>
      </c>
      <c r="M10" s="64"/>
    </row>
    <row r="11" spans="1:19" x14ac:dyDescent="0.15">
      <c r="B11" s="106" t="s">
        <v>945</v>
      </c>
      <c r="C11" s="107" t="e">
        <f>SUM((SUMIF('capacity data'!E:E,"PO",'capacity data'!G:G))-SUMIF('capacity data'!E:E,"PO",'capacity data'!H:H))/SUMIF('capacity data'!E:E,"PO",'capacity data'!G:G)</f>
        <v>#DIV/0!</v>
      </c>
      <c r="D11" s="107" t="e">
        <f>SUM((SUMIF('capacity data'!E:E,"PSO",'capacity data'!G:G))-SUMIF('capacity data'!E:E,"PSO",'capacity data'!H:H))/SUMIF('capacity data'!E:E,"PSO",'capacity data'!G:G)</f>
        <v>#DIV/0!</v>
      </c>
      <c r="E11" s="107" t="e">
        <f>SUM((SUMIF('capacity data'!E:E,"PSO",'capacity data'!G:G))-SUMIF('capacity data'!E:E,"PSO",'capacity data'!H:H))/SUMIF('capacity data'!E:E,"PSO",'capacity data'!G:G)</f>
        <v>#DIV/0!</v>
      </c>
      <c r="F11" s="82" t="e">
        <f>SUM((SUM('capacity data'!G:G)-SUM('capacity data'!H:H))/SUM('capacity data'!G:G))</f>
        <v>#DIV/0!</v>
      </c>
      <c r="G11" s="64"/>
      <c r="H11" s="117" t="e">
        <f>SUMIF('capacity data'!$E:$E,"PSO",'capacity data'!$L:$L)/SUM(SUMIF('capacity data'!$E:$E,"PSO",'capacity data'!$G:$G)-SUMIF('capacity data'!$E:$E,"PSO",'capacity data'!$H:$H))</f>
        <v>#DIV/0!</v>
      </c>
      <c r="I11" s="118" t="e">
        <f>SUMIF('capacity data'!$E:$E,"PSO",'capacity data'!$L:$L)/SUMIF('capacity data'!$E:$E,"PSO",'capacity data'!$G:$G)</f>
        <v>#DIV/0!</v>
      </c>
      <c r="J11" s="64"/>
      <c r="K11" s="117" t="e">
        <f>SUMIF('capacity data'!$E:$E,"TPO",'capacity data'!$L:$L)/SUM(SUMIF('capacity data'!$E:$E,"TPO",'capacity data'!$G:$G)-SUMIF('capacity data'!$E:$E,"TPO",'capacity data'!$H:$H))</f>
        <v>#DIV/0!</v>
      </c>
      <c r="L11" s="118" t="e">
        <f>SUMIF('capacity data'!$E:$E,"TPO",'capacity data'!$L:$L)/SUMIF('capacity data'!$E:$E,"TPO",'capacity data'!$G:$G)</f>
        <v>#DIV/0!</v>
      </c>
      <c r="M11" s="64"/>
    </row>
    <row r="12" spans="1:19" x14ac:dyDescent="0.15">
      <c r="B12" s="119" t="s">
        <v>1036</v>
      </c>
      <c r="C12" s="120" t="e">
        <f>+C10-C11</f>
        <v>#VALUE!</v>
      </c>
      <c r="D12" s="103" t="str">
        <f>IFERROR(+D10-D11,"N/A")</f>
        <v>N/A</v>
      </c>
      <c r="E12" s="103" t="str">
        <f>IFERROR(+E10-E11,"N/A")</f>
        <v>N/A</v>
      </c>
      <c r="F12" s="103" t="e">
        <f>+F10-F11</f>
        <v>#VALUE!</v>
      </c>
      <c r="G12" s="64"/>
      <c r="H12" s="99" t="e">
        <f>+H10-H11</f>
        <v>#DIV/0!</v>
      </c>
      <c r="I12" s="121" t="e">
        <f>+I10-I11</f>
        <v>#DIV/0!</v>
      </c>
      <c r="J12" s="64"/>
      <c r="K12" s="99" t="e">
        <f>+K10-K11</f>
        <v>#DIV/0!</v>
      </c>
      <c r="L12" s="121" t="e">
        <f>+L10-L11</f>
        <v>#DIV/0!</v>
      </c>
      <c r="M12" s="64"/>
    </row>
    <row r="13" spans="1:19" x14ac:dyDescent="0.15">
      <c r="B13" s="64"/>
      <c r="C13" s="64"/>
      <c r="D13" s="64"/>
      <c r="E13" s="64"/>
      <c r="F13" s="64"/>
      <c r="G13" s="64"/>
      <c r="H13" s="64"/>
      <c r="I13" s="64"/>
      <c r="J13" s="64"/>
      <c r="K13" s="64"/>
      <c r="L13" s="64"/>
      <c r="M13" s="64"/>
    </row>
    <row r="14" spans="1:19" ht="50.25" customHeight="1" x14ac:dyDescent="0.15">
      <c r="B14" s="69"/>
      <c r="C14" s="70" t="s">
        <v>948</v>
      </c>
      <c r="D14" s="70" t="s">
        <v>949</v>
      </c>
      <c r="E14" s="70" t="s">
        <v>950</v>
      </c>
      <c r="F14" s="70" t="s">
        <v>951</v>
      </c>
      <c r="G14" s="70" t="s">
        <v>952</v>
      </c>
      <c r="H14" s="70" t="s">
        <v>953</v>
      </c>
      <c r="I14" s="70" t="s">
        <v>954</v>
      </c>
      <c r="J14" s="71" t="s">
        <v>955</v>
      </c>
      <c r="K14" s="70" t="s">
        <v>956</v>
      </c>
      <c r="L14" s="70" t="s">
        <v>957</v>
      </c>
      <c r="M14" s="70" t="s">
        <v>958</v>
      </c>
    </row>
    <row r="15" spans="1:19" ht="20.25" customHeight="1" x14ac:dyDescent="0.15">
      <c r="B15" s="72" t="str">
        <f>B6</f>
        <v>Boston - N53</v>
      </c>
      <c r="C15" s="213">
        <f>COUNTIFS('capacity data'!C:C,'team overview'!B6,'capacity data'!E:E,"PO")</f>
        <v>0</v>
      </c>
      <c r="D15" s="213">
        <f>COUNTIFS('capacity data'!C:C,B6,'capacity data'!E:E,"PO",'capacity data'!F:F,"&gt;110%")</f>
        <v>0</v>
      </c>
      <c r="E15" s="73" t="e">
        <f>D15/C15</f>
        <v>#DIV/0!</v>
      </c>
      <c r="F15" s="213">
        <f>COUNTIFS('capacity data'!C:C,'team overview'!B6,'capacity data'!E:E,"PSO")</f>
        <v>0</v>
      </c>
      <c r="G15" s="213">
        <f>COUNTIFS('capacity data'!C:C,B6,'capacity data'!E:E,"PSO",'capacity data'!F:F,"&gt;110%")</f>
        <v>0</v>
      </c>
      <c r="H15" s="74" t="str">
        <f>IFERROR(G15/F15,"N/A")</f>
        <v>N/A</v>
      </c>
      <c r="I15" s="213">
        <f>COUNTIFS('capacity data'!C:C,B6,'capacity data'!E:E,"PSO",'capacity data'!F:F,"&lt;910%")</f>
        <v>0</v>
      </c>
      <c r="J15" s="74" t="str">
        <f>IFERROR(I15/F15,"")</f>
        <v/>
      </c>
      <c r="K15" s="213">
        <f>COUNTIFS('capacity data'!C:C,'team overview'!B6,'capacity data'!E:E,"TPO")</f>
        <v>0</v>
      </c>
      <c r="L15" s="213">
        <f>COUNTIFS('capacity data'!C:C,B6,'capacity data'!E:E,"TPO",'capacity data'!F:F,"&gt;110%")</f>
        <v>0</v>
      </c>
      <c r="M15" s="67" t="str">
        <f>IFERROR(L15/K15,"N/A")</f>
        <v>N/A</v>
      </c>
    </row>
    <row r="16" spans="1:19" x14ac:dyDescent="0.15">
      <c r="B16" s="106" t="s">
        <v>1049</v>
      </c>
      <c r="C16" s="80">
        <f>COUNTIF('capacity data'!E:E,"PO")</f>
        <v>0</v>
      </c>
      <c r="D16" s="80">
        <f>COUNTIFS('capacity data'!E:E,"PO",'capacity data'!F:F,"&gt;110%")</f>
        <v>0</v>
      </c>
      <c r="E16" s="107" t="e">
        <f>D16/C16</f>
        <v>#DIV/0!</v>
      </c>
      <c r="F16" s="80">
        <f>COUNTIF('capacity data'!E:E,"PSO")</f>
        <v>0</v>
      </c>
      <c r="G16" s="80">
        <f>COUNTIFS('capacity data'!E:E,"PSO",'capacity data'!F:F,"&gt;110%")</f>
        <v>0</v>
      </c>
      <c r="H16" s="107" t="e">
        <f>G16/F16</f>
        <v>#DIV/0!</v>
      </c>
      <c r="I16" s="80">
        <f>COUNTIFS('capacity data'!E:E,"PSO",'capacity data'!F:F,"&lt;90%")</f>
        <v>0</v>
      </c>
      <c r="J16" s="107" t="e">
        <f>I16/F16</f>
        <v>#DIV/0!</v>
      </c>
      <c r="K16" s="80">
        <f>COUNTIF('capacity data'!E:E,"TPO")</f>
        <v>0</v>
      </c>
      <c r="L16" s="80">
        <f>COUNTIFS('capacity data'!E:E,"TPO",'capacity data'!F:F,"&gt;110%")</f>
        <v>0</v>
      </c>
      <c r="M16" s="107" t="e">
        <f>L16/K16</f>
        <v>#DIV/0!</v>
      </c>
    </row>
    <row r="17" spans="2:13" x14ac:dyDescent="0.15">
      <c r="B17" s="105" t="s">
        <v>1036</v>
      </c>
      <c r="C17" s="100" t="s">
        <v>960</v>
      </c>
      <c r="D17" s="100" t="s">
        <v>960</v>
      </c>
      <c r="E17" s="101" t="e">
        <f>+E15-E16</f>
        <v>#DIV/0!</v>
      </c>
      <c r="F17" s="100" t="s">
        <v>960</v>
      </c>
      <c r="G17" s="100" t="s">
        <v>960</v>
      </c>
      <c r="H17" s="101" t="str">
        <f>IFERROR(+H15-H16,"N/A")</f>
        <v>N/A</v>
      </c>
      <c r="I17" s="100" t="s">
        <v>960</v>
      </c>
      <c r="J17" s="101" t="str">
        <f>IFERROR(+J15-J16,"N/A")</f>
        <v>N/A</v>
      </c>
      <c r="K17" s="100" t="s">
        <v>960</v>
      </c>
      <c r="L17" s="100" t="s">
        <v>960</v>
      </c>
      <c r="M17" s="101" t="str">
        <f>IFERROR(+M15-M16,"N/A")</f>
        <v>N/A</v>
      </c>
    </row>
    <row r="19" spans="2:13" ht="23" x14ac:dyDescent="0.15">
      <c r="B19" s="446" t="s">
        <v>961</v>
      </c>
      <c r="C19" s="447"/>
      <c r="D19" s="447"/>
      <c r="E19" s="447"/>
      <c r="F19" s="447"/>
      <c r="G19" s="447"/>
      <c r="H19" s="447"/>
    </row>
    <row r="20" spans="2:13" ht="49.5" customHeight="1" x14ac:dyDescent="0.15">
      <c r="B20" s="76"/>
      <c r="C20" s="63" t="s">
        <v>1044</v>
      </c>
      <c r="D20" s="63" t="s">
        <v>1045</v>
      </c>
      <c r="E20" s="63" t="s">
        <v>1046</v>
      </c>
      <c r="F20" s="63" t="s">
        <v>965</v>
      </c>
      <c r="G20" s="219" t="s">
        <v>1065</v>
      </c>
      <c r="H20" s="219" t="s">
        <v>1048</v>
      </c>
    </row>
    <row r="21" spans="2:13" x14ac:dyDescent="0.15">
      <c r="B21" s="62" t="str">
        <f>B6</f>
        <v>Boston - N53</v>
      </c>
      <c r="C21" s="75">
        <f>SUMIFS('capacity data'!K:K,'capacity data'!C:C,'team overview'!B6,'capacity data'!E:E,"SPO")</f>
        <v>0</v>
      </c>
      <c r="D21" s="75">
        <f>SUMIFS('capacity data'!K:K,'capacity data'!C:C,'team overview'!B6,'capacity data'!E:E,"DMY")</f>
        <v>0</v>
      </c>
      <c r="E21" s="75">
        <f>SUM(C21:D21)</f>
        <v>0</v>
      </c>
      <c r="F21" s="77">
        <f>SUMIF('capacity data'!C:C,'team overview'!B6,'capacity data'!K:K)</f>
        <v>0</v>
      </c>
      <c r="G21" s="66" t="e">
        <f>E21/F21</f>
        <v>#DIV/0!</v>
      </c>
      <c r="H21" s="78">
        <f>SUMIF('caseload data'!C:C,'team overview'!#REF!,'caseload data'!U:U)</f>
        <v>0</v>
      </c>
    </row>
    <row r="22" spans="2:13" x14ac:dyDescent="0.15">
      <c r="B22" s="79" t="s">
        <v>1049</v>
      </c>
      <c r="C22" s="80">
        <f>SUMIF('capacity data'!E:E,"SPO",'capacity data'!K:K)</f>
        <v>0</v>
      </c>
      <c r="D22" s="80">
        <f>SUMIF('capacity data'!E:E,"DMY",'capacity data'!K:K)</f>
        <v>0</v>
      </c>
      <c r="E22" s="80">
        <f>SUM(C22:D22)</f>
        <v>0</v>
      </c>
      <c r="F22" s="81">
        <f>SUM('capacity data'!K:K)</f>
        <v>0</v>
      </c>
      <c r="G22" s="82" t="e">
        <f>E22/F22</f>
        <v>#DIV/0!</v>
      </c>
      <c r="H22" s="80">
        <f>SUM('caseload data'!U:U)</f>
        <v>0</v>
      </c>
    </row>
    <row r="23" spans="2:13" x14ac:dyDescent="0.15">
      <c r="B23" s="116" t="s">
        <v>1036</v>
      </c>
      <c r="C23" s="100" t="s">
        <v>960</v>
      </c>
      <c r="D23" s="100" t="s">
        <v>960</v>
      </c>
      <c r="E23" s="100" t="s">
        <v>960</v>
      </c>
      <c r="F23" s="104" t="s">
        <v>960</v>
      </c>
      <c r="G23" s="104" t="e">
        <f>+G21-G22</f>
        <v>#DIV/0!</v>
      </c>
      <c r="H23" s="100" t="s">
        <v>960</v>
      </c>
    </row>
    <row r="26" spans="2:13" ht="23" x14ac:dyDescent="0.15">
      <c r="B26" s="446" t="s">
        <v>968</v>
      </c>
      <c r="C26" s="447"/>
      <c r="D26" s="447"/>
      <c r="E26" s="447"/>
      <c r="F26" s="447"/>
      <c r="G26" s="447"/>
      <c r="H26" s="447"/>
      <c r="I26" s="447"/>
      <c r="J26" s="447"/>
      <c r="K26" s="447"/>
    </row>
    <row r="27" spans="2:13" ht="48.75" customHeight="1" x14ac:dyDescent="0.15">
      <c r="B27" s="84"/>
      <c r="C27" s="219" t="s">
        <v>969</v>
      </c>
      <c r="D27" s="219" t="s">
        <v>970</v>
      </c>
      <c r="E27" s="219" t="s">
        <v>971</v>
      </c>
      <c r="F27" s="219" t="s">
        <v>972</v>
      </c>
      <c r="G27" s="219" t="s">
        <v>973</v>
      </c>
      <c r="H27" s="219" t="s">
        <v>974</v>
      </c>
      <c r="I27" s="219" t="s">
        <v>975</v>
      </c>
      <c r="J27" s="219" t="s">
        <v>976</v>
      </c>
      <c r="K27" s="219" t="s">
        <v>977</v>
      </c>
    </row>
    <row r="28" spans="2:13" x14ac:dyDescent="0.15">
      <c r="B28" s="62" t="str">
        <f>B6</f>
        <v>Boston - N53</v>
      </c>
      <c r="C28" s="85">
        <f>SUMIFS('capacity data'!I:I,'capacity data'!C:C,'team overview'!B6,'capacity data'!E:E,"PO")</f>
        <v>0</v>
      </c>
      <c r="D28" s="86">
        <f>SUMIFS('capacity data'!J:J,'capacity data'!C:C,'team overview'!B6,'capacity data'!E:E,"PO")</f>
        <v>0</v>
      </c>
      <c r="E28" s="87" t="e">
        <f>D28/C28</f>
        <v>#DIV/0!</v>
      </c>
      <c r="F28" s="86">
        <f>SUMIFS('capacity data'!I:I,'capacity data'!C:C,'team overview'!B6,'capacity data'!E:E,"PSO")</f>
        <v>0</v>
      </c>
      <c r="G28" s="86">
        <f>SUMIFS('capacity data'!J:J,'capacity data'!C:C,'team overview'!B6,'capacity data'!E:E,"PSO")</f>
        <v>0</v>
      </c>
      <c r="H28" s="87" t="str">
        <f>IFERROR(G28/F28,"N/A")</f>
        <v>N/A</v>
      </c>
      <c r="I28" s="86">
        <f>SUMIFS('capacity data'!I:I,'capacity data'!C:C,'team overview'!B6,'capacity data'!E:E,"TPO")</f>
        <v>0</v>
      </c>
      <c r="J28" s="88">
        <f>SUMIFS('capacity data'!J:J,'capacity data'!C:C,'team overview'!B6,'capacity data'!E:E,"TPO")</f>
        <v>0</v>
      </c>
      <c r="K28" s="87" t="str">
        <f>IFERROR(J28/I28,"N/A")</f>
        <v>N/A</v>
      </c>
    </row>
    <row r="29" spans="2:13" x14ac:dyDescent="0.15">
      <c r="B29" s="106" t="s">
        <v>959</v>
      </c>
      <c r="C29" s="108">
        <f>SUMIF('capacity data'!E:E,"PO",'capacity data'!I:I)</f>
        <v>0</v>
      </c>
      <c r="D29" s="108">
        <f>SUMIF('capacity data'!E:E,"PO",'capacity data'!J:J)</f>
        <v>0</v>
      </c>
      <c r="E29" s="109" t="e">
        <f>D29/C29</f>
        <v>#DIV/0!</v>
      </c>
      <c r="F29" s="108">
        <f>SUMIF('capacity data'!E:E,"PSO",'capacity data'!I:I)</f>
        <v>0</v>
      </c>
      <c r="G29" s="108">
        <f>SUMIF('capacity data'!E:E,"PSO",'capacity data'!J:J)</f>
        <v>0</v>
      </c>
      <c r="H29" s="109" t="e">
        <f>G29/F29</f>
        <v>#DIV/0!</v>
      </c>
      <c r="I29" s="108">
        <f>SUMIF('capacity data'!E:E,"TPO",'capacity data'!I:I)</f>
        <v>0</v>
      </c>
      <c r="J29" s="108">
        <f>SUMIF('capacity data'!E:E,"TPO",'capacity data'!J:J)</f>
        <v>0</v>
      </c>
      <c r="K29" s="109" t="e">
        <f>J29/I29</f>
        <v>#DIV/0!</v>
      </c>
    </row>
    <row r="30" spans="2:13" x14ac:dyDescent="0.15">
      <c r="B30" s="105" t="s">
        <v>1036</v>
      </c>
      <c r="C30" s="100" t="s">
        <v>960</v>
      </c>
      <c r="D30" s="100" t="s">
        <v>960</v>
      </c>
      <c r="E30" s="99" t="e">
        <f>+E28-E29</f>
        <v>#DIV/0!</v>
      </c>
      <c r="F30" s="100" t="s">
        <v>960</v>
      </c>
      <c r="G30" s="100" t="s">
        <v>960</v>
      </c>
      <c r="H30" s="99" t="str">
        <f>IFERROR(+H28-H29,"N/A")</f>
        <v>N/A</v>
      </c>
      <c r="I30" s="100" t="s">
        <v>960</v>
      </c>
      <c r="J30" s="100" t="s">
        <v>960</v>
      </c>
      <c r="K30" s="99" t="str">
        <f>IFERROR(+K28-K29,"N/A")</f>
        <v>N/A</v>
      </c>
    </row>
    <row r="32" spans="2:13" ht="37.5" customHeight="1" x14ac:dyDescent="0.15">
      <c r="B32" s="468" t="s">
        <v>1066</v>
      </c>
      <c r="C32" s="469"/>
      <c r="D32" s="469"/>
      <c r="F32" s="470" t="s">
        <v>1067</v>
      </c>
      <c r="G32" s="470"/>
    </row>
    <row r="33" spans="1:7" ht="60.75" customHeight="1" x14ac:dyDescent="0.15">
      <c r="B33" s="76" t="s">
        <v>981</v>
      </c>
      <c r="C33" s="219" t="s">
        <v>1053</v>
      </c>
      <c r="D33" s="219" t="s">
        <v>983</v>
      </c>
      <c r="E33" s="64"/>
      <c r="F33" s="215" t="s">
        <v>1068</v>
      </c>
      <c r="G33" s="214">
        <f>COUNTIFS('reductions data'!C:C,'team overview'!B6,'reductions data'!K:K,"ACTIVE")</f>
        <v>0</v>
      </c>
    </row>
    <row r="34" spans="1:7" x14ac:dyDescent="0.15">
      <c r="B34" s="112" t="s">
        <v>892</v>
      </c>
      <c r="C34" s="89">
        <f>COUNTIFS('reductions data'!C:C,'team overview'!$B$6,'reductions data'!G:G,'team overview'!B34)</f>
        <v>0</v>
      </c>
      <c r="D34" s="90">
        <f>SUMIFS('reductions data'!H:H,'reductions data'!$C:$C,'team overview'!$B$6,'reductions data'!G:G,'team overview'!B34)</f>
        <v>0</v>
      </c>
      <c r="E34" s="64"/>
      <c r="F34" s="457" t="s">
        <v>1069</v>
      </c>
      <c r="G34" s="458">
        <f>SUMIF('reductions data'!C:C,'team overview'!B6,'reductions data'!H:H)</f>
        <v>0</v>
      </c>
    </row>
    <row r="35" spans="1:7" x14ac:dyDescent="0.15">
      <c r="B35" s="113" t="s">
        <v>894</v>
      </c>
      <c r="C35" s="89">
        <f>COUNTIFS('reductions data'!C:C,'team overview'!$B$6,'reductions data'!G:G,'team overview'!B35)</f>
        <v>0</v>
      </c>
      <c r="D35" s="90">
        <f>SUMIFS('reductions data'!H:H,'reductions data'!$C:$C,'team overview'!$B$6,'reductions data'!G:G,'team overview'!B35)</f>
        <v>0</v>
      </c>
      <c r="E35" s="64"/>
      <c r="F35" s="420"/>
      <c r="G35" s="420"/>
    </row>
    <row r="36" spans="1:7" x14ac:dyDescent="0.15">
      <c r="B36" s="113" t="s">
        <v>893</v>
      </c>
      <c r="C36" s="89">
        <f>COUNTIFS('reductions data'!C:C,'team overview'!$B$6,'reductions data'!G:G,'team overview'!B36)</f>
        <v>0</v>
      </c>
      <c r="D36" s="90">
        <f>SUMIFS('reductions data'!H:H,'reductions data'!$C:$C,'team overview'!$B$6,'reductions data'!G:G,'team overview'!B36)</f>
        <v>0</v>
      </c>
      <c r="E36" s="91"/>
      <c r="F36" s="420"/>
      <c r="G36" s="420"/>
    </row>
    <row r="37" spans="1:7" x14ac:dyDescent="0.15">
      <c r="B37" s="113" t="s">
        <v>895</v>
      </c>
      <c r="C37" s="89">
        <f>COUNTIFS('reductions data'!C:C,'team overview'!$B$6,'reductions data'!G:G,'team overview'!B37)</f>
        <v>0</v>
      </c>
      <c r="D37" s="90">
        <f>SUMIFS('reductions data'!H:H,'reductions data'!$C:$C,'team overview'!$B$6,'reductions data'!G:G,'team overview'!B37)</f>
        <v>0</v>
      </c>
      <c r="E37" s="91"/>
      <c r="F37" s="463" t="s">
        <v>1070</v>
      </c>
      <c r="G37" s="458">
        <f>SUMIF('capacity data'!C:C,'team overview'!B6,'capacity data'!I:I)</f>
        <v>0</v>
      </c>
    </row>
    <row r="38" spans="1:7" x14ac:dyDescent="0.15">
      <c r="B38" s="113" t="s">
        <v>896</v>
      </c>
      <c r="C38" s="89">
        <f>COUNTIFS('reductions data'!C:C,'team overview'!$B$6,'reductions data'!G:G,'team overview'!B38)</f>
        <v>0</v>
      </c>
      <c r="D38" s="90">
        <f>SUMIFS('reductions data'!H:H,'reductions data'!$C:$C,'team overview'!$B$6,'reductions data'!G:G,'team overview'!B38)</f>
        <v>0</v>
      </c>
      <c r="E38" s="91"/>
      <c r="F38" s="420"/>
      <c r="G38" s="420"/>
    </row>
    <row r="39" spans="1:7" x14ac:dyDescent="0.15">
      <c r="B39" s="113" t="s">
        <v>897</v>
      </c>
      <c r="C39" s="89">
        <f>COUNTIFS('reductions data'!C:C,'team overview'!$B$6,'reductions data'!G:G,'team overview'!B39)</f>
        <v>0</v>
      </c>
      <c r="D39" s="90">
        <f>SUMIFS('reductions data'!H:H,'reductions data'!$C:$C,'team overview'!$B$6,'reductions data'!G:G,'team overview'!B39)</f>
        <v>0</v>
      </c>
      <c r="E39" s="91"/>
      <c r="F39" s="420"/>
      <c r="G39" s="420"/>
    </row>
    <row r="40" spans="1:7" x14ac:dyDescent="0.15">
      <c r="B40" s="113" t="s">
        <v>898</v>
      </c>
      <c r="C40" s="89">
        <f>COUNTIFS('reductions data'!C:C,'team overview'!$B$6,'reductions data'!G:G,'team overview'!B40)</f>
        <v>0</v>
      </c>
      <c r="D40" s="90">
        <f>SUMIFS('reductions data'!H:H,'reductions data'!$C:$C,'team overview'!$B$6,'reductions data'!G:G,'team overview'!B40)</f>
        <v>0</v>
      </c>
      <c r="E40" s="91"/>
      <c r="F40" s="224"/>
      <c r="G40" s="224"/>
    </row>
    <row r="41" spans="1:7" ht="15.75" customHeight="1" x14ac:dyDescent="0.15">
      <c r="A41" s="91"/>
      <c r="B41" s="113" t="s">
        <v>899</v>
      </c>
      <c r="C41" s="89">
        <f>COUNTIFS('reductions data'!C:C,'team overview'!$B$6,'reductions data'!G:G,'team overview'!B41)</f>
        <v>0</v>
      </c>
      <c r="D41" s="90">
        <f>SUMIFS('reductions data'!H:H,'reductions data'!$C:$C,'team overview'!$B$6,'reductions data'!G:G,'team overview'!B41)</f>
        <v>0</v>
      </c>
      <c r="E41" s="91"/>
      <c r="F41" s="464" t="s">
        <v>1071</v>
      </c>
      <c r="G41" s="466" t="e">
        <f>G34/G37</f>
        <v>#DIV/0!</v>
      </c>
    </row>
    <row r="42" spans="1:7" ht="15.75" customHeight="1" x14ac:dyDescent="0.15">
      <c r="A42" s="91"/>
      <c r="B42" s="113" t="s">
        <v>1257</v>
      </c>
      <c r="C42" s="89">
        <f>COUNTIFS('reductions data'!C:C,'team overview'!$B$6,'reductions data'!G:G,'team overview'!B42)</f>
        <v>0</v>
      </c>
      <c r="D42" s="90">
        <f>SUMIFS('reductions data'!H:H,'reductions data'!$C:$C,'team overview'!$B$6,'reductions data'!G:G,'team overview'!B42)</f>
        <v>0</v>
      </c>
      <c r="E42" s="91"/>
      <c r="F42" s="465"/>
      <c r="G42" s="467"/>
    </row>
    <row r="43" spans="1:7" x14ac:dyDescent="0.15">
      <c r="B43" s="113" t="s">
        <v>900</v>
      </c>
      <c r="C43" s="89">
        <f>COUNTIFS('reductions data'!C:C,'team overview'!$B$6,'reductions data'!G:G,'team overview'!B43)</f>
        <v>0</v>
      </c>
      <c r="D43" s="90">
        <f>SUMIFS('reductions data'!H:H,'reductions data'!$C:$C,'team overview'!$B$6,'reductions data'!G:G,'team overview'!B43)</f>
        <v>0</v>
      </c>
      <c r="E43" s="91"/>
      <c r="F43" s="452"/>
      <c r="G43" s="455"/>
    </row>
    <row r="44" spans="1:7" x14ac:dyDescent="0.15">
      <c r="B44" s="113" t="s">
        <v>901</v>
      </c>
      <c r="C44" s="89">
        <f>COUNTIFS('reductions data'!C:C,'team overview'!$B$6,'reductions data'!G:G,'team overview'!B44)</f>
        <v>0</v>
      </c>
      <c r="D44" s="90">
        <f>SUMIFS('reductions data'!H:H,'reductions data'!$C:$C,'team overview'!$B$6,'reductions data'!G:G,'team overview'!B44)</f>
        <v>0</v>
      </c>
      <c r="E44" s="91"/>
      <c r="F44" s="452"/>
      <c r="G44" s="455"/>
    </row>
    <row r="45" spans="1:7" x14ac:dyDescent="0.15">
      <c r="B45" s="113" t="s">
        <v>902</v>
      </c>
      <c r="C45" s="89">
        <f>COUNTIFS('reductions data'!C:C,'team overview'!$B$6,'reductions data'!G:G,'team overview'!B45)</f>
        <v>0</v>
      </c>
      <c r="D45" s="90">
        <f>SUMIFS('reductions data'!H:H,'reductions data'!$C:$C,'team overview'!$B$6,'reductions data'!G:G,'team overview'!B45)</f>
        <v>0</v>
      </c>
      <c r="E45" s="91"/>
      <c r="F45" s="452"/>
      <c r="G45" s="455"/>
    </row>
    <row r="46" spans="1:7" x14ac:dyDescent="0.15">
      <c r="B46" s="113" t="s">
        <v>903</v>
      </c>
      <c r="C46" s="89">
        <f>COUNTIFS('reductions data'!C:C,'team overview'!$B$6,'reductions data'!G:G,'team overview'!B46)</f>
        <v>0</v>
      </c>
      <c r="D46" s="90">
        <f>SUMIFS('reductions data'!H:H,'reductions data'!$C:$C,'team overview'!$B$6,'reductions data'!G:G,'team overview'!B46)</f>
        <v>0</v>
      </c>
      <c r="E46" s="91"/>
      <c r="F46" s="453"/>
      <c r="G46" s="456"/>
    </row>
    <row r="47" spans="1:7" ht="15.75" customHeight="1" x14ac:dyDescent="0.15">
      <c r="B47" s="113" t="s">
        <v>905</v>
      </c>
      <c r="C47" s="89">
        <f>COUNTIFS('reductions data'!C:C,'team overview'!$B$6,'reductions data'!G:G,'team overview'!B47)</f>
        <v>0</v>
      </c>
      <c r="D47" s="90">
        <f>SUMIFS('reductions data'!H:H,'reductions data'!$C:$C,'team overview'!$B$6,'reductions data'!G:G,'team overview'!B47)</f>
        <v>0</v>
      </c>
      <c r="E47" s="91"/>
      <c r="F47" s="451" t="s">
        <v>1059</v>
      </c>
      <c r="G47" s="454" t="e">
        <f>+G41-'div &amp; regional reduction hours'!N18</f>
        <v>#DIV/0!</v>
      </c>
    </row>
    <row r="48" spans="1:7" x14ac:dyDescent="0.15">
      <c r="B48" s="113" t="s">
        <v>908</v>
      </c>
      <c r="C48" s="89">
        <f>COUNTIFS('reductions data'!C:C,'team overview'!$B$6,'reductions data'!G:G,'team overview'!B48)</f>
        <v>0</v>
      </c>
      <c r="D48" s="90">
        <f>SUMIFS('reductions data'!H:H,'reductions data'!$C:$C,'team overview'!$B$6,'reductions data'!G:G,'team overview'!B48)</f>
        <v>0</v>
      </c>
      <c r="E48" s="91"/>
      <c r="F48" s="452"/>
      <c r="G48" s="455"/>
    </row>
    <row r="49" spans="2:7" x14ac:dyDescent="0.15">
      <c r="B49" s="113" t="s">
        <v>904</v>
      </c>
      <c r="C49" s="89">
        <f>COUNTIFS('reductions data'!C:C,'team overview'!$B$6,'reductions data'!G:G,'team overview'!B49)</f>
        <v>0</v>
      </c>
      <c r="D49" s="90">
        <f>SUMIFS('reductions data'!H:H,'reductions data'!$C:$C,'team overview'!$B$6,'reductions data'!G:G,'team overview'!B49)</f>
        <v>0</v>
      </c>
      <c r="E49" s="91"/>
      <c r="F49" s="452"/>
      <c r="G49" s="455"/>
    </row>
    <row r="50" spans="2:7" x14ac:dyDescent="0.15">
      <c r="B50" s="113" t="s">
        <v>989</v>
      </c>
      <c r="C50" s="89">
        <f>COUNTIFS('reductions data'!C:C,'team overview'!$B$6,'reductions data'!G:G,'team overview'!B50)</f>
        <v>0</v>
      </c>
      <c r="D50" s="90">
        <f>SUMIFS('reductions data'!H:H,'reductions data'!$C:$C,'team overview'!$B$6,'reductions data'!G:G,'team overview'!B50)</f>
        <v>0</v>
      </c>
      <c r="E50" s="91"/>
      <c r="F50" s="452"/>
      <c r="G50" s="455"/>
    </row>
    <row r="51" spans="2:7" x14ac:dyDescent="0.15">
      <c r="B51" s="113" t="s">
        <v>909</v>
      </c>
      <c r="C51" s="89">
        <f>COUNTIFS('reductions data'!C:C,'team overview'!$B$6,'reductions data'!G:G,'team overview'!B51)</f>
        <v>0</v>
      </c>
      <c r="D51" s="90">
        <f>SUMIFS('reductions data'!H:H,'reductions data'!$C:$C,'team overview'!$B$6,'reductions data'!G:G,'team overview'!B51)</f>
        <v>0</v>
      </c>
      <c r="E51" s="91"/>
      <c r="F51" s="453"/>
      <c r="G51" s="456"/>
    </row>
    <row r="52" spans="2:7" x14ac:dyDescent="0.15">
      <c r="B52" s="113" t="s">
        <v>910</v>
      </c>
      <c r="C52" s="89">
        <f>COUNTIFS('reductions data'!C:C,'team overview'!$B$6,'reductions data'!G:G,'team overview'!B52)</f>
        <v>0</v>
      </c>
      <c r="D52" s="90">
        <f>SUMIFS('reductions data'!H:H,'reductions data'!$C:$C,'team overview'!$B$6,'reductions data'!G:G,'team overview'!B52)</f>
        <v>0</v>
      </c>
      <c r="E52" s="91"/>
      <c r="F52" s="91"/>
      <c r="G52" s="64"/>
    </row>
    <row r="53" spans="2:7" x14ac:dyDescent="0.15">
      <c r="B53" s="113" t="s">
        <v>911</v>
      </c>
      <c r="C53" s="89">
        <f>COUNTIFS('reductions data'!C:C,'team overview'!$B$6,'reductions data'!G:G,'team overview'!B53)</f>
        <v>0</v>
      </c>
      <c r="D53" s="90">
        <f>SUMIFS('reductions data'!H:H,'reductions data'!$C:$C,'team overview'!$B$6,'reductions data'!G:G,'team overview'!B53)</f>
        <v>0</v>
      </c>
      <c r="E53" s="91"/>
      <c r="F53" s="91"/>
      <c r="G53" s="64"/>
    </row>
    <row r="54" spans="2:7" x14ac:dyDescent="0.15">
      <c r="B54" s="113" t="s">
        <v>912</v>
      </c>
      <c r="C54" s="89">
        <f>COUNTIFS('reductions data'!C:C,'team overview'!$B$6,'reductions data'!G:G,'team overview'!B54)</f>
        <v>0</v>
      </c>
      <c r="D54" s="90">
        <f>SUMIFS('reductions data'!H:H,'reductions data'!$C:$C,'team overview'!$B$6,'reductions data'!G:G,'team overview'!B54)</f>
        <v>0</v>
      </c>
      <c r="E54" s="91"/>
      <c r="F54" s="91"/>
      <c r="G54" s="64"/>
    </row>
    <row r="55" spans="2:7" x14ac:dyDescent="0.15">
      <c r="B55" s="113" t="s">
        <v>913</v>
      </c>
      <c r="C55" s="89">
        <f>COUNTIFS('reductions data'!C:C,'team overview'!$B$6,'reductions data'!G:G,'team overview'!B55)</f>
        <v>0</v>
      </c>
      <c r="D55" s="90">
        <f>SUMIFS('reductions data'!H:H,'reductions data'!$C:$C,'team overview'!$B$6,'reductions data'!G:G,'team overview'!B55)</f>
        <v>0</v>
      </c>
      <c r="E55" s="91"/>
      <c r="F55" s="91"/>
      <c r="G55" s="64"/>
    </row>
    <row r="56" spans="2:7" x14ac:dyDescent="0.15">
      <c r="B56" s="113" t="s">
        <v>914</v>
      </c>
      <c r="C56" s="89">
        <f>COUNTIFS('reductions data'!C:C,'team overview'!$B$6,'reductions data'!G:G,'team overview'!B56)</f>
        <v>0</v>
      </c>
      <c r="D56" s="90">
        <f>SUMIFS('reductions data'!H:H,'reductions data'!$C:$C,'team overview'!$B$6,'reductions data'!G:G,'team overview'!B56)</f>
        <v>0</v>
      </c>
      <c r="E56" s="91"/>
      <c r="F56" s="91"/>
      <c r="G56" s="64"/>
    </row>
    <row r="57" spans="2:7" x14ac:dyDescent="0.15">
      <c r="B57" s="113" t="s">
        <v>915</v>
      </c>
      <c r="C57" s="89">
        <f>COUNTIFS('reductions data'!C:C,'team overview'!$B$6,'reductions data'!G:G,'team overview'!B57)</f>
        <v>0</v>
      </c>
      <c r="D57" s="90">
        <f>SUMIFS('reductions data'!H:H,'reductions data'!$C:$C,'team overview'!$B$6,'reductions data'!G:G,'team overview'!B57)</f>
        <v>0</v>
      </c>
      <c r="E57" s="91"/>
      <c r="F57" s="91"/>
      <c r="G57" s="64"/>
    </row>
    <row r="58" spans="2:7" x14ac:dyDescent="0.15">
      <c r="B58" s="113" t="s">
        <v>1250</v>
      </c>
      <c r="C58" s="89">
        <f>COUNTIFS('reductions data'!C:C,'team overview'!$B$6,'reductions data'!G:G,'team overview'!B58)</f>
        <v>0</v>
      </c>
      <c r="D58" s="90">
        <f>SUMIFS('reductions data'!H:H,'reductions data'!$C:$C,'team overview'!$B$6,'reductions data'!G:G,'team overview'!B58)</f>
        <v>0</v>
      </c>
      <c r="E58" s="91"/>
      <c r="F58" s="91"/>
      <c r="G58" s="64"/>
    </row>
    <row r="59" spans="2:7" x14ac:dyDescent="0.15">
      <c r="B59" s="113" t="s">
        <v>1251</v>
      </c>
      <c r="C59" s="89">
        <f>COUNTIFS('reductions data'!C:C,'team overview'!$B$6,'reductions data'!G:G,'team overview'!B59)</f>
        <v>0</v>
      </c>
      <c r="D59" s="90">
        <f>SUMIFS('reductions data'!H:H,'reductions data'!$C:$C,'team overview'!$B$6,'reductions data'!G:G,'team overview'!B59)</f>
        <v>0</v>
      </c>
      <c r="E59" s="91"/>
      <c r="F59" s="91"/>
      <c r="G59" s="64"/>
    </row>
    <row r="60" spans="2:7" x14ac:dyDescent="0.15">
      <c r="B60" s="322" t="s">
        <v>1248</v>
      </c>
      <c r="C60" s="89">
        <f>COUNTIFS('reductions data'!C:C,'team overview'!$B$6,'reductions data'!G:G,'team overview'!B60)</f>
        <v>0</v>
      </c>
      <c r="D60" s="90">
        <f>SUMIFS('reductions data'!H:H,'reductions data'!$C:$C,'team overview'!$B$6,'reductions data'!G:G,'team overview'!B60)</f>
        <v>0</v>
      </c>
      <c r="E60" s="91"/>
      <c r="F60" s="91"/>
      <c r="G60" s="64"/>
    </row>
    <row r="61" spans="2:7" x14ac:dyDescent="0.15">
      <c r="B61" s="322" t="s">
        <v>1249</v>
      </c>
      <c r="C61" s="89">
        <f>COUNTIFS('reductions data'!C:C,'team overview'!$B$6,'reductions data'!G:G,'team overview'!B61)</f>
        <v>0</v>
      </c>
      <c r="D61" s="90">
        <f>SUMIFS('reductions data'!H:H,'reductions data'!$C:$C,'team overview'!$B$6,'reductions data'!G:G,'team overview'!B61)</f>
        <v>0</v>
      </c>
      <c r="E61" s="91"/>
      <c r="F61" s="91"/>
      <c r="G61" s="64"/>
    </row>
    <row r="62" spans="2:7" x14ac:dyDescent="0.15">
      <c r="B62" s="322" t="s">
        <v>1258</v>
      </c>
      <c r="C62" s="89">
        <f>COUNTIFS('reductions data'!C:C,'team overview'!$B$6,'reductions data'!G:G,'team overview'!B62)</f>
        <v>0</v>
      </c>
      <c r="D62" s="90">
        <f>SUMIFS('reductions data'!H:H,'reductions data'!$C:$C,'team overview'!$B$6,'reductions data'!G:G,'team overview'!B62)</f>
        <v>0</v>
      </c>
      <c r="E62" s="91"/>
      <c r="F62" s="91"/>
      <c r="G62" s="64"/>
    </row>
    <row r="63" spans="2:7" x14ac:dyDescent="0.15">
      <c r="B63" s="112" t="s">
        <v>1252</v>
      </c>
      <c r="C63" s="89">
        <f>COUNTIFS('reductions data'!C:C,'team overview'!$B$6,'reductions data'!G:G,'team overview'!B63)</f>
        <v>0</v>
      </c>
      <c r="D63" s="90">
        <f>SUMIFS('reductions data'!H:H,'reductions data'!$C:$C,'team overview'!$B$6,'reductions data'!G:G,'team overview'!B63)</f>
        <v>0</v>
      </c>
      <c r="E63" s="91"/>
      <c r="F63" s="91"/>
      <c r="G63" s="64"/>
    </row>
    <row r="64" spans="2:7" x14ac:dyDescent="0.15">
      <c r="B64" s="113" t="s">
        <v>1253</v>
      </c>
      <c r="C64" s="89">
        <f>COUNTIFS('reductions data'!C:C,'team overview'!$B$6,'reductions data'!G:G,'team overview'!B64)</f>
        <v>0</v>
      </c>
      <c r="D64" s="90">
        <f>SUMIFS('reductions data'!H:H,'reductions data'!$C:$C,'team overview'!$B$6,'reductions data'!G:G,'team overview'!B64)</f>
        <v>0</v>
      </c>
      <c r="E64" s="91"/>
      <c r="F64" s="91"/>
      <c r="G64" s="64"/>
    </row>
    <row r="65" spans="2:19" x14ac:dyDescent="0.15">
      <c r="B65" s="113" t="s">
        <v>917</v>
      </c>
      <c r="C65" s="89">
        <f>COUNTIFS('reductions data'!C:C,'team overview'!$B$6,'reductions data'!G:G,'team overview'!B65)</f>
        <v>0</v>
      </c>
      <c r="D65" s="90">
        <f>SUMIFS('reductions data'!H:H,'reductions data'!$C:$C,'team overview'!$B$6,'reductions data'!G:G,'team overview'!B65)</f>
        <v>0</v>
      </c>
      <c r="E65" s="91"/>
      <c r="F65" s="91"/>
      <c r="G65" s="64"/>
    </row>
    <row r="66" spans="2:19" x14ac:dyDescent="0.15">
      <c r="B66" s="113" t="s">
        <v>918</v>
      </c>
      <c r="C66" s="89">
        <f>COUNTIFS('reductions data'!C:C,'team overview'!$B$6,'reductions data'!G:G,'team overview'!B66)</f>
        <v>0</v>
      </c>
      <c r="D66" s="90">
        <f>SUMIFS('reductions data'!H:H,'reductions data'!$C:$C,'team overview'!$B$6,'reductions data'!G:G,'team overview'!B66)</f>
        <v>0</v>
      </c>
      <c r="E66" s="91"/>
      <c r="F66" s="91"/>
      <c r="G66" s="64"/>
    </row>
    <row r="67" spans="2:19" x14ac:dyDescent="0.15">
      <c r="B67" s="113" t="s">
        <v>919</v>
      </c>
      <c r="C67" s="89">
        <f>COUNTIFS('reductions data'!C:C,'team overview'!$B$6,'reductions data'!G:G,'team overview'!B67)</f>
        <v>0</v>
      </c>
      <c r="D67" s="90">
        <f>SUMIFS('reductions data'!H:H,'reductions data'!$C:$C,'team overview'!$B$6,'reductions data'!G:G,'team overview'!B67)</f>
        <v>0</v>
      </c>
      <c r="E67" s="91"/>
      <c r="F67" s="91"/>
      <c r="G67" s="64"/>
    </row>
    <row r="68" spans="2:19" x14ac:dyDescent="0.15">
      <c r="B68" s="113" t="s">
        <v>920</v>
      </c>
      <c r="C68" s="89">
        <f>COUNTIFS('reductions data'!C:C,'team overview'!$B$6,'reductions data'!G:G,'team overview'!B68)</f>
        <v>0</v>
      </c>
      <c r="D68" s="90">
        <f>SUMIFS('reductions data'!H:H,'reductions data'!$C:$C,'team overview'!$B$6,'reductions data'!G:G,'team overview'!B68)</f>
        <v>0</v>
      </c>
      <c r="E68" s="91"/>
      <c r="F68" s="91"/>
      <c r="G68" s="64"/>
    </row>
    <row r="69" spans="2:19" x14ac:dyDescent="0.15">
      <c r="B69" s="113" t="s">
        <v>921</v>
      </c>
      <c r="C69" s="89">
        <f>COUNTIFS('reductions data'!C:C,'team overview'!$B$6,'reductions data'!G:G,'team overview'!B69)</f>
        <v>0</v>
      </c>
      <c r="D69" s="90">
        <f>SUMIFS('reductions data'!H:H,'reductions data'!$C:$C,'team overview'!$B$6,'reductions data'!G:G,'team overview'!B69)</f>
        <v>0</v>
      </c>
      <c r="E69" s="91"/>
      <c r="F69" s="91"/>
      <c r="G69" s="64"/>
    </row>
    <row r="70" spans="2:19" x14ac:dyDescent="0.15">
      <c r="B70" s="113" t="s">
        <v>922</v>
      </c>
      <c r="C70" s="89">
        <f>COUNTIFS('reductions data'!C:C,'team overview'!$B$6,'reductions data'!G:G,'team overview'!B70)</f>
        <v>0</v>
      </c>
      <c r="D70" s="90">
        <f>SUMIFS('reductions data'!H:H,'reductions data'!$C:$C,'team overview'!$B$6,'reductions data'!G:G,'team overview'!B70)</f>
        <v>0</v>
      </c>
      <c r="E70" s="91"/>
      <c r="F70" s="91"/>
      <c r="G70" s="64"/>
    </row>
    <row r="71" spans="2:19" x14ac:dyDescent="0.15">
      <c r="B71" s="113" t="s">
        <v>916</v>
      </c>
      <c r="C71" s="89">
        <f>COUNTIFS('reductions data'!C:C,'team overview'!$B$6,'reductions data'!G:G,'team overview'!B71)</f>
        <v>0</v>
      </c>
      <c r="D71" s="90">
        <f>SUMIFS('reductions data'!H:H,'reductions data'!$C:$C,'team overview'!$B$6,'reductions data'!G:G,'team overview'!B71)</f>
        <v>0</v>
      </c>
      <c r="E71" s="91"/>
      <c r="F71" s="91"/>
      <c r="G71" s="64"/>
    </row>
    <row r="72" spans="2:19" x14ac:dyDescent="0.15">
      <c r="B72" s="113" t="s">
        <v>923</v>
      </c>
      <c r="C72" s="89">
        <f>COUNTIFS('reductions data'!C:C,'team overview'!$B$6,'reductions data'!G:G,'team overview'!B72)</f>
        <v>0</v>
      </c>
      <c r="D72" s="90">
        <f>SUMIFS('reductions data'!H:H,'reductions data'!$C:$C,'team overview'!$B$6,'reductions data'!G:G,'team overview'!B72)</f>
        <v>0</v>
      </c>
      <c r="E72" s="91"/>
      <c r="F72" s="91"/>
      <c r="G72" s="64"/>
    </row>
    <row r="73" spans="2:19" x14ac:dyDescent="0.15">
      <c r="B73" s="322" t="s">
        <v>1254</v>
      </c>
      <c r="C73" s="327">
        <f>COUNTIFS('reductions data'!C:C,'team overview'!$B$6,'reductions data'!G:G,'team overview'!B73)</f>
        <v>0</v>
      </c>
      <c r="D73" s="90">
        <f>SUMIFS('reductions data'!H:H,'reductions data'!$C:$C,'team overview'!$B$6,'reductions data'!G:G,'team overview'!B73)</f>
        <v>0</v>
      </c>
      <c r="E73" s="91"/>
      <c r="F73" s="91"/>
      <c r="G73" s="64"/>
    </row>
    <row r="74" spans="2:19" x14ac:dyDescent="0.15">
      <c r="B74" s="322" t="s">
        <v>1255</v>
      </c>
      <c r="C74" s="327">
        <f>COUNTIFS('reductions data'!C:C,'team overview'!$B$6,'reductions data'!G:G,'team overview'!B74)</f>
        <v>0</v>
      </c>
      <c r="D74" s="90">
        <f>SUMIFS('reductions data'!H:H,'reductions data'!$C:$C,'team overview'!$B$6,'reductions data'!G:G,'team overview'!B74)</f>
        <v>0</v>
      </c>
      <c r="E74" s="91"/>
      <c r="F74" s="91"/>
      <c r="G74" s="64"/>
    </row>
    <row r="75" spans="2:19" x14ac:dyDescent="0.15">
      <c r="B75" s="322" t="s">
        <v>1259</v>
      </c>
      <c r="C75" s="327">
        <f>COUNTIFS('reductions data'!C:C,'team overview'!$B$6,'reductions data'!G:G,'team overview'!B75)</f>
        <v>0</v>
      </c>
      <c r="D75" s="90">
        <f>SUMIFS('reductions data'!H:H,'reductions data'!$C:$C,'team overview'!$B$6,'reductions data'!G:G,'team overview'!B75)</f>
        <v>0</v>
      </c>
      <c r="E75" s="91"/>
      <c r="F75" s="91"/>
      <c r="G75" s="64"/>
    </row>
    <row r="76" spans="2:19" x14ac:dyDescent="0.15">
      <c r="B76" s="112" t="s">
        <v>924</v>
      </c>
      <c r="C76" s="89">
        <f>COUNTIFS('reductions data'!C:C,'team overview'!$B$6,'reductions data'!G:G,'team overview'!B76)</f>
        <v>0</v>
      </c>
      <c r="D76" s="90">
        <f>SUMIFS('reductions data'!H:H,'reductions data'!$C:$C,'team overview'!$B$6,'reductions data'!G:G,'team overview'!B76)</f>
        <v>0</v>
      </c>
      <c r="E76" s="91"/>
      <c r="F76" s="91"/>
      <c r="G76" s="64"/>
    </row>
    <row r="77" spans="2:19" x14ac:dyDescent="0.15">
      <c r="B77" s="113" t="s">
        <v>925</v>
      </c>
      <c r="C77" s="89">
        <f>COUNTIFS('reductions data'!C:C,'team overview'!$B$6,'reductions data'!G:G,'team overview'!B77)</f>
        <v>0</v>
      </c>
      <c r="D77" s="90">
        <f>SUMIFS('reductions data'!H:H,'reductions data'!$C:$C,'team overview'!$B$6,'reductions data'!G:G,'team overview'!B77)</f>
        <v>0</v>
      </c>
      <c r="E77" s="91"/>
      <c r="F77" s="91"/>
      <c r="G77" s="64"/>
    </row>
    <row r="78" spans="2:19" x14ac:dyDescent="0.15">
      <c r="B78" s="113" t="s">
        <v>926</v>
      </c>
      <c r="C78" s="89">
        <f>COUNTIFS('reductions data'!C:C,'team overview'!$B$6,'reductions data'!G:G,'team overview'!B78)</f>
        <v>0</v>
      </c>
      <c r="D78" s="90">
        <f>SUMIFS('reductions data'!H:H,'reductions data'!$C:$C,'team overview'!$B$6,'reductions data'!G:G,'team overview'!B78)</f>
        <v>0</v>
      </c>
      <c r="E78" s="91"/>
      <c r="F78" s="91"/>
      <c r="G78" s="64"/>
      <c r="S78" s="41"/>
    </row>
    <row r="79" spans="2:19" x14ac:dyDescent="0.15">
      <c r="B79" s="113" t="s">
        <v>927</v>
      </c>
      <c r="C79" s="89">
        <f>COUNTIFS('reductions data'!C:C,'team overview'!$B$6,'reductions data'!G:G,'team overview'!B79)</f>
        <v>0</v>
      </c>
      <c r="D79" s="90">
        <f>SUMIFS('reductions data'!H:H,'reductions data'!$C:$C,'team overview'!$B$6,'reductions data'!G:G,'team overview'!B79)</f>
        <v>0</v>
      </c>
      <c r="E79" s="91"/>
      <c r="F79" s="91"/>
      <c r="G79" s="64"/>
    </row>
    <row r="80" spans="2:19" ht="16" x14ac:dyDescent="0.2">
      <c r="B80" s="113" t="s">
        <v>928</v>
      </c>
      <c r="C80" s="89">
        <f>COUNTIFS('reductions data'!C:C,'team overview'!$B$6,'reductions data'!G:G,'team overview'!B80)</f>
        <v>0</v>
      </c>
      <c r="D80" s="90">
        <f>SUMIFS('reductions data'!H:H,'reductions data'!$C:$C,'team overview'!$B$6,'reductions data'!G:G,'team overview'!B80)</f>
        <v>0</v>
      </c>
      <c r="E80" s="1"/>
      <c r="F80" s="1"/>
    </row>
    <row r="81" spans="2:4" x14ac:dyDescent="0.15">
      <c r="B81" s="113" t="s">
        <v>929</v>
      </c>
      <c r="C81" s="89">
        <f>COUNTIFS('reductions data'!C:C,'team overview'!$B$6,'reductions data'!G:G,'team overview'!B81)</f>
        <v>0</v>
      </c>
      <c r="D81" s="90">
        <f>SUMIFS('reductions data'!H:H,'reductions data'!$C:$C,'team overview'!$B$6,'reductions data'!G:G,'team overview'!B81)</f>
        <v>0</v>
      </c>
    </row>
    <row r="82" spans="2:4" x14ac:dyDescent="0.15">
      <c r="B82" s="113" t="s">
        <v>930</v>
      </c>
      <c r="C82" s="89">
        <f>COUNTIFS('reductions data'!C:C,'team overview'!$B$6,'reductions data'!G:G,'team overview'!B82)</f>
        <v>0</v>
      </c>
      <c r="D82" s="90">
        <f>SUMIFS('reductions data'!H:H,'reductions data'!$C:$C,'team overview'!$B$6,'reductions data'!G:G,'team overview'!B82)</f>
        <v>0</v>
      </c>
    </row>
  </sheetData>
  <sortState xmlns:xlrd2="http://schemas.microsoft.com/office/spreadsheetml/2017/richdata2" ref="B34:D79">
    <sortCondition ref="B34:B79"/>
  </sortState>
  <mergeCells count="16">
    <mergeCell ref="B32:D32"/>
    <mergeCell ref="F32:G32"/>
    <mergeCell ref="B8:F8"/>
    <mergeCell ref="A1:M1"/>
    <mergeCell ref="N1:S1"/>
    <mergeCell ref="A2:M2"/>
    <mergeCell ref="B26:K26"/>
    <mergeCell ref="B19:H19"/>
    <mergeCell ref="F47:F51"/>
    <mergeCell ref="G47:G51"/>
    <mergeCell ref="F34:F36"/>
    <mergeCell ref="G34:G36"/>
    <mergeCell ref="F37:F39"/>
    <mergeCell ref="G37:G39"/>
    <mergeCell ref="F41:F46"/>
    <mergeCell ref="G41:G46"/>
  </mergeCells>
  <conditionalFormatting sqref="C11:E11 C10:F10">
    <cfRule type="cellIs" dxfId="5902" priority="3" operator="lessThan">
      <formula>0.9</formula>
    </cfRule>
    <cfRule type="cellIs" dxfId="5901" priority="4" operator="greaterThanOrEqual">
      <formula>1.1</formula>
    </cfRule>
  </conditionalFormatting>
  <conditionalFormatting sqref="F11">
    <cfRule type="cellIs" dxfId="5900" priority="1" operator="lessThan">
      <formula>0.9</formula>
    </cfRule>
    <cfRule type="cellIs" dxfId="5899" priority="2" operator="greaterThanOrEqual">
      <formula>1.1</formula>
    </cfRule>
  </conditionalFormatting>
  <dataValidations count="2">
    <dataValidation type="list" allowBlank="1" showInputMessage="1" showErrorMessage="1" sqref="B5" xr:uid="{4B8F142B-4063-4AD5-B318-91BFFDFF1B8F}">
      <formula1>Regions</formula1>
    </dataValidation>
    <dataValidation type="list" allowBlank="1" showInputMessage="1" showErrorMessage="1" sqref="B6" xr:uid="{00000000-0002-0000-0900-000001000000}">
      <formula1>OFFSET(Second_Anchor,1,MATCH($B$5,Team_Regions,0)-1,COUNTA(OFFSET(Second_Anchor,1,MATCH(B5,Team_Regions,0)-1,200)),1)</formula1>
    </dataValidation>
  </dataValidation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2" tint="-9.9978637043366805E-2"/>
  </sheetPr>
  <dimension ref="A1:AO212"/>
  <sheetViews>
    <sheetView showGridLines="0" zoomScale="80" zoomScaleNormal="80" workbookViewId="0">
      <selection activeCell="AA57" sqref="AA57"/>
    </sheetView>
  </sheetViews>
  <sheetFormatPr baseColWidth="10" defaultColWidth="8.83203125" defaultRowHeight="14" x14ac:dyDescent="0.15"/>
  <cols>
    <col min="2" max="2" width="40.83203125" bestFit="1" customWidth="1"/>
    <col min="3" max="3" width="35" bestFit="1" customWidth="1"/>
    <col min="14" max="15" width="10" bestFit="1" customWidth="1"/>
    <col min="16" max="16" width="10.5" customWidth="1"/>
    <col min="17" max="17" width="10" bestFit="1" customWidth="1"/>
    <col min="18" max="18" width="10.1640625" bestFit="1" customWidth="1"/>
    <col min="19" max="19" width="10.83203125" bestFit="1" customWidth="1"/>
    <col min="20" max="20" width="11.5" bestFit="1" customWidth="1"/>
    <col min="23" max="23" width="40.83203125" bestFit="1" customWidth="1"/>
    <col min="24" max="24" width="20.1640625" customWidth="1"/>
    <col min="25" max="25" width="11.5" bestFit="1" customWidth="1"/>
    <col min="26" max="26" width="12.1640625" bestFit="1" customWidth="1"/>
    <col min="27" max="27" width="11.5" bestFit="1" customWidth="1"/>
    <col min="28" max="29" width="12.1640625" bestFit="1" customWidth="1"/>
    <col min="30" max="31" width="11.5" bestFit="1" customWidth="1"/>
  </cols>
  <sheetData>
    <row r="1" spans="1:41" ht="70.5" customHeight="1" x14ac:dyDescent="0.15">
      <c r="A1" s="482" t="s">
        <v>1072</v>
      </c>
      <c r="B1" s="483"/>
      <c r="C1" s="483"/>
      <c r="D1" s="483"/>
      <c r="E1" s="483"/>
      <c r="F1" s="483"/>
      <c r="G1" s="483"/>
      <c r="H1" s="483"/>
      <c r="I1" s="483"/>
      <c r="J1" s="483"/>
      <c r="K1" s="483"/>
      <c r="L1" s="483"/>
      <c r="M1" s="483"/>
      <c r="N1" s="471"/>
      <c r="O1" s="471"/>
      <c r="P1" s="471"/>
      <c r="Q1" s="471"/>
      <c r="R1" s="471"/>
      <c r="S1" s="471"/>
      <c r="T1" s="471"/>
      <c r="U1" s="471"/>
      <c r="V1" s="471"/>
      <c r="W1" s="471"/>
      <c r="X1" s="471"/>
      <c r="Y1" s="471"/>
      <c r="Z1" s="471"/>
      <c r="AA1" s="471"/>
      <c r="AB1" s="471"/>
      <c r="AC1" s="471"/>
      <c r="AD1" s="471"/>
      <c r="AE1" s="471"/>
      <c r="AF1" s="471"/>
      <c r="AG1" s="471"/>
      <c r="AH1" s="471"/>
      <c r="AI1" s="471"/>
      <c r="AJ1" s="471"/>
      <c r="AK1" s="471"/>
      <c r="AL1" s="471"/>
      <c r="AM1" s="471"/>
      <c r="AN1" s="255"/>
    </row>
    <row r="2" spans="1:41" ht="51" customHeight="1" x14ac:dyDescent="0.15">
      <c r="A2" s="487"/>
      <c r="B2" s="487"/>
      <c r="C2" s="487"/>
      <c r="D2" s="487"/>
      <c r="E2" s="487"/>
      <c r="F2" s="487"/>
      <c r="G2" s="487"/>
      <c r="H2" s="487"/>
      <c r="I2" s="487"/>
      <c r="J2" s="487"/>
      <c r="K2" s="487"/>
      <c r="L2" s="487"/>
      <c r="M2" s="487"/>
      <c r="N2" s="487"/>
      <c r="O2" s="487"/>
      <c r="P2" s="487"/>
      <c r="Q2" s="487"/>
      <c r="R2" s="487"/>
      <c r="S2" s="487"/>
      <c r="T2" s="487"/>
      <c r="U2" s="487"/>
      <c r="V2" s="487"/>
      <c r="W2" s="487"/>
      <c r="X2" s="487"/>
      <c r="Y2" s="487"/>
      <c r="Z2" s="487"/>
      <c r="AA2" s="487"/>
      <c r="AB2" s="487"/>
      <c r="AC2" s="487"/>
      <c r="AD2" s="487"/>
      <c r="AE2" s="487"/>
      <c r="AF2" s="487"/>
      <c r="AG2" s="487"/>
      <c r="AH2" s="487"/>
      <c r="AI2" s="487"/>
      <c r="AJ2" s="487"/>
      <c r="AK2" s="487"/>
      <c r="AL2" s="487"/>
      <c r="AM2" s="487"/>
      <c r="AN2" s="487"/>
    </row>
    <row r="4" spans="1:41" ht="15" thickBot="1" x14ac:dyDescent="0.2"/>
    <row r="5" spans="1:41" ht="27.75" customHeight="1" thickBot="1" x14ac:dyDescent="0.25">
      <c r="B5" s="1"/>
      <c r="C5" s="2"/>
      <c r="D5" s="484" t="s">
        <v>1073</v>
      </c>
      <c r="E5" s="485"/>
      <c r="F5" s="485"/>
      <c r="G5" s="485"/>
      <c r="H5" s="485"/>
      <c r="I5" s="485"/>
      <c r="J5" s="485"/>
      <c r="K5" s="485"/>
      <c r="L5" s="485"/>
      <c r="M5" s="485"/>
      <c r="N5" s="485"/>
      <c r="O5" s="485"/>
      <c r="P5" s="485"/>
      <c r="Q5" s="485"/>
      <c r="R5" s="485"/>
      <c r="S5" s="485"/>
      <c r="T5" s="486"/>
      <c r="W5" s="1"/>
      <c r="X5" s="2"/>
      <c r="Y5" s="488" t="s">
        <v>1074</v>
      </c>
      <c r="Z5" s="489"/>
      <c r="AA5" s="489"/>
      <c r="AB5" s="489"/>
      <c r="AC5" s="489"/>
      <c r="AD5" s="489"/>
      <c r="AE5" s="489"/>
      <c r="AF5" s="489"/>
      <c r="AG5" s="489"/>
      <c r="AH5" s="489"/>
      <c r="AI5" s="489"/>
      <c r="AJ5" s="489"/>
      <c r="AK5" s="489"/>
      <c r="AL5" s="489"/>
      <c r="AM5" s="489"/>
      <c r="AN5" s="489"/>
    </row>
    <row r="6" spans="1:41" x14ac:dyDescent="0.15">
      <c r="B6" s="371" t="s">
        <v>838</v>
      </c>
      <c r="C6" s="125" t="s">
        <v>1075</v>
      </c>
      <c r="D6" s="38" t="s">
        <v>864</v>
      </c>
      <c r="E6" s="38" t="s">
        <v>865</v>
      </c>
      <c r="F6" s="38" t="s">
        <v>866</v>
      </c>
      <c r="G6" s="38" t="s">
        <v>867</v>
      </c>
      <c r="H6" s="38" t="s">
        <v>868</v>
      </c>
      <c r="I6" s="38" t="s">
        <v>869</v>
      </c>
      <c r="J6" s="38" t="s">
        <v>870</v>
      </c>
      <c r="K6" s="38" t="s">
        <v>871</v>
      </c>
      <c r="L6" s="38" t="s">
        <v>872</v>
      </c>
      <c r="M6" s="38" t="s">
        <v>873</v>
      </c>
      <c r="N6" s="38" t="s">
        <v>874</v>
      </c>
      <c r="O6" s="38" t="s">
        <v>875</v>
      </c>
      <c r="P6" s="38" t="s">
        <v>876</v>
      </c>
      <c r="Q6" s="38" t="s">
        <v>877</v>
      </c>
      <c r="R6" s="38" t="s">
        <v>878</v>
      </c>
      <c r="S6" s="38" t="s">
        <v>879</v>
      </c>
      <c r="T6" s="125" t="s">
        <v>881</v>
      </c>
      <c r="U6" s="64"/>
      <c r="V6" s="64"/>
      <c r="W6" s="124" t="s">
        <v>838</v>
      </c>
      <c r="X6" s="126" t="s">
        <v>1075</v>
      </c>
      <c r="Y6" s="38" t="s">
        <v>864</v>
      </c>
      <c r="Z6" s="38" t="s">
        <v>865</v>
      </c>
      <c r="AA6" s="38" t="s">
        <v>866</v>
      </c>
      <c r="AB6" s="38" t="s">
        <v>867</v>
      </c>
      <c r="AC6" s="38" t="s">
        <v>868</v>
      </c>
      <c r="AD6" s="38" t="s">
        <v>869</v>
      </c>
      <c r="AE6" s="38" t="s">
        <v>870</v>
      </c>
      <c r="AF6" s="38" t="s">
        <v>871</v>
      </c>
      <c r="AG6" s="38" t="s">
        <v>872</v>
      </c>
      <c r="AH6" s="38" t="s">
        <v>873</v>
      </c>
      <c r="AI6" s="38" t="s">
        <v>874</v>
      </c>
      <c r="AJ6" s="38" t="s">
        <v>875</v>
      </c>
      <c r="AK6" s="38" t="s">
        <v>876</v>
      </c>
      <c r="AL6" s="38" t="s">
        <v>877</v>
      </c>
      <c r="AM6" s="38" t="s">
        <v>878</v>
      </c>
      <c r="AN6" s="38" t="s">
        <v>879</v>
      </c>
      <c r="AO6" s="38" t="s">
        <v>994</v>
      </c>
    </row>
    <row r="7" spans="1:41" x14ac:dyDescent="0.15">
      <c r="B7" s="490" t="s">
        <v>17</v>
      </c>
      <c r="C7" s="128" t="s">
        <v>997</v>
      </c>
      <c r="D7" s="370">
        <f>SUMIFS('caseload data'!E:E,'caseload data'!$D:$D,"PO",'caseload data'!$A:$A,EMR)</f>
        <v>0</v>
      </c>
      <c r="E7" s="94">
        <f>SUMIFS('caseload data'!F:F,'caseload data'!$D:$D,"PO",'caseload data'!$A:$A,EMR)</f>
        <v>0</v>
      </c>
      <c r="F7" s="94">
        <f>SUMIFS('caseload data'!G:G,'caseload data'!$D:$D,"PO",'caseload data'!$A:$A,EMR)</f>
        <v>0</v>
      </c>
      <c r="G7" s="94">
        <f>SUMIFS('caseload data'!H:H,'caseload data'!$D:$D,"PO",'caseload data'!$A:$A,EMR)</f>
        <v>0</v>
      </c>
      <c r="H7" s="94">
        <f>SUMIFS('caseload data'!I:I,'caseload data'!$D:$D,"PO",'caseload data'!$A:$A,EMR)</f>
        <v>0</v>
      </c>
      <c r="I7" s="94">
        <f>SUMIFS('caseload data'!J:J,'caseload data'!$D:$D,"PO",'caseload data'!$A:$A,EMR)</f>
        <v>0</v>
      </c>
      <c r="J7" s="94">
        <f>SUMIFS('caseload data'!K:K,'caseload data'!$D:$D,"PO",'caseload data'!$A:$A,EMR)</f>
        <v>0</v>
      </c>
      <c r="K7" s="94">
        <f>SUMIFS('caseload data'!L:L,'caseload data'!$D:$D,"PO",'caseload data'!$A:$A,EMR)</f>
        <v>0</v>
      </c>
      <c r="L7" s="94">
        <f>SUMIFS('caseload data'!M:M,'caseload data'!$D:$D,"PO",'caseload data'!$A:$A,EMR)</f>
        <v>0</v>
      </c>
      <c r="M7" s="94">
        <f>SUMIFS('caseload data'!N:N,'caseload data'!$D:$D,"PO",'caseload data'!$A:$A,EMR)</f>
        <v>0</v>
      </c>
      <c r="N7" s="94">
        <f>SUMIFS('caseload data'!O:O,'caseload data'!$D:$D,"PO",'caseload data'!$A:$A,EMR)</f>
        <v>0</v>
      </c>
      <c r="O7" s="94">
        <f>SUMIFS('caseload data'!P:P,'caseload data'!$D:$D,"PO",'caseload data'!$A:$A,EMR)</f>
        <v>0</v>
      </c>
      <c r="P7" s="94">
        <f>SUMIFS('caseload data'!Q:Q,'caseload data'!$D:$D,"PO",'caseload data'!$A:$A,EMR)</f>
        <v>0</v>
      </c>
      <c r="Q7" s="94">
        <f>SUMIFS('caseload data'!R:R,'caseload data'!$D:$D,"PO",'caseload data'!$A:$A,EMR)</f>
        <v>0</v>
      </c>
      <c r="R7" s="94">
        <f>SUMIFS('caseload data'!S:S,'caseload data'!$D:$D,"PO",'caseload data'!$A:$A,EMR)</f>
        <v>0</v>
      </c>
      <c r="S7" s="94">
        <f>SUMIFS('caseload data'!T:T,'caseload data'!$D:$D,"PO",'caseload data'!$A:$A,EMR)</f>
        <v>0</v>
      </c>
      <c r="T7" s="94">
        <f>SUMIFS('caseload data'!V:V,'caseload data'!$D:$D,"PO",'caseload data'!$A:$A,'national caseload'!B7:B9)</f>
        <v>0</v>
      </c>
      <c r="U7" s="64"/>
      <c r="V7" s="64"/>
      <c r="W7" s="479" t="s">
        <v>17</v>
      </c>
      <c r="X7" s="128" t="s">
        <v>997</v>
      </c>
      <c r="Y7" s="167" t="e">
        <f>SUM(D7)/SUM(D$7:D$11)</f>
        <v>#DIV/0!</v>
      </c>
      <c r="Z7" s="167" t="e">
        <f>SUM(E7)/SUM(E$7:E$11)</f>
        <v>#DIV/0!</v>
      </c>
      <c r="AA7" s="167" t="e">
        <f>SUM(F7)/SUM(F$7:F$11)</f>
        <v>#DIV/0!</v>
      </c>
      <c r="AB7" s="167" t="e">
        <f t="shared" ref="AB7:AO11" si="0">SUM(G7)/SUM(G$7:G$11)</f>
        <v>#DIV/0!</v>
      </c>
      <c r="AC7" s="167" t="e">
        <f t="shared" si="0"/>
        <v>#DIV/0!</v>
      </c>
      <c r="AD7" s="167" t="e">
        <f t="shared" si="0"/>
        <v>#DIV/0!</v>
      </c>
      <c r="AE7" s="167" t="e">
        <f t="shared" si="0"/>
        <v>#DIV/0!</v>
      </c>
      <c r="AF7" s="167" t="e">
        <f t="shared" si="0"/>
        <v>#DIV/0!</v>
      </c>
      <c r="AG7" s="167" t="e">
        <f t="shared" si="0"/>
        <v>#DIV/0!</v>
      </c>
      <c r="AH7" s="167" t="e">
        <f t="shared" si="0"/>
        <v>#DIV/0!</v>
      </c>
      <c r="AI7" s="167" t="e">
        <f t="shared" si="0"/>
        <v>#DIV/0!</v>
      </c>
      <c r="AJ7" s="167" t="e">
        <f t="shared" si="0"/>
        <v>#DIV/0!</v>
      </c>
      <c r="AK7" s="167" t="e">
        <f t="shared" si="0"/>
        <v>#DIV/0!</v>
      </c>
      <c r="AL7" s="167" t="e">
        <f t="shared" si="0"/>
        <v>#DIV/0!</v>
      </c>
      <c r="AM7" s="167" t="e">
        <f t="shared" si="0"/>
        <v>#DIV/0!</v>
      </c>
      <c r="AN7" s="167" t="e">
        <f t="shared" si="0"/>
        <v>#DIV/0!</v>
      </c>
      <c r="AO7" s="167" t="e">
        <f t="shared" si="0"/>
        <v>#DIV/0!</v>
      </c>
    </row>
    <row r="8" spans="1:41" x14ac:dyDescent="0.15">
      <c r="B8" s="491"/>
      <c r="C8" s="129" t="s">
        <v>1002</v>
      </c>
      <c r="D8" s="370">
        <f>SUMIFS('caseload data'!E:E,'caseload data'!$D:$D,"PSO",'caseload data'!$A:$A,"East Midlands Region")</f>
        <v>0</v>
      </c>
      <c r="E8" s="94">
        <f>SUMIFS('caseload data'!F:F,'caseload data'!$D:$D,"PSO",'caseload data'!$A:$A,"East Midlands Region")</f>
        <v>0</v>
      </c>
      <c r="F8" s="94">
        <f>SUMIFS('caseload data'!G:G,'caseload data'!$D:$D,"PSO",'caseload data'!$A:$A,"East Midlands Region")</f>
        <v>0</v>
      </c>
      <c r="G8" s="94">
        <f>SUMIFS('caseload data'!H:H,'caseload data'!$D:$D,"PSO",'caseload data'!$A:$A,"East Midlands Region")</f>
        <v>0</v>
      </c>
      <c r="H8" s="94">
        <f>SUMIFS('caseload data'!I:I,'caseload data'!$D:$D,"PSO",'caseload data'!$A:$A,"East Midlands Region")</f>
        <v>0</v>
      </c>
      <c r="I8" s="94">
        <f>SUMIFS('caseload data'!J:J,'caseload data'!$D:$D,"PSO",'caseload data'!$A:$A,"East Midlands Region")</f>
        <v>0</v>
      </c>
      <c r="J8" s="94">
        <f>SUMIFS('caseload data'!K:K,'caseload data'!$D:$D,"PSO",'caseload data'!$A:$A,"East Midlands Region")</f>
        <v>0</v>
      </c>
      <c r="K8" s="94">
        <f>SUMIFS('caseload data'!L:L,'caseload data'!$D:$D,"PSO",'caseload data'!$A:$A,"East Midlands Region")</f>
        <v>0</v>
      </c>
      <c r="L8" s="94">
        <f>SUMIFS('caseload data'!M:M,'caseload data'!$D:$D,"PSO",'caseload data'!$A:$A,"East Midlands Region")</f>
        <v>0</v>
      </c>
      <c r="M8" s="94">
        <f>SUMIFS('caseload data'!N:N,'caseload data'!$D:$D,"PSO",'caseload data'!$A:$A,"East Midlands Region")</f>
        <v>0</v>
      </c>
      <c r="N8" s="94">
        <f>SUMIFS('caseload data'!O:O,'caseload data'!$D:$D,"PSO",'caseload data'!$A:$A,"East Midlands Region")</f>
        <v>0</v>
      </c>
      <c r="O8" s="94">
        <f>SUMIFS('caseload data'!P:P,'caseload data'!$D:$D,"PSO",'caseload data'!$A:$A,"East Midlands Region")</f>
        <v>0</v>
      </c>
      <c r="P8" s="94">
        <f>SUMIFS('caseload data'!Q:Q,'caseload data'!$D:$D,"PSO",'caseload data'!$A:$A,"East Midlands Region")</f>
        <v>0</v>
      </c>
      <c r="Q8" s="94">
        <f>SUMIFS('caseload data'!R:R,'caseload data'!$D:$D,"PSO",'caseload data'!$A:$A,"East Midlands Region")</f>
        <v>0</v>
      </c>
      <c r="R8" s="94">
        <f>SUMIFS('caseload data'!S:S,'caseload data'!$D:$D,"PSO",'caseload data'!$A:$A,"East Midlands Region")</f>
        <v>0</v>
      </c>
      <c r="S8" s="94">
        <f>SUMIFS('caseload data'!T:T,'caseload data'!$D:$D,"PSO",'caseload data'!$A:$A,"East Midlands Region")</f>
        <v>0</v>
      </c>
      <c r="T8" s="94">
        <f>SUMIFS('caseload data'!V:V,'caseload data'!$D:$D,"PSO",'caseload data'!$A:$A,"East Midlands Region")</f>
        <v>0</v>
      </c>
      <c r="U8" s="64"/>
      <c r="V8" s="64"/>
      <c r="W8" s="480"/>
      <c r="X8" s="129" t="s">
        <v>1002</v>
      </c>
      <c r="Y8" s="167" t="e">
        <f t="shared" ref="Y8:Y11" si="1">SUM(D8)/SUM(D$7:D$11)</f>
        <v>#DIV/0!</v>
      </c>
      <c r="Z8" s="167" t="e">
        <f t="shared" ref="Z8:AA11" si="2">SUM(E8)/SUM(E$7:E$11)</f>
        <v>#DIV/0!</v>
      </c>
      <c r="AA8" s="167" t="e">
        <f t="shared" si="2"/>
        <v>#DIV/0!</v>
      </c>
      <c r="AB8" s="167" t="e">
        <f t="shared" si="0"/>
        <v>#DIV/0!</v>
      </c>
      <c r="AC8" s="167" t="e">
        <f t="shared" si="0"/>
        <v>#DIV/0!</v>
      </c>
      <c r="AD8" s="167" t="e">
        <f t="shared" si="0"/>
        <v>#DIV/0!</v>
      </c>
      <c r="AE8" s="167" t="e">
        <f t="shared" si="0"/>
        <v>#DIV/0!</v>
      </c>
      <c r="AF8" s="167" t="e">
        <f t="shared" si="0"/>
        <v>#DIV/0!</v>
      </c>
      <c r="AG8" s="167" t="e">
        <f t="shared" si="0"/>
        <v>#DIV/0!</v>
      </c>
      <c r="AH8" s="167" t="e">
        <f t="shared" si="0"/>
        <v>#DIV/0!</v>
      </c>
      <c r="AI8" s="167" t="e">
        <f t="shared" si="0"/>
        <v>#DIV/0!</v>
      </c>
      <c r="AJ8" s="167" t="e">
        <f t="shared" si="0"/>
        <v>#DIV/0!</v>
      </c>
      <c r="AK8" s="167" t="e">
        <f t="shared" si="0"/>
        <v>#DIV/0!</v>
      </c>
      <c r="AL8" s="167" t="e">
        <f t="shared" si="0"/>
        <v>#DIV/0!</v>
      </c>
      <c r="AM8" s="167" t="e">
        <f t="shared" si="0"/>
        <v>#DIV/0!</v>
      </c>
      <c r="AN8" s="167" t="e">
        <f t="shared" si="0"/>
        <v>#DIV/0!</v>
      </c>
      <c r="AO8" s="167" t="e">
        <f t="shared" si="0"/>
        <v>#DIV/0!</v>
      </c>
    </row>
    <row r="9" spans="1:41" x14ac:dyDescent="0.15">
      <c r="B9" s="491"/>
      <c r="C9" s="129" t="s">
        <v>1003</v>
      </c>
      <c r="D9" s="370">
        <f>SUMIFS('caseload data'!E:E,'caseload data'!$D:$D,"TPO",'caseload data'!$A:$A,"East Midlands Region")</f>
        <v>0</v>
      </c>
      <c r="E9" s="94">
        <f>SUMIFS('caseload data'!F:F,'caseload data'!$D:$D,"TPO",'caseload data'!$A:$A,"East Midlands Region")</f>
        <v>0</v>
      </c>
      <c r="F9" s="94">
        <f>SUMIFS('caseload data'!G:G,'caseload data'!$D:$D,"TPO",'caseload data'!$A:$A,"East Midlands Region")</f>
        <v>0</v>
      </c>
      <c r="G9" s="94">
        <f>SUMIFS('caseload data'!H:H,'caseload data'!$D:$D,"TPO",'caseload data'!$A:$A,"East Midlands Region")</f>
        <v>0</v>
      </c>
      <c r="H9" s="94">
        <f>SUMIFS('caseload data'!I:I,'caseload data'!$D:$D,"TPO",'caseload data'!$A:$A,"East Midlands Region")</f>
        <v>0</v>
      </c>
      <c r="I9" s="94">
        <f>SUMIFS('caseload data'!J:J,'caseload data'!$D:$D,"TPO",'caseload data'!$A:$A,"East Midlands Region")</f>
        <v>0</v>
      </c>
      <c r="J9" s="94">
        <f>SUMIFS('caseload data'!K:K,'caseload data'!$D:$D,"TPO",'caseload data'!$A:$A,"East Midlands Region")</f>
        <v>0</v>
      </c>
      <c r="K9" s="94">
        <f>SUMIFS('caseload data'!L:L,'caseload data'!$D:$D,"TPO",'caseload data'!$A:$A,"East Midlands Region")</f>
        <v>0</v>
      </c>
      <c r="L9" s="94">
        <f>SUMIFS('caseload data'!M:M,'caseload data'!$D:$D,"TPO",'caseload data'!$A:$A,"East Midlands Region")</f>
        <v>0</v>
      </c>
      <c r="M9" s="94">
        <f>SUMIFS('caseload data'!N:N,'caseload data'!$D:$D,"TPO",'caseload data'!$A:$A,"East Midlands Region")</f>
        <v>0</v>
      </c>
      <c r="N9" s="94">
        <f>SUMIFS('caseload data'!O:O,'caseload data'!$D:$D,"TPO",'caseload data'!$A:$A,"East Midlands Region")</f>
        <v>0</v>
      </c>
      <c r="O9" s="94">
        <f>SUMIFS('caseload data'!P:P,'caseload data'!$D:$D,"TPO",'caseload data'!$A:$A,"East Midlands Region")</f>
        <v>0</v>
      </c>
      <c r="P9" s="94">
        <f>SUMIFS('caseload data'!Q:Q,'caseload data'!$D:$D,"TPO",'caseload data'!$A:$A,"East Midlands Region")</f>
        <v>0</v>
      </c>
      <c r="Q9" s="94">
        <f>SUMIFS('caseload data'!R:R,'caseload data'!$D:$D,"TPO",'caseload data'!$A:$A,"East Midlands Region")</f>
        <v>0</v>
      </c>
      <c r="R9" s="94">
        <f>SUMIFS('caseload data'!S:S,'caseload data'!$D:$D,"TPO",'caseload data'!$A:$A,"East Midlands Region")</f>
        <v>0</v>
      </c>
      <c r="S9" s="94">
        <f>SUMIFS('caseload data'!T:T,'caseload data'!$D:$D,"TPO",'caseload data'!$A:$A,"East Midlands Region")</f>
        <v>0</v>
      </c>
      <c r="T9" s="94">
        <f>SUMIFS('caseload data'!V:V,'caseload data'!$D:$D,"TPO",'caseload data'!$A:$A,"East Midlands Region")</f>
        <v>0</v>
      </c>
      <c r="U9" s="64"/>
      <c r="V9" s="64"/>
      <c r="W9" s="480"/>
      <c r="X9" s="129" t="s">
        <v>1003</v>
      </c>
      <c r="Y9" s="167" t="e">
        <f t="shared" si="1"/>
        <v>#DIV/0!</v>
      </c>
      <c r="Z9" s="167" t="e">
        <f t="shared" si="2"/>
        <v>#DIV/0!</v>
      </c>
      <c r="AA9" s="167" t="e">
        <f t="shared" si="2"/>
        <v>#DIV/0!</v>
      </c>
      <c r="AB9" s="167" t="e">
        <f t="shared" si="0"/>
        <v>#DIV/0!</v>
      </c>
      <c r="AC9" s="167" t="e">
        <f t="shared" si="0"/>
        <v>#DIV/0!</v>
      </c>
      <c r="AD9" s="167" t="e">
        <f t="shared" si="0"/>
        <v>#DIV/0!</v>
      </c>
      <c r="AE9" s="167" t="e">
        <f t="shared" si="0"/>
        <v>#DIV/0!</v>
      </c>
      <c r="AF9" s="167" t="e">
        <f t="shared" si="0"/>
        <v>#DIV/0!</v>
      </c>
      <c r="AG9" s="167" t="e">
        <f t="shared" si="0"/>
        <v>#DIV/0!</v>
      </c>
      <c r="AH9" s="167" t="e">
        <f t="shared" si="0"/>
        <v>#DIV/0!</v>
      </c>
      <c r="AI9" s="167" t="e">
        <f t="shared" si="0"/>
        <v>#DIV/0!</v>
      </c>
      <c r="AJ9" s="167" t="e">
        <f t="shared" si="0"/>
        <v>#DIV/0!</v>
      </c>
      <c r="AK9" s="167" t="e">
        <f t="shared" si="0"/>
        <v>#DIV/0!</v>
      </c>
      <c r="AL9" s="167" t="e">
        <f t="shared" si="0"/>
        <v>#DIV/0!</v>
      </c>
      <c r="AM9" s="167" t="e">
        <f t="shared" si="0"/>
        <v>#DIV/0!</v>
      </c>
      <c r="AN9" s="167" t="e">
        <f t="shared" si="0"/>
        <v>#DIV/0!</v>
      </c>
      <c r="AO9" s="167" t="e">
        <f t="shared" si="0"/>
        <v>#DIV/0!</v>
      </c>
    </row>
    <row r="10" spans="1:41" x14ac:dyDescent="0.15">
      <c r="B10" s="491"/>
      <c r="C10" s="129" t="s">
        <v>1004</v>
      </c>
      <c r="D10" s="370">
        <f>SUMIFS('caseload data'!E:E,'caseload data'!$D:$D,"SPO",'caseload data'!$A:$A,"East Midlands Region")</f>
        <v>0</v>
      </c>
      <c r="E10" s="94">
        <f>SUMIFS('caseload data'!F:F,'caseload data'!$D:$D,"SPO",'caseload data'!$A:$A,"East Midlands Region")</f>
        <v>0</v>
      </c>
      <c r="F10" s="94">
        <f>SUMIFS('caseload data'!G:G,'caseload data'!$D:$D,"SPO",'caseload data'!$A:$A,"East Midlands Region")</f>
        <v>0</v>
      </c>
      <c r="G10" s="94">
        <f>SUMIFS('caseload data'!H:H,'caseload data'!$D:$D,"SPO",'caseload data'!$A:$A,"East Midlands Region")</f>
        <v>0</v>
      </c>
      <c r="H10" s="94">
        <f>SUMIFS('caseload data'!I:I,'caseload data'!$D:$D,"SPO",'caseload data'!$A:$A,"East Midlands Region")</f>
        <v>0</v>
      </c>
      <c r="I10" s="94">
        <f>SUMIFS('caseload data'!J:J,'caseload data'!$D:$D,"SPO",'caseload data'!$A:$A,"East Midlands Region")</f>
        <v>0</v>
      </c>
      <c r="J10" s="94">
        <f>SUMIFS('caseload data'!K:K,'caseload data'!$D:$D,"SPO",'caseload data'!$A:$A,"East Midlands Region")</f>
        <v>0</v>
      </c>
      <c r="K10" s="94">
        <f>SUMIFS('caseload data'!L:L,'caseload data'!$D:$D,"SPO",'caseload data'!$A:$A,"East Midlands Region")</f>
        <v>0</v>
      </c>
      <c r="L10" s="94">
        <f>SUMIFS('caseload data'!M:M,'caseload data'!$D:$D,"SPO",'caseload data'!$A:$A,"East Midlands Region")</f>
        <v>0</v>
      </c>
      <c r="M10" s="94">
        <f>SUMIFS('caseload data'!N:N,'caseload data'!$D:$D,"SPO",'caseload data'!$A:$A,"East Midlands Region")</f>
        <v>0</v>
      </c>
      <c r="N10" s="94">
        <f>SUMIFS('caseload data'!O:O,'caseload data'!$D:$D,"SPO",'caseload data'!$A:$A,"East Midlands Region")</f>
        <v>0</v>
      </c>
      <c r="O10" s="94">
        <f>SUMIFS('caseload data'!P:P,'caseload data'!$D:$D,"SPO",'caseload data'!$A:$A,"East Midlands Region")</f>
        <v>0</v>
      </c>
      <c r="P10" s="94">
        <f>SUMIFS('caseload data'!Q:Q,'caseload data'!$D:$D,"SPO",'caseload data'!$A:$A,"East Midlands Region")</f>
        <v>0</v>
      </c>
      <c r="Q10" s="94">
        <f>SUMIFS('caseload data'!R:R,'caseload data'!$D:$D,"SPO",'caseload data'!$A:$A,"East Midlands Region")</f>
        <v>0</v>
      </c>
      <c r="R10" s="94">
        <f>SUMIFS('caseload data'!S:S,'caseload data'!$D:$D,"SPO",'caseload data'!$A:$A,"East Midlands Region")</f>
        <v>0</v>
      </c>
      <c r="S10" s="94">
        <f>SUMIFS('caseload data'!T:T,'caseload data'!$D:$D,"SPO",'caseload data'!$A:$A,"East Midlands Region")</f>
        <v>0</v>
      </c>
      <c r="T10" s="94">
        <f>SUMIFS('caseload data'!V:V,'caseload data'!$D:$D,"SPO",'caseload data'!$A:$A,"East Midlands Region")</f>
        <v>0</v>
      </c>
      <c r="U10" s="64"/>
      <c r="V10" s="64"/>
      <c r="W10" s="480"/>
      <c r="X10" s="129" t="s">
        <v>1004</v>
      </c>
      <c r="Y10" s="167" t="e">
        <f t="shared" si="1"/>
        <v>#DIV/0!</v>
      </c>
      <c r="Z10" s="167" t="e">
        <f t="shared" si="2"/>
        <v>#DIV/0!</v>
      </c>
      <c r="AA10" s="167" t="e">
        <f t="shared" si="2"/>
        <v>#DIV/0!</v>
      </c>
      <c r="AB10" s="167" t="e">
        <f t="shared" si="0"/>
        <v>#DIV/0!</v>
      </c>
      <c r="AC10" s="167" t="e">
        <f t="shared" si="0"/>
        <v>#DIV/0!</v>
      </c>
      <c r="AD10" s="167" t="e">
        <f t="shared" si="0"/>
        <v>#DIV/0!</v>
      </c>
      <c r="AE10" s="167" t="e">
        <f t="shared" si="0"/>
        <v>#DIV/0!</v>
      </c>
      <c r="AF10" s="167" t="e">
        <f t="shared" si="0"/>
        <v>#DIV/0!</v>
      </c>
      <c r="AG10" s="167" t="e">
        <f t="shared" si="0"/>
        <v>#DIV/0!</v>
      </c>
      <c r="AH10" s="167" t="e">
        <f t="shared" si="0"/>
        <v>#DIV/0!</v>
      </c>
      <c r="AI10" s="167" t="e">
        <f t="shared" si="0"/>
        <v>#DIV/0!</v>
      </c>
      <c r="AJ10" s="167" t="e">
        <f t="shared" si="0"/>
        <v>#DIV/0!</v>
      </c>
      <c r="AK10" s="167" t="e">
        <f t="shared" si="0"/>
        <v>#DIV/0!</v>
      </c>
      <c r="AL10" s="167" t="e">
        <f t="shared" si="0"/>
        <v>#DIV/0!</v>
      </c>
      <c r="AM10" s="167" t="e">
        <f t="shared" si="0"/>
        <v>#DIV/0!</v>
      </c>
      <c r="AN10" s="167" t="e">
        <f t="shared" si="0"/>
        <v>#DIV/0!</v>
      </c>
      <c r="AO10" s="167" t="e">
        <f t="shared" si="0"/>
        <v>#DIV/0!</v>
      </c>
    </row>
    <row r="11" spans="1:41" x14ac:dyDescent="0.15">
      <c r="B11" s="363"/>
      <c r="C11" s="130" t="s">
        <v>1339</v>
      </c>
      <c r="D11" s="370">
        <f>SUMIFS('caseload data'!E:E,'caseload data'!$D:$D,"DMY",'caseload data'!$A:$A,"East Midlands Region")</f>
        <v>0</v>
      </c>
      <c r="E11" s="94">
        <f>SUMIFS('caseload data'!F:F,'caseload data'!$D:$D,"DMY",'caseload data'!$A:$A,"East Midlands Region")</f>
        <v>0</v>
      </c>
      <c r="F11" s="94">
        <f>SUMIFS('caseload data'!G:G,'caseload data'!$D:$D,"DMY",'caseload data'!$A:$A,"East Midlands Region")</f>
        <v>0</v>
      </c>
      <c r="G11" s="94">
        <f>SUMIFS('caseload data'!H:H,'caseload data'!$D:$D,"DMY",'caseload data'!$A:$A,"East Midlands Region")</f>
        <v>0</v>
      </c>
      <c r="H11" s="94">
        <f>SUMIFS('caseload data'!I:I,'caseload data'!$D:$D,"DMY",'caseload data'!$A:$A,"East Midlands Region")</f>
        <v>0</v>
      </c>
      <c r="I11" s="94">
        <f>SUMIFS('caseload data'!J:J,'caseload data'!$D:$D,"DMY",'caseload data'!$A:$A,"East Midlands Region")</f>
        <v>0</v>
      </c>
      <c r="J11" s="94">
        <f>SUMIFS('caseload data'!K:K,'caseload data'!$D:$D,"DMY",'caseload data'!$A:$A,"East Midlands Region")</f>
        <v>0</v>
      </c>
      <c r="K11" s="94">
        <f>SUMIFS('caseload data'!L:L,'caseload data'!$D:$D,"DMY",'caseload data'!$A:$A,"East Midlands Region")</f>
        <v>0</v>
      </c>
      <c r="L11" s="94">
        <f>SUMIFS('caseload data'!M:M,'caseload data'!$D:$D,"DMY",'caseload data'!$A:$A,"East Midlands Region")</f>
        <v>0</v>
      </c>
      <c r="M11" s="94">
        <f>SUMIFS('caseload data'!N:N,'caseload data'!$D:$D,"DMY",'caseload data'!$A:$A,"East Midlands Region")</f>
        <v>0</v>
      </c>
      <c r="N11" s="94">
        <f>SUMIFS('caseload data'!O:O,'caseload data'!$D:$D,"DMY",'caseload data'!$A:$A,"East Midlands Region")</f>
        <v>0</v>
      </c>
      <c r="O11" s="94">
        <f>SUMIFS('caseload data'!P:P,'caseload data'!$D:$D,"DMY",'caseload data'!$A:$A,"East Midlands Region")</f>
        <v>0</v>
      </c>
      <c r="P11" s="94">
        <f>SUMIFS('caseload data'!Q:Q,'caseload data'!$D:$D,"DMY",'caseload data'!$A:$A,"East Midlands Region")</f>
        <v>0</v>
      </c>
      <c r="Q11" s="94">
        <f>SUMIFS('caseload data'!R:R,'caseload data'!$D:$D,"DMY",'caseload data'!$A:$A,"East Midlands Region")</f>
        <v>0</v>
      </c>
      <c r="R11" s="94">
        <f>SUMIFS('caseload data'!S:S,'caseload data'!$D:$D,"DMY",'caseload data'!$A:$A,"East Midlands Region")</f>
        <v>0</v>
      </c>
      <c r="S11" s="94">
        <f>SUMIFS('caseload data'!T:T,'caseload data'!$D:$D,"DMY",'caseload data'!$A:$A,"East Midlands Region")</f>
        <v>0</v>
      </c>
      <c r="T11" s="94">
        <f>SUMIFS('caseload data'!V:V,'caseload data'!$D:$D,"DMY",'caseload data'!$A:$A,"East Midlands Region")</f>
        <v>0</v>
      </c>
      <c r="U11" s="64"/>
      <c r="V11" s="64"/>
      <c r="W11" s="481"/>
      <c r="X11" s="130" t="s">
        <v>1339</v>
      </c>
      <c r="Y11" s="167" t="e">
        <f t="shared" si="1"/>
        <v>#DIV/0!</v>
      </c>
      <c r="Z11" s="167" t="e">
        <f t="shared" si="2"/>
        <v>#DIV/0!</v>
      </c>
      <c r="AA11" s="167" t="e">
        <f t="shared" si="2"/>
        <v>#DIV/0!</v>
      </c>
      <c r="AB11" s="167" t="e">
        <f t="shared" si="0"/>
        <v>#DIV/0!</v>
      </c>
      <c r="AC11" s="167" t="e">
        <f t="shared" si="0"/>
        <v>#DIV/0!</v>
      </c>
      <c r="AD11" s="167" t="e">
        <f t="shared" si="0"/>
        <v>#DIV/0!</v>
      </c>
      <c r="AE11" s="167" t="e">
        <f t="shared" si="0"/>
        <v>#DIV/0!</v>
      </c>
      <c r="AF11" s="167" t="e">
        <f t="shared" si="0"/>
        <v>#DIV/0!</v>
      </c>
      <c r="AG11" s="167" t="e">
        <f t="shared" si="0"/>
        <v>#DIV/0!</v>
      </c>
      <c r="AH11" s="167" t="e">
        <f t="shared" si="0"/>
        <v>#DIV/0!</v>
      </c>
      <c r="AI11" s="167" t="e">
        <f t="shared" si="0"/>
        <v>#DIV/0!</v>
      </c>
      <c r="AJ11" s="167" t="e">
        <f t="shared" si="0"/>
        <v>#DIV/0!</v>
      </c>
      <c r="AK11" s="167" t="e">
        <f t="shared" si="0"/>
        <v>#DIV/0!</v>
      </c>
      <c r="AL11" s="167" t="e">
        <f t="shared" si="0"/>
        <v>#DIV/0!</v>
      </c>
      <c r="AM11" s="167" t="e">
        <f t="shared" si="0"/>
        <v>#DIV/0!</v>
      </c>
      <c r="AN11" s="167" t="e">
        <f t="shared" si="0"/>
        <v>#DIV/0!</v>
      </c>
      <c r="AO11" s="167" t="e">
        <f t="shared" si="0"/>
        <v>#DIV/0!</v>
      </c>
    </row>
    <row r="12" spans="1:41" x14ac:dyDescent="0.15">
      <c r="B12" s="479" t="s">
        <v>18</v>
      </c>
      <c r="C12" s="128" t="s">
        <v>997</v>
      </c>
      <c r="D12" s="370">
        <f>SUMIFS('caseload data'!E:E,'caseload data'!$D:$D,"PO",'caseload data'!$A:$A,EoE)</f>
        <v>0</v>
      </c>
      <c r="E12" s="94">
        <f>SUMIFS('caseload data'!F:F,'caseload data'!$D:$D,"PO",'caseload data'!$A:$A,EoE)</f>
        <v>0</v>
      </c>
      <c r="F12" s="94">
        <f>SUMIFS('caseload data'!G:G,'caseload data'!$D:$D,"PO",'caseload data'!$A:$A,EoE)</f>
        <v>0</v>
      </c>
      <c r="G12" s="94">
        <f>SUMIFS('caseload data'!H:H,'caseload data'!$D:$D,"PO",'caseload data'!$A:$A,EoE)</f>
        <v>0</v>
      </c>
      <c r="H12" s="94">
        <f>SUMIFS('caseload data'!I:I,'caseload data'!$D:$D,"PO",'caseload data'!$A:$A,EoE)</f>
        <v>0</v>
      </c>
      <c r="I12" s="94">
        <f>SUMIFS('caseload data'!J:J,'caseload data'!$D:$D,"PO",'caseload data'!$A:$A,EoE)</f>
        <v>0</v>
      </c>
      <c r="J12" s="94">
        <f>SUMIFS('caseload data'!K:K,'caseload data'!$D:$D,"PO",'caseload data'!$A:$A,EoE)</f>
        <v>0</v>
      </c>
      <c r="K12" s="94">
        <f>SUMIFS('caseload data'!L:L,'caseload data'!$D:$D,"PO",'caseload data'!$A:$A,EoE)</f>
        <v>0</v>
      </c>
      <c r="L12" s="94">
        <f>SUMIFS('caseload data'!M:M,'caseload data'!$D:$D,"PO",'caseload data'!$A:$A,EoE)</f>
        <v>0</v>
      </c>
      <c r="M12" s="94">
        <f>SUMIFS('caseload data'!N:N,'caseload data'!$D:$D,"PO",'caseload data'!$A:$A,EoE)</f>
        <v>0</v>
      </c>
      <c r="N12" s="94">
        <f>SUMIFS('caseload data'!O:O,'caseload data'!$D:$D,"PO",'caseload data'!$A:$A,EoE)</f>
        <v>0</v>
      </c>
      <c r="O12" s="94">
        <f>SUMIFS('caseload data'!P:P,'caseload data'!$D:$D,"PO",'caseload data'!$A:$A,EoE)</f>
        <v>0</v>
      </c>
      <c r="P12" s="94">
        <f>SUMIFS('caseload data'!Q:Q,'caseload data'!$D:$D,"PO",'caseload data'!$A:$A,EoE)</f>
        <v>0</v>
      </c>
      <c r="Q12" s="94">
        <f>SUMIFS('caseload data'!R:R,'caseload data'!$D:$D,"PO",'caseload data'!$A:$A,EoE)</f>
        <v>0</v>
      </c>
      <c r="R12" s="94">
        <f>SUMIFS('caseload data'!S:S,'caseload data'!$D:$D,"PO",'caseload data'!$A:$A,EoE)</f>
        <v>0</v>
      </c>
      <c r="S12" s="94">
        <f>SUMIFS('caseload data'!T:T,'caseload data'!$D:$D,"PO",'caseload data'!$A:$A,EoE)</f>
        <v>0</v>
      </c>
      <c r="T12" s="94">
        <f>SUMIFS('caseload data'!V:V,'caseload data'!$D:$D,"PO",'caseload data'!$A:$A,EoE)</f>
        <v>0</v>
      </c>
      <c r="U12" s="64"/>
      <c r="V12" s="64"/>
      <c r="W12" s="473" t="s">
        <v>18</v>
      </c>
      <c r="X12" s="128" t="s">
        <v>997</v>
      </c>
      <c r="Y12" s="167" t="e">
        <f>SUM(D12)/SUM(D$12:D$16)</f>
        <v>#DIV/0!</v>
      </c>
      <c r="Z12" s="167" t="e">
        <f t="shared" ref="Z12:AC16" si="3">SUM(E12)/SUM(E$12:E$16)</f>
        <v>#DIV/0!</v>
      </c>
      <c r="AA12" s="167" t="e">
        <f t="shared" si="3"/>
        <v>#DIV/0!</v>
      </c>
      <c r="AB12" s="167" t="e">
        <f t="shared" si="3"/>
        <v>#DIV/0!</v>
      </c>
      <c r="AC12" s="167" t="e">
        <f>SUM(H12)/SUM(H$12:H$16)</f>
        <v>#DIV/0!</v>
      </c>
      <c r="AD12" s="167" t="e">
        <f>SUM(I12)/SUM(I$12:I$16)</f>
        <v>#DIV/0!</v>
      </c>
      <c r="AE12" s="167" t="e">
        <f t="shared" ref="AE12:AE16" si="4">SUM(J12)/SUM(J$12:J$16)</f>
        <v>#DIV/0!</v>
      </c>
      <c r="AF12" s="167" t="e">
        <f t="shared" ref="AF12:AF16" si="5">SUM(K12)/SUM(K$12:K$16)</f>
        <v>#DIV/0!</v>
      </c>
      <c r="AG12" s="167" t="e">
        <f t="shared" ref="AG12:AG16" si="6">SUM(L12)/SUM(L$12:L$16)</f>
        <v>#DIV/0!</v>
      </c>
      <c r="AH12" s="167" t="e">
        <f>SUM(M12)/SUM(M$12:M$16)</f>
        <v>#DIV/0!</v>
      </c>
      <c r="AI12" s="167" t="e">
        <f>SUM(N12)/SUM(N$12:N$16)</f>
        <v>#DIV/0!</v>
      </c>
      <c r="AJ12" s="167" t="e">
        <f t="shared" ref="AJ12:AJ16" si="7">SUM(O12)/SUM(O$12:O$16)</f>
        <v>#DIV/0!</v>
      </c>
      <c r="AK12" s="167" t="e">
        <f t="shared" ref="AK12:AK16" si="8">SUM(P12)/SUM(P$12:P$16)</f>
        <v>#DIV/0!</v>
      </c>
      <c r="AL12" s="167" t="e">
        <f t="shared" ref="AL12:AL16" si="9">SUM(Q12)/SUM(Q$12:Q$16)</f>
        <v>#DIV/0!</v>
      </c>
      <c r="AM12" s="167" t="e">
        <f>SUM(R12)/SUM(R$12:R$16)</f>
        <v>#DIV/0!</v>
      </c>
      <c r="AN12" s="167" t="e">
        <f>SUM(S12)/SUM(S$12:S$16)</f>
        <v>#DIV/0!</v>
      </c>
      <c r="AO12" s="167" t="e">
        <f>SUM(T12)/SUM(T$12:T$16)</f>
        <v>#DIV/0!</v>
      </c>
    </row>
    <row r="13" spans="1:41" x14ac:dyDescent="0.15">
      <c r="B13" s="480"/>
      <c r="C13" s="129" t="s">
        <v>1002</v>
      </c>
      <c r="D13" s="370">
        <f>SUMIFS('caseload data'!E:E,'caseload data'!$D:$D,"PSO",'caseload data'!$A:$A,"East of England")</f>
        <v>0</v>
      </c>
      <c r="E13" s="94">
        <f>SUMIFS('caseload data'!F:F,'caseload data'!$D:$D,"PSO",'caseload data'!$A:$A,"East of England")</f>
        <v>0</v>
      </c>
      <c r="F13" s="94">
        <f>SUMIFS('caseload data'!G:G,'caseload data'!$D:$D,"PSO",'caseload data'!$A:$A,"East of England")</f>
        <v>0</v>
      </c>
      <c r="G13" s="94">
        <f>SUMIFS('caseload data'!H:H,'caseload data'!$D:$D,"PSO",'caseload data'!$A:$A,"East of England")</f>
        <v>0</v>
      </c>
      <c r="H13" s="94">
        <f>SUMIFS('caseload data'!I:I,'caseload data'!$D:$D,"PSO",'caseload data'!$A:$A,"East of England")</f>
        <v>0</v>
      </c>
      <c r="I13" s="94">
        <f>SUMIFS('caseload data'!J:J,'caseload data'!$D:$D,"PSO",'caseload data'!$A:$A,"East of England")</f>
        <v>0</v>
      </c>
      <c r="J13" s="94">
        <f>SUMIFS('caseload data'!K:K,'caseload data'!$D:$D,"PSO",'caseload data'!$A:$A,"East of England")</f>
        <v>0</v>
      </c>
      <c r="K13" s="94">
        <f>SUMIFS('caseload data'!L:L,'caseload data'!$D:$D,"PSO",'caseload data'!$A:$A,"East of England")</f>
        <v>0</v>
      </c>
      <c r="L13" s="94">
        <f>SUMIFS('caseload data'!M:M,'caseload data'!$D:$D,"PSO",'caseload data'!$A:$A,"East of England")</f>
        <v>0</v>
      </c>
      <c r="M13" s="94">
        <f>SUMIFS('caseload data'!N:N,'caseload data'!$D:$D,"PSO",'caseload data'!$A:$A,"East of England")</f>
        <v>0</v>
      </c>
      <c r="N13" s="94">
        <f>SUMIFS('caseload data'!O:O,'caseload data'!$D:$D,"PSO",'caseload data'!$A:$A,"East of England")</f>
        <v>0</v>
      </c>
      <c r="O13" s="94">
        <f>SUMIFS('caseload data'!P:P,'caseload data'!$D:$D,"PSO",'caseload data'!$A:$A,"East of England")</f>
        <v>0</v>
      </c>
      <c r="P13" s="94">
        <f>SUMIFS('caseload data'!Q:Q,'caseload data'!$D:$D,"PSO",'caseload data'!$A:$A,"East of England")</f>
        <v>0</v>
      </c>
      <c r="Q13" s="94">
        <f>SUMIFS('caseload data'!R:R,'caseload data'!$D:$D,"PSO",'caseload data'!$A:$A,"East of England")</f>
        <v>0</v>
      </c>
      <c r="R13" s="94">
        <f>SUMIFS('caseload data'!S:S,'caseload data'!$D:$D,"PSO",'caseload data'!$A:$A,"East of England")</f>
        <v>0</v>
      </c>
      <c r="S13" s="94">
        <f>SUMIFS('caseload data'!T:T,'caseload data'!$D:$D,"PSO",'caseload data'!$A:$A,"East of England")</f>
        <v>0</v>
      </c>
      <c r="T13" s="94">
        <f>SUMIFS('caseload data'!V:V,'caseload data'!$D:$D,"PSO",'caseload data'!$A:$A,"East of England")</f>
        <v>0</v>
      </c>
      <c r="U13" s="64"/>
      <c r="V13" s="64"/>
      <c r="W13" s="474"/>
      <c r="X13" s="129" t="s">
        <v>1002</v>
      </c>
      <c r="Y13" s="167" t="e">
        <f t="shared" ref="Y13:Y16" si="10">SUM(D13)/SUM(D$12:D$16)</f>
        <v>#DIV/0!</v>
      </c>
      <c r="Z13" s="167" t="e">
        <f t="shared" si="3"/>
        <v>#DIV/0!</v>
      </c>
      <c r="AA13" s="167" t="e">
        <f t="shared" si="3"/>
        <v>#DIV/0!</v>
      </c>
      <c r="AB13" s="167" t="e">
        <f t="shared" si="3"/>
        <v>#DIV/0!</v>
      </c>
      <c r="AC13" s="167" t="e">
        <f t="shared" si="3"/>
        <v>#DIV/0!</v>
      </c>
      <c r="AD13" s="167" t="e">
        <f t="shared" ref="AD13:AD16" si="11">SUM(I13)/SUM(I$12:I$16)</f>
        <v>#DIV/0!</v>
      </c>
      <c r="AE13" s="167" t="e">
        <f t="shared" si="4"/>
        <v>#DIV/0!</v>
      </c>
      <c r="AF13" s="167" t="e">
        <f t="shared" si="5"/>
        <v>#DIV/0!</v>
      </c>
      <c r="AG13" s="167" t="e">
        <f t="shared" si="6"/>
        <v>#DIV/0!</v>
      </c>
      <c r="AH13" s="167" t="e">
        <f t="shared" ref="AH13:AH16" si="12">SUM(M13)/SUM(M$12:M$16)</f>
        <v>#DIV/0!</v>
      </c>
      <c r="AI13" s="167" t="e">
        <f t="shared" ref="AI13:AI16" si="13">SUM(N13)/SUM(N$12:N$16)</f>
        <v>#DIV/0!</v>
      </c>
      <c r="AJ13" s="167" t="e">
        <f t="shared" si="7"/>
        <v>#DIV/0!</v>
      </c>
      <c r="AK13" s="167" t="e">
        <f t="shared" si="8"/>
        <v>#DIV/0!</v>
      </c>
      <c r="AL13" s="167" t="e">
        <f t="shared" si="9"/>
        <v>#DIV/0!</v>
      </c>
      <c r="AM13" s="167" t="e">
        <f t="shared" ref="AM13:AM16" si="14">SUM(R13)/SUM(R$12:R$16)</f>
        <v>#DIV/0!</v>
      </c>
      <c r="AN13" s="167" t="e">
        <f t="shared" ref="AN13:AO16" si="15">SUM(S13)/SUM(S$12:S$16)</f>
        <v>#DIV/0!</v>
      </c>
      <c r="AO13" s="167" t="e">
        <f t="shared" si="15"/>
        <v>#DIV/0!</v>
      </c>
    </row>
    <row r="14" spans="1:41" x14ac:dyDescent="0.15">
      <c r="B14" s="480"/>
      <c r="C14" s="129" t="s">
        <v>1003</v>
      </c>
      <c r="D14" s="370">
        <f>SUMIFS('caseload data'!E:E,'caseload data'!$D:$D,"TPO",'caseload data'!$A:$A,"East of England")</f>
        <v>0</v>
      </c>
      <c r="E14" s="94">
        <f>SUMIFS('caseload data'!F:F,'caseload data'!$D:$D,"TPO",'caseload data'!$A:$A,"East of England")</f>
        <v>0</v>
      </c>
      <c r="F14" s="94">
        <f>SUMIFS('caseload data'!G:G,'caseload data'!$D:$D,"TPO",'caseload data'!$A:$A,"East of England")</f>
        <v>0</v>
      </c>
      <c r="G14" s="94">
        <f>SUMIFS('caseload data'!H:H,'caseload data'!$D:$D,"TPO",'caseload data'!$A:$A,"East of England")</f>
        <v>0</v>
      </c>
      <c r="H14" s="94">
        <f>SUMIFS('caseload data'!I:I,'caseload data'!$D:$D,"TPO",'caseload data'!$A:$A,"East of England")</f>
        <v>0</v>
      </c>
      <c r="I14" s="94">
        <f>SUMIFS('caseload data'!J:J,'caseload data'!$D:$D,"TPO",'caseload data'!$A:$A,"East of England")</f>
        <v>0</v>
      </c>
      <c r="J14" s="94">
        <f>SUMIFS('caseload data'!K:K,'caseload data'!$D:$D,"TPO",'caseload data'!$A:$A,"East of England")</f>
        <v>0</v>
      </c>
      <c r="K14" s="94">
        <f>SUMIFS('caseload data'!L:L,'caseload data'!$D:$D,"TPO",'caseload data'!$A:$A,"East of England")</f>
        <v>0</v>
      </c>
      <c r="L14" s="94">
        <f>SUMIFS('caseload data'!M:M,'caseload data'!$D:$D,"TPO",'caseload data'!$A:$A,"East of England")</f>
        <v>0</v>
      </c>
      <c r="M14" s="94">
        <f>SUMIFS('caseload data'!N:N,'caseload data'!$D:$D,"TPO",'caseload data'!$A:$A,"East of England")</f>
        <v>0</v>
      </c>
      <c r="N14" s="94">
        <f>SUMIFS('caseload data'!O:O,'caseload data'!$D:$D,"TPO",'caseload data'!$A:$A,"East of England")</f>
        <v>0</v>
      </c>
      <c r="O14" s="94">
        <f>SUMIFS('caseload data'!P:P,'caseload data'!$D:$D,"TPO",'caseload data'!$A:$A,"East of England")</f>
        <v>0</v>
      </c>
      <c r="P14" s="94">
        <f>SUMIFS('caseload data'!Q:Q,'caseload data'!$D:$D,"TPO",'caseload data'!$A:$A,"East of England")</f>
        <v>0</v>
      </c>
      <c r="Q14" s="94">
        <f>SUMIFS('caseload data'!R:R,'caseload data'!$D:$D,"TPO",'caseload data'!$A:$A,"East of England")</f>
        <v>0</v>
      </c>
      <c r="R14" s="94">
        <f>SUMIFS('caseload data'!S:S,'caseload data'!$D:$D,"TPO",'caseload data'!$A:$A,"East of England")</f>
        <v>0</v>
      </c>
      <c r="S14" s="94">
        <f>SUMIFS('caseload data'!T:T,'caseload data'!$D:$D,"TPO",'caseload data'!$A:$A,"East of England")</f>
        <v>0</v>
      </c>
      <c r="T14" s="94">
        <f>SUMIFS('caseload data'!V:V,'caseload data'!$D:$D,"TPO",'caseload data'!$A:$A,"East of England")</f>
        <v>0</v>
      </c>
      <c r="U14" s="64"/>
      <c r="V14" s="64"/>
      <c r="W14" s="474"/>
      <c r="X14" s="129" t="s">
        <v>1003</v>
      </c>
      <c r="Y14" s="167" t="e">
        <f t="shared" si="10"/>
        <v>#DIV/0!</v>
      </c>
      <c r="Z14" s="167" t="e">
        <f t="shared" si="3"/>
        <v>#DIV/0!</v>
      </c>
      <c r="AA14" s="167" t="e">
        <f t="shared" si="3"/>
        <v>#DIV/0!</v>
      </c>
      <c r="AB14" s="167" t="e">
        <f t="shared" si="3"/>
        <v>#DIV/0!</v>
      </c>
      <c r="AC14" s="167" t="e">
        <f t="shared" si="3"/>
        <v>#DIV/0!</v>
      </c>
      <c r="AD14" s="167" t="e">
        <f t="shared" si="11"/>
        <v>#DIV/0!</v>
      </c>
      <c r="AE14" s="167" t="e">
        <f t="shared" si="4"/>
        <v>#DIV/0!</v>
      </c>
      <c r="AF14" s="167" t="e">
        <f t="shared" si="5"/>
        <v>#DIV/0!</v>
      </c>
      <c r="AG14" s="167" t="e">
        <f t="shared" si="6"/>
        <v>#DIV/0!</v>
      </c>
      <c r="AH14" s="167" t="e">
        <f t="shared" si="12"/>
        <v>#DIV/0!</v>
      </c>
      <c r="AI14" s="167" t="e">
        <f t="shared" si="13"/>
        <v>#DIV/0!</v>
      </c>
      <c r="AJ14" s="167" t="e">
        <f t="shared" si="7"/>
        <v>#DIV/0!</v>
      </c>
      <c r="AK14" s="167" t="e">
        <f t="shared" si="8"/>
        <v>#DIV/0!</v>
      </c>
      <c r="AL14" s="167" t="e">
        <f t="shared" si="9"/>
        <v>#DIV/0!</v>
      </c>
      <c r="AM14" s="167" t="e">
        <f t="shared" si="14"/>
        <v>#DIV/0!</v>
      </c>
      <c r="AN14" s="167" t="e">
        <f t="shared" si="15"/>
        <v>#DIV/0!</v>
      </c>
      <c r="AO14" s="167" t="e">
        <f t="shared" si="15"/>
        <v>#DIV/0!</v>
      </c>
    </row>
    <row r="15" spans="1:41" x14ac:dyDescent="0.15">
      <c r="B15" s="480"/>
      <c r="C15" s="129" t="s">
        <v>1004</v>
      </c>
      <c r="D15" s="370">
        <f>SUMIFS('caseload data'!E:E,'caseload data'!$D:$D,"SPO",'caseload data'!$A:$A,"East of England")</f>
        <v>0</v>
      </c>
      <c r="E15" s="94">
        <f>SUMIFS('caseload data'!F:F,'caseload data'!$D:$D,"SPO",'caseload data'!$A:$A,"East of England")</f>
        <v>0</v>
      </c>
      <c r="F15" s="94">
        <f>SUMIFS('caseload data'!$G:$G,'caseload data'!$D:$D,"SPO",'caseload data'!$A:$A,"East of England")</f>
        <v>0</v>
      </c>
      <c r="G15" s="94">
        <f>SUMIFS('caseload data'!H:H,'caseload data'!$D:$D,"SPO",'caseload data'!$A:$A,"East of England")</f>
        <v>0</v>
      </c>
      <c r="H15" s="94">
        <f>SUMIFS('caseload data'!I:I,'caseload data'!$D:$D,"SPO",'caseload data'!$A:$A,"East of England")</f>
        <v>0</v>
      </c>
      <c r="I15" s="94">
        <f>SUMIFS('caseload data'!J:J,'caseload data'!$D:$D,"SPO",'caseload data'!$A:$A,"East of England")</f>
        <v>0</v>
      </c>
      <c r="J15" s="94">
        <f>SUMIFS('caseload data'!K:K,'caseload data'!$D:$D,"SPO",'caseload data'!$A:$A,"East of England")</f>
        <v>0</v>
      </c>
      <c r="K15" s="94">
        <f>SUMIFS('caseload data'!L:L,'caseload data'!$D:$D,"SPO",'caseload data'!$A:$A,"East of England")</f>
        <v>0</v>
      </c>
      <c r="L15" s="94">
        <f>SUMIFS('caseload data'!M:M,'caseload data'!$D:$D,"SPO",'caseload data'!$A:$A,"East of England")</f>
        <v>0</v>
      </c>
      <c r="M15" s="94">
        <f>SUMIFS('caseload data'!N:N,'caseload data'!$D:$D,"SPO",'caseload data'!$A:$A,"East of England")</f>
        <v>0</v>
      </c>
      <c r="N15" s="94">
        <f>SUMIFS('caseload data'!O:O,'caseload data'!$D:$D,"SPO",'caseload data'!$A:$A,"East of England")</f>
        <v>0</v>
      </c>
      <c r="O15" s="94">
        <f>SUMIFS('caseload data'!P:P,'caseload data'!$D:$D,"SPO",'caseload data'!$A:$A,"East of England")</f>
        <v>0</v>
      </c>
      <c r="P15" s="94">
        <f>SUMIFS('caseload data'!Q:Q,'caseload data'!$D:$D,"SPO",'caseload data'!$A:$A,"East of England")</f>
        <v>0</v>
      </c>
      <c r="Q15" s="94">
        <f>SUMIFS('caseload data'!R:R,'caseload data'!$D:$D,"SPO",'caseload data'!$A:$A,"East of England")</f>
        <v>0</v>
      </c>
      <c r="R15" s="94">
        <f>SUMIFS('caseload data'!S:S,'caseload data'!$D:$D,"SPO",'caseload data'!$A:$A,"East of England")</f>
        <v>0</v>
      </c>
      <c r="S15" s="94">
        <f>SUMIFS('caseload data'!T:T,'caseload data'!$D:$D,"SPO",'caseload data'!$A:$A,"East of England")</f>
        <v>0</v>
      </c>
      <c r="T15" s="94">
        <f>SUMIFS('caseload data'!V:V,'caseload data'!$D:$D,"SPO",'caseload data'!$A:$A,"East of England")</f>
        <v>0</v>
      </c>
      <c r="U15" s="64"/>
      <c r="V15" s="64"/>
      <c r="W15" s="474"/>
      <c r="X15" s="129" t="s">
        <v>1004</v>
      </c>
      <c r="Y15" s="167" t="e">
        <f t="shared" si="10"/>
        <v>#DIV/0!</v>
      </c>
      <c r="Z15" s="167" t="e">
        <f t="shared" si="3"/>
        <v>#DIV/0!</v>
      </c>
      <c r="AA15" s="167" t="e">
        <f t="shared" si="3"/>
        <v>#DIV/0!</v>
      </c>
      <c r="AB15" s="167" t="e">
        <f t="shared" si="3"/>
        <v>#DIV/0!</v>
      </c>
      <c r="AC15" s="167" t="e">
        <f t="shared" si="3"/>
        <v>#DIV/0!</v>
      </c>
      <c r="AD15" s="167" t="e">
        <f t="shared" si="11"/>
        <v>#DIV/0!</v>
      </c>
      <c r="AE15" s="167" t="e">
        <f t="shared" si="4"/>
        <v>#DIV/0!</v>
      </c>
      <c r="AF15" s="167" t="e">
        <f t="shared" si="5"/>
        <v>#DIV/0!</v>
      </c>
      <c r="AG15" s="167" t="e">
        <f t="shared" si="6"/>
        <v>#DIV/0!</v>
      </c>
      <c r="AH15" s="167" t="e">
        <f t="shared" si="12"/>
        <v>#DIV/0!</v>
      </c>
      <c r="AI15" s="167" t="e">
        <f t="shared" si="13"/>
        <v>#DIV/0!</v>
      </c>
      <c r="AJ15" s="167" t="e">
        <f t="shared" si="7"/>
        <v>#DIV/0!</v>
      </c>
      <c r="AK15" s="167" t="e">
        <f t="shared" si="8"/>
        <v>#DIV/0!</v>
      </c>
      <c r="AL15" s="167" t="e">
        <f t="shared" si="9"/>
        <v>#DIV/0!</v>
      </c>
      <c r="AM15" s="167" t="e">
        <f t="shared" si="14"/>
        <v>#DIV/0!</v>
      </c>
      <c r="AN15" s="167" t="e">
        <f t="shared" si="15"/>
        <v>#DIV/0!</v>
      </c>
      <c r="AO15" s="167" t="e">
        <f t="shared" si="15"/>
        <v>#DIV/0!</v>
      </c>
    </row>
    <row r="16" spans="1:41" x14ac:dyDescent="0.15">
      <c r="B16" s="481"/>
      <c r="C16" s="130" t="s">
        <v>1339</v>
      </c>
      <c r="D16" s="370">
        <f>SUMIFS('caseload data'!E:E,'caseload data'!$D:$D,"DMY",'caseload data'!$A:$A,"East of England")</f>
        <v>0</v>
      </c>
      <c r="E16" s="94">
        <f>SUMIFS('caseload data'!F:F,'caseload data'!$D:$D,"DMY",'caseload data'!$A:$A,"East of England")</f>
        <v>0</v>
      </c>
      <c r="F16" s="94">
        <f>SUMIFS('caseload data'!G:G,'caseload data'!$D:$D,"DMY",'caseload data'!$A:$A,"East of England")</f>
        <v>0</v>
      </c>
      <c r="G16" s="94">
        <f>SUMIFS('caseload data'!H:H,'caseload data'!$D:$D,"DMY",'caseload data'!$A:$A,"East of England")</f>
        <v>0</v>
      </c>
      <c r="H16" s="94">
        <f>SUMIFS('caseload data'!I:I,'caseload data'!$D:$D,"DMY",'caseload data'!$A:$A,"East of England")</f>
        <v>0</v>
      </c>
      <c r="I16" s="94">
        <f>SUMIFS('caseload data'!J:J,'caseload data'!$D:$D,"DMY",'caseload data'!$A:$A,"East of England")</f>
        <v>0</v>
      </c>
      <c r="J16" s="94">
        <f>SUMIFS('caseload data'!K:K,'caseload data'!$D:$D,"DMY",'caseload data'!$A:$A,"East of England")</f>
        <v>0</v>
      </c>
      <c r="K16" s="94">
        <f>SUMIFS('caseload data'!L:L,'caseload data'!$D:$D,"DMY",'caseload data'!$A:$A,"East of England")</f>
        <v>0</v>
      </c>
      <c r="L16" s="94">
        <f>SUMIFS('caseload data'!M:M,'caseload data'!$D:$D,"DMY",'caseload data'!$A:$A,"East of England")</f>
        <v>0</v>
      </c>
      <c r="M16" s="94">
        <f>SUMIFS('caseload data'!N:N,'caseload data'!$D:$D,"DMY",'caseload data'!$A:$A,"East of England")</f>
        <v>0</v>
      </c>
      <c r="N16" s="94">
        <f>SUMIFS('caseload data'!O:O,'caseload data'!$D:$D,"DMY",'caseload data'!$A:$A,"East of England")</f>
        <v>0</v>
      </c>
      <c r="O16" s="94">
        <f>SUMIFS('caseload data'!P:P,'caseload data'!$D:$D,"DMY",'caseload data'!$A:$A,"East of England")</f>
        <v>0</v>
      </c>
      <c r="P16" s="94">
        <f>SUMIFS('caseload data'!Q:Q,'caseload data'!$D:$D,"DMY",'caseload data'!$A:$A,"East of England")</f>
        <v>0</v>
      </c>
      <c r="Q16" s="94">
        <f>SUMIFS('caseload data'!R:R,'caseload data'!$D:$D,"DMY",'caseload data'!$A:$A,"East of England")</f>
        <v>0</v>
      </c>
      <c r="R16" s="94">
        <f>SUMIFS('caseload data'!S:S,'caseload data'!$D:$D,"DMY",'caseload data'!$A:$A,"East of England")</f>
        <v>0</v>
      </c>
      <c r="S16" s="94">
        <f>SUMIFS('caseload data'!T:T,'caseload data'!$D:$D,"DMY",'caseload data'!$A:$A,"East of England")</f>
        <v>0</v>
      </c>
      <c r="T16" s="94">
        <f>SUMIFS('caseload data'!V:V,'caseload data'!$D:$D,"DMY",'caseload data'!$A:$A,"East of England")</f>
        <v>0</v>
      </c>
      <c r="U16" s="64"/>
      <c r="V16" s="64"/>
      <c r="W16" s="475"/>
      <c r="X16" s="130" t="s">
        <v>1339</v>
      </c>
      <c r="Y16" s="167" t="e">
        <f t="shared" si="10"/>
        <v>#DIV/0!</v>
      </c>
      <c r="Z16" s="167" t="e">
        <f t="shared" si="3"/>
        <v>#DIV/0!</v>
      </c>
      <c r="AA16" s="167" t="e">
        <f t="shared" si="3"/>
        <v>#DIV/0!</v>
      </c>
      <c r="AB16" s="167" t="e">
        <f t="shared" si="3"/>
        <v>#DIV/0!</v>
      </c>
      <c r="AC16" s="167" t="e">
        <f t="shared" si="3"/>
        <v>#DIV/0!</v>
      </c>
      <c r="AD16" s="167" t="e">
        <f t="shared" si="11"/>
        <v>#DIV/0!</v>
      </c>
      <c r="AE16" s="167" t="e">
        <f t="shared" si="4"/>
        <v>#DIV/0!</v>
      </c>
      <c r="AF16" s="167" t="e">
        <f t="shared" si="5"/>
        <v>#DIV/0!</v>
      </c>
      <c r="AG16" s="167" t="e">
        <f t="shared" si="6"/>
        <v>#DIV/0!</v>
      </c>
      <c r="AH16" s="167" t="e">
        <f t="shared" si="12"/>
        <v>#DIV/0!</v>
      </c>
      <c r="AI16" s="167" t="e">
        <f t="shared" si="13"/>
        <v>#DIV/0!</v>
      </c>
      <c r="AJ16" s="167" t="e">
        <f t="shared" si="7"/>
        <v>#DIV/0!</v>
      </c>
      <c r="AK16" s="167" t="e">
        <f t="shared" si="8"/>
        <v>#DIV/0!</v>
      </c>
      <c r="AL16" s="167" t="e">
        <f t="shared" si="9"/>
        <v>#DIV/0!</v>
      </c>
      <c r="AM16" s="167" t="e">
        <f t="shared" si="14"/>
        <v>#DIV/0!</v>
      </c>
      <c r="AN16" s="167" t="e">
        <f t="shared" si="15"/>
        <v>#DIV/0!</v>
      </c>
      <c r="AO16" s="167" t="e">
        <f t="shared" si="15"/>
        <v>#DIV/0!</v>
      </c>
    </row>
    <row r="17" spans="2:41" x14ac:dyDescent="0.15">
      <c r="B17" s="479" t="s">
        <v>19</v>
      </c>
      <c r="C17" s="128" t="s">
        <v>997</v>
      </c>
      <c r="D17" s="370">
        <f>SUMIFS('caseload data'!E:E,'caseload data'!$D:$D,"PO",'caseload data'!$A:$A,'national caseload'!$B$17:$B$19)</f>
        <v>0</v>
      </c>
      <c r="E17" s="94">
        <f>SUMIFS('caseload data'!F:F,'caseload data'!$D:$D,"PO",'caseload data'!$A:$A,'national caseload'!$B$17:$B$19)</f>
        <v>0</v>
      </c>
      <c r="F17" s="94">
        <f>SUMIFS('caseload data'!G:G,'caseload data'!$D:$D,"PO",'caseload data'!$A:$A,'national caseload'!$B$17:$B$19)</f>
        <v>0</v>
      </c>
      <c r="G17" s="94">
        <f>SUMIFS('caseload data'!H:H,'caseload data'!$D:$D,"PO",'caseload data'!$A:$A,'national caseload'!$B$17:$B$19)</f>
        <v>0</v>
      </c>
      <c r="H17" s="94">
        <f>SUMIFS('caseload data'!I:I,'caseload data'!$D:$D,"PO",'caseload data'!$A:$A,'national caseload'!$B$17:$B$19)</f>
        <v>0</v>
      </c>
      <c r="I17" s="94">
        <f>SUMIFS('caseload data'!J:J,'caseload data'!$D:$D,"PO",'caseload data'!$A:$A,'national caseload'!$B$17:$B$19)</f>
        <v>0</v>
      </c>
      <c r="J17" s="94">
        <f>SUMIFS('caseload data'!K:K,'caseload data'!$D:$D,"PO",'caseload data'!$A:$A,'national caseload'!$B$17:$B$19)</f>
        <v>0</v>
      </c>
      <c r="K17" s="94">
        <f>SUMIFS('caseload data'!L:L,'caseload data'!$D:$D,"PO",'caseload data'!$A:$A,'national caseload'!$B$17:$B$19)</f>
        <v>0</v>
      </c>
      <c r="L17" s="94">
        <f>SUMIFS('caseload data'!M:M,'caseload data'!$D:$D,"PO",'caseload data'!$A:$A,'national caseload'!$B$17:$B$19)</f>
        <v>0</v>
      </c>
      <c r="M17" s="94">
        <f>SUMIFS('caseload data'!N:N,'caseload data'!$D:$D,"PO",'caseload data'!$A:$A,'national caseload'!$B$17:$B$19)</f>
        <v>0</v>
      </c>
      <c r="N17" s="94">
        <f>SUMIFS('caseload data'!O:O,'caseload data'!$D:$D,"PO",'caseload data'!$A:$A,'national caseload'!$B$17:$B$19)</f>
        <v>0</v>
      </c>
      <c r="O17" s="94">
        <f>SUMIFS('caseload data'!P:P,'caseload data'!$D:$D,"PO",'caseload data'!$A:$A,'national caseload'!$B$17:$B$19)</f>
        <v>0</v>
      </c>
      <c r="P17" s="94">
        <f>SUMIFS('caseload data'!Q:Q,'caseload data'!$D:$D,"PO",'caseload data'!$A:$A,'national caseload'!$B$17:$B$19)</f>
        <v>0</v>
      </c>
      <c r="Q17" s="94">
        <f>SUMIFS('caseload data'!R:R,'caseload data'!$D:$D,"PO",'caseload data'!$A:$A,'national caseload'!$B$17:$B$19)</f>
        <v>0</v>
      </c>
      <c r="R17" s="94">
        <f>SUMIFS('caseload data'!S:S,'caseload data'!$D:$D,"PO",'caseload data'!$A:$A,'national caseload'!$B$17:$B$19)</f>
        <v>0</v>
      </c>
      <c r="S17" s="94">
        <f>SUMIFS('caseload data'!T:T,'caseload data'!$D:$D,"PO",'caseload data'!$A:$A,'national caseload'!$B$17:$B$19)</f>
        <v>0</v>
      </c>
      <c r="T17" s="94">
        <f>SUMIFS('caseload data'!V:V,'caseload data'!$D:$D,"PO",'caseload data'!$A:$A,'national caseload'!B17:B19)</f>
        <v>0</v>
      </c>
      <c r="U17" s="64"/>
      <c r="V17" s="64"/>
      <c r="W17" s="473" t="s">
        <v>19</v>
      </c>
      <c r="X17" s="128" t="s">
        <v>997</v>
      </c>
      <c r="Y17" s="167" t="e">
        <f>SUM(D17)/SUM(D$17:D$21)</f>
        <v>#DIV/0!</v>
      </c>
      <c r="Z17" s="167" t="e">
        <f>SUM(E17)/SUM(E$17:E$21)</f>
        <v>#DIV/0!</v>
      </c>
      <c r="AA17" s="167" t="e">
        <f t="shared" ref="AA17:AO21" si="16">SUM(F17)/SUM(F$17:F$21)</f>
        <v>#DIV/0!</v>
      </c>
      <c r="AB17" s="167" t="e">
        <f t="shared" si="16"/>
        <v>#DIV/0!</v>
      </c>
      <c r="AC17" s="167" t="e">
        <f t="shared" si="16"/>
        <v>#DIV/0!</v>
      </c>
      <c r="AD17" s="167" t="e">
        <f t="shared" si="16"/>
        <v>#DIV/0!</v>
      </c>
      <c r="AE17" s="167" t="e">
        <f t="shared" si="16"/>
        <v>#DIV/0!</v>
      </c>
      <c r="AF17" s="167" t="e">
        <f t="shared" si="16"/>
        <v>#DIV/0!</v>
      </c>
      <c r="AG17" s="167" t="e">
        <f t="shared" si="16"/>
        <v>#DIV/0!</v>
      </c>
      <c r="AH17" s="167" t="e">
        <f t="shared" si="16"/>
        <v>#DIV/0!</v>
      </c>
      <c r="AI17" s="167" t="e">
        <f t="shared" si="16"/>
        <v>#DIV/0!</v>
      </c>
      <c r="AJ17" s="167" t="e">
        <f t="shared" si="16"/>
        <v>#DIV/0!</v>
      </c>
      <c r="AK17" s="167" t="e">
        <f t="shared" si="16"/>
        <v>#DIV/0!</v>
      </c>
      <c r="AL17" s="167" t="e">
        <f t="shared" si="16"/>
        <v>#DIV/0!</v>
      </c>
      <c r="AM17" s="167" t="e">
        <f t="shared" si="16"/>
        <v>#DIV/0!</v>
      </c>
      <c r="AN17" s="167" t="e">
        <f t="shared" si="16"/>
        <v>#DIV/0!</v>
      </c>
      <c r="AO17" s="167" t="e">
        <f t="shared" si="16"/>
        <v>#DIV/0!</v>
      </c>
    </row>
    <row r="18" spans="2:41" x14ac:dyDescent="0.15">
      <c r="B18" s="480"/>
      <c r="C18" s="129" t="s">
        <v>1002</v>
      </c>
      <c r="D18" s="370">
        <f>SUMIFS('caseload data'!E:E,'caseload data'!$D:$D,"PSO",'caseload data'!$A:$A,"Greater Manchester")</f>
        <v>0</v>
      </c>
      <c r="E18" s="94">
        <f>SUMIFS('caseload data'!F:F,'caseload data'!$D:$D,"PSO",'caseload data'!$A:$A,"Greater Manchester")</f>
        <v>0</v>
      </c>
      <c r="F18" s="94">
        <f>SUMIFS('caseload data'!G:G,'caseload data'!$D:$D,"PSO",'caseload data'!$A:$A,"Greater Manchester")</f>
        <v>0</v>
      </c>
      <c r="G18" s="94">
        <f>SUMIFS('caseload data'!H:H,'caseload data'!$D:$D,"PSO",'caseload data'!$A:$A,"Greater Manchester")</f>
        <v>0</v>
      </c>
      <c r="H18" s="94">
        <f>SUMIFS('caseload data'!I:I,'caseload data'!$D:$D,"PSO",'caseload data'!$A:$A,"Greater Manchester")</f>
        <v>0</v>
      </c>
      <c r="I18" s="94">
        <f>SUMIFS('caseload data'!J:J,'caseload data'!$D:$D,"PSO",'caseload data'!$A:$A,"Greater Manchester")</f>
        <v>0</v>
      </c>
      <c r="J18" s="94">
        <f>SUMIFS('caseload data'!K:K,'caseload data'!$D:$D,"PSO",'caseload data'!$A:$A,"Greater Manchester")</f>
        <v>0</v>
      </c>
      <c r="K18" s="94">
        <f>SUMIFS('caseload data'!L:L,'caseload data'!$D:$D,"PSO",'caseload data'!$A:$A,"Greater Manchester")</f>
        <v>0</v>
      </c>
      <c r="L18" s="94">
        <f>SUMIFS('caseload data'!M:M,'caseload data'!$D:$D,"PSO",'caseload data'!$A:$A,"Greater Manchester")</f>
        <v>0</v>
      </c>
      <c r="M18" s="94">
        <f>SUMIFS('caseload data'!N:N,'caseload data'!$D:$D,"PSO",'caseload data'!$A:$A,"Greater Manchester")</f>
        <v>0</v>
      </c>
      <c r="N18" s="94">
        <f>SUMIFS('caseload data'!O:O,'caseload data'!$D:$D,"PSO",'caseload data'!$A:$A,"Greater Manchester")</f>
        <v>0</v>
      </c>
      <c r="O18" s="94">
        <f>SUMIFS('caseload data'!P:P,'caseload data'!$D:$D,"PSO",'caseload data'!$A:$A,"Greater Manchester")</f>
        <v>0</v>
      </c>
      <c r="P18" s="94">
        <f>SUMIFS('caseload data'!Q:Q,'caseload data'!$D:$D,"PSO",'caseload data'!$A:$A,"Greater Manchester")</f>
        <v>0</v>
      </c>
      <c r="Q18" s="94">
        <f>SUMIFS('caseload data'!R:R,'caseload data'!$D:$D,"PSO",'caseload data'!$A:$A,"Greater Manchester")</f>
        <v>0</v>
      </c>
      <c r="R18" s="94">
        <f>SUMIFS('caseload data'!S:S,'caseload data'!$D:$D,"PSO",'caseload data'!$A:$A,"Greater Manchester")</f>
        <v>0</v>
      </c>
      <c r="S18" s="94">
        <f>SUMIFS('caseload data'!T:T,'caseload data'!$D:$D,"PSO",'caseload data'!$A:$A,"Greater Manchester")</f>
        <v>0</v>
      </c>
      <c r="T18" s="94">
        <f>SUMIFS('caseload data'!V:V,'caseload data'!$D:$D,"PSO",'caseload data'!$A:$A,"Greater Manchester")</f>
        <v>0</v>
      </c>
      <c r="U18" s="64"/>
      <c r="V18" s="64"/>
      <c r="W18" s="474"/>
      <c r="X18" s="129" t="s">
        <v>1002</v>
      </c>
      <c r="Y18" s="167" t="e">
        <f t="shared" ref="Y18:Z21" si="17">SUM(D18)/SUM(D$17:D$21)</f>
        <v>#DIV/0!</v>
      </c>
      <c r="Z18" s="167" t="e">
        <f t="shared" si="17"/>
        <v>#DIV/0!</v>
      </c>
      <c r="AA18" s="167" t="e">
        <f t="shared" si="16"/>
        <v>#DIV/0!</v>
      </c>
      <c r="AB18" s="167" t="e">
        <f t="shared" si="16"/>
        <v>#DIV/0!</v>
      </c>
      <c r="AC18" s="167" t="e">
        <f t="shared" si="16"/>
        <v>#DIV/0!</v>
      </c>
      <c r="AD18" s="167" t="e">
        <f t="shared" si="16"/>
        <v>#DIV/0!</v>
      </c>
      <c r="AE18" s="167" t="e">
        <f t="shared" si="16"/>
        <v>#DIV/0!</v>
      </c>
      <c r="AF18" s="167" t="e">
        <f t="shared" si="16"/>
        <v>#DIV/0!</v>
      </c>
      <c r="AG18" s="167" t="e">
        <f t="shared" si="16"/>
        <v>#DIV/0!</v>
      </c>
      <c r="AH18" s="167" t="e">
        <f t="shared" si="16"/>
        <v>#DIV/0!</v>
      </c>
      <c r="AI18" s="167" t="e">
        <f t="shared" si="16"/>
        <v>#DIV/0!</v>
      </c>
      <c r="AJ18" s="167" t="e">
        <f t="shared" si="16"/>
        <v>#DIV/0!</v>
      </c>
      <c r="AK18" s="167" t="e">
        <f t="shared" si="16"/>
        <v>#DIV/0!</v>
      </c>
      <c r="AL18" s="167" t="e">
        <f t="shared" si="16"/>
        <v>#DIV/0!</v>
      </c>
      <c r="AM18" s="167" t="e">
        <f t="shared" si="16"/>
        <v>#DIV/0!</v>
      </c>
      <c r="AN18" s="167" t="e">
        <f t="shared" si="16"/>
        <v>#DIV/0!</v>
      </c>
      <c r="AO18" s="167" t="e">
        <f t="shared" si="16"/>
        <v>#DIV/0!</v>
      </c>
    </row>
    <row r="19" spans="2:41" x14ac:dyDescent="0.15">
      <c r="B19" s="480"/>
      <c r="C19" s="129" t="s">
        <v>1003</v>
      </c>
      <c r="D19" s="370">
        <f>SUMIFS('caseload data'!E:E,'caseload data'!$D:$D,"TPO",'caseload data'!$A:$A,"Greater Manchester")</f>
        <v>0</v>
      </c>
      <c r="E19" s="94">
        <f>SUMIFS('caseload data'!F:F,'caseload data'!$D:$D,"TPO",'caseload data'!$A:$A,"Greater Manchester")</f>
        <v>0</v>
      </c>
      <c r="F19" s="94">
        <f>SUMIFS('caseload data'!G:G,'caseload data'!$D:$D,"TPO",'caseload data'!$A:$A,"Greater Manchester")</f>
        <v>0</v>
      </c>
      <c r="G19" s="94">
        <f>SUMIFS('caseload data'!H:H,'caseload data'!$D:$D,"TPO",'caseload data'!$A:$A,"Greater Manchester")</f>
        <v>0</v>
      </c>
      <c r="H19" s="94">
        <f>SUMIFS('caseload data'!I:I,'caseload data'!$D:$D,"TPO",'caseload data'!$A:$A,"Greater Manchester")</f>
        <v>0</v>
      </c>
      <c r="I19" s="94">
        <f>SUMIFS('caseload data'!J:J,'caseload data'!$D:$D,"TPO",'caseload data'!$A:$A,"Greater Manchester")</f>
        <v>0</v>
      </c>
      <c r="J19" s="94">
        <f>SUMIFS('caseload data'!K:K,'caseload data'!$D:$D,"TPO",'caseload data'!$A:$A,"Greater Manchester")</f>
        <v>0</v>
      </c>
      <c r="K19" s="94">
        <f>SUMIFS('caseload data'!L:L,'caseload data'!$D:$D,"TPO",'caseload data'!$A:$A,"Greater Manchester")</f>
        <v>0</v>
      </c>
      <c r="L19" s="94">
        <f>SUMIFS('caseload data'!M:M,'caseload data'!$D:$D,"TPO",'caseload data'!$A:$A,"Greater Manchester")</f>
        <v>0</v>
      </c>
      <c r="M19" s="94">
        <f>SUMIFS('caseload data'!N:N,'caseload data'!$D:$D,"TPO",'caseload data'!$A:$A,"Greater Manchester")</f>
        <v>0</v>
      </c>
      <c r="N19" s="94">
        <f>SUMIFS('caseload data'!O:O,'caseload data'!$D:$D,"TPO",'caseload data'!$A:$A,"Greater Manchester")</f>
        <v>0</v>
      </c>
      <c r="O19" s="94">
        <f>SUMIFS('caseload data'!P:P,'caseload data'!$D:$D,"TPO",'caseload data'!$A:$A,"Greater Manchester")</f>
        <v>0</v>
      </c>
      <c r="P19" s="94">
        <f>SUMIFS('caseload data'!Q:Q,'caseload data'!$D:$D,"TPO",'caseload data'!$A:$A,"Greater Manchester")</f>
        <v>0</v>
      </c>
      <c r="Q19" s="94">
        <f>SUMIFS('caseload data'!R:R,'caseload data'!$D:$D,"TPO",'caseload data'!$A:$A,"Greater Manchester")</f>
        <v>0</v>
      </c>
      <c r="R19" s="94">
        <f>SUMIFS('caseload data'!S:S,'caseload data'!$D:$D,"TPO",'caseload data'!$A:$A,"Greater Manchester")</f>
        <v>0</v>
      </c>
      <c r="S19" s="94">
        <f>SUMIFS('caseload data'!T:T,'caseload data'!$D:$D,"TPO",'caseload data'!$A:$A,"Greater Manchester")</f>
        <v>0</v>
      </c>
      <c r="T19" s="94">
        <f>SUMIFS('caseload data'!V:V,'caseload data'!$D:$D,"TPO",'caseload data'!$A:$A,"Greater Manchester")</f>
        <v>0</v>
      </c>
      <c r="U19" s="64"/>
      <c r="V19" s="64"/>
      <c r="W19" s="474"/>
      <c r="X19" s="129" t="s">
        <v>1003</v>
      </c>
      <c r="Y19" s="167" t="e">
        <f t="shared" si="17"/>
        <v>#DIV/0!</v>
      </c>
      <c r="Z19" s="167" t="e">
        <f t="shared" si="17"/>
        <v>#DIV/0!</v>
      </c>
      <c r="AA19" s="167" t="e">
        <f t="shared" si="16"/>
        <v>#DIV/0!</v>
      </c>
      <c r="AB19" s="167" t="e">
        <f t="shared" si="16"/>
        <v>#DIV/0!</v>
      </c>
      <c r="AC19" s="167" t="e">
        <f t="shared" si="16"/>
        <v>#DIV/0!</v>
      </c>
      <c r="AD19" s="167" t="e">
        <f t="shared" si="16"/>
        <v>#DIV/0!</v>
      </c>
      <c r="AE19" s="167" t="e">
        <f t="shared" si="16"/>
        <v>#DIV/0!</v>
      </c>
      <c r="AF19" s="167" t="e">
        <f t="shared" si="16"/>
        <v>#DIV/0!</v>
      </c>
      <c r="AG19" s="167" t="e">
        <f t="shared" si="16"/>
        <v>#DIV/0!</v>
      </c>
      <c r="AH19" s="167" t="e">
        <f t="shared" si="16"/>
        <v>#DIV/0!</v>
      </c>
      <c r="AI19" s="167" t="e">
        <f t="shared" si="16"/>
        <v>#DIV/0!</v>
      </c>
      <c r="AJ19" s="167" t="e">
        <f t="shared" si="16"/>
        <v>#DIV/0!</v>
      </c>
      <c r="AK19" s="167" t="e">
        <f t="shared" si="16"/>
        <v>#DIV/0!</v>
      </c>
      <c r="AL19" s="167" t="e">
        <f t="shared" si="16"/>
        <v>#DIV/0!</v>
      </c>
      <c r="AM19" s="167" t="e">
        <f t="shared" si="16"/>
        <v>#DIV/0!</v>
      </c>
      <c r="AN19" s="167" t="e">
        <f t="shared" si="16"/>
        <v>#DIV/0!</v>
      </c>
      <c r="AO19" s="167" t="e">
        <f t="shared" si="16"/>
        <v>#DIV/0!</v>
      </c>
    </row>
    <row r="20" spans="2:41" x14ac:dyDescent="0.15">
      <c r="B20" s="480"/>
      <c r="C20" s="129" t="s">
        <v>1004</v>
      </c>
      <c r="D20" s="370">
        <f>SUMIFS('caseload data'!E:E,'caseload data'!$D:$D,"SPO",'caseload data'!$A:$A,"Greater Manchester")</f>
        <v>0</v>
      </c>
      <c r="E20" s="94">
        <f>SUMIFS('caseload data'!F:F,'caseload data'!$D:$D,"SPO",'caseload data'!$A:$A,"Greater Manchester")</f>
        <v>0</v>
      </c>
      <c r="F20" s="94">
        <f>SUMIFS('caseload data'!G:G,'caseload data'!$D:$D,"SPO",'caseload data'!$A:$A,"Greater Manchester")</f>
        <v>0</v>
      </c>
      <c r="G20" s="94">
        <f>SUMIFS('caseload data'!H:H,'caseload data'!$D:$D,"SPO",'caseload data'!$A:$A,"Greater Manchester")</f>
        <v>0</v>
      </c>
      <c r="H20" s="94">
        <f>SUMIFS('caseload data'!I:I,'caseload data'!$D:$D,"SPO",'caseload data'!$A:$A,"Greater Manchester")</f>
        <v>0</v>
      </c>
      <c r="I20" s="94">
        <f>SUMIFS('caseload data'!J:J,'caseload data'!$D:$D,"SPO",'caseload data'!$A:$A,"Greater Manchester")</f>
        <v>0</v>
      </c>
      <c r="J20" s="94">
        <f>SUMIFS('caseload data'!K:K,'caseload data'!$D:$D,"SPO",'caseload data'!$A:$A,"Greater Manchester")</f>
        <v>0</v>
      </c>
      <c r="K20" s="94">
        <f>SUMIFS('caseload data'!L:L,'caseload data'!$D:$D,"SPO",'caseload data'!$A:$A,"Greater Manchester")</f>
        <v>0</v>
      </c>
      <c r="L20" s="94">
        <f>SUMIFS('caseload data'!M:M,'caseload data'!$D:$D,"SPO",'caseload data'!$A:$A,"Greater Manchester")</f>
        <v>0</v>
      </c>
      <c r="M20" s="94">
        <f>SUMIFS('caseload data'!N:N,'caseload data'!$D:$D,"SPO",'caseload data'!$A:$A,"Greater Manchester")</f>
        <v>0</v>
      </c>
      <c r="N20" s="94">
        <f>SUMIFS('caseload data'!O:O,'caseload data'!$D:$D,"SPO",'caseload data'!$A:$A,"Greater Manchester")</f>
        <v>0</v>
      </c>
      <c r="O20" s="94">
        <f>SUMIFS('caseload data'!P:P,'caseload data'!$D:$D,"SPO",'caseload data'!$A:$A,"Greater Manchester")</f>
        <v>0</v>
      </c>
      <c r="P20" s="94">
        <f>SUMIFS('caseload data'!Q:Q,'caseload data'!$D:$D,"SPO",'caseload data'!$A:$A,"Greater Manchester")</f>
        <v>0</v>
      </c>
      <c r="Q20" s="94">
        <f>SUMIFS('caseload data'!R:R,'caseload data'!$D:$D,"SPO",'caseload data'!$A:$A,"Greater Manchester")</f>
        <v>0</v>
      </c>
      <c r="R20" s="94">
        <f>SUMIFS('caseload data'!S:S,'caseload data'!$D:$D,"SPO",'caseload data'!$A:$A,"Greater Manchester")</f>
        <v>0</v>
      </c>
      <c r="S20" s="94">
        <f>SUMIFS('caseload data'!T:T,'caseload data'!$D:$D,"SPO",'caseload data'!$A:$A,"Greater Manchester")</f>
        <v>0</v>
      </c>
      <c r="T20" s="94">
        <f>SUMIFS('caseload data'!V:V,'caseload data'!$D:$D,"SPO",'caseload data'!$A:$A,"Greater Manchester")</f>
        <v>0</v>
      </c>
      <c r="U20" s="64"/>
      <c r="V20" s="64"/>
      <c r="W20" s="474"/>
      <c r="X20" s="129" t="s">
        <v>1004</v>
      </c>
      <c r="Y20" s="167" t="e">
        <f t="shared" si="17"/>
        <v>#DIV/0!</v>
      </c>
      <c r="Z20" s="167" t="e">
        <f t="shared" si="17"/>
        <v>#DIV/0!</v>
      </c>
      <c r="AA20" s="167" t="e">
        <f t="shared" si="16"/>
        <v>#DIV/0!</v>
      </c>
      <c r="AB20" s="167" t="e">
        <f t="shared" si="16"/>
        <v>#DIV/0!</v>
      </c>
      <c r="AC20" s="167" t="e">
        <f t="shared" si="16"/>
        <v>#DIV/0!</v>
      </c>
      <c r="AD20" s="167" t="e">
        <f t="shared" si="16"/>
        <v>#DIV/0!</v>
      </c>
      <c r="AE20" s="167" t="e">
        <f t="shared" si="16"/>
        <v>#DIV/0!</v>
      </c>
      <c r="AF20" s="167" t="e">
        <f t="shared" si="16"/>
        <v>#DIV/0!</v>
      </c>
      <c r="AG20" s="167" t="e">
        <f t="shared" si="16"/>
        <v>#DIV/0!</v>
      </c>
      <c r="AH20" s="167" t="e">
        <f t="shared" si="16"/>
        <v>#DIV/0!</v>
      </c>
      <c r="AI20" s="167" t="e">
        <f t="shared" si="16"/>
        <v>#DIV/0!</v>
      </c>
      <c r="AJ20" s="167" t="e">
        <f t="shared" si="16"/>
        <v>#DIV/0!</v>
      </c>
      <c r="AK20" s="167" t="e">
        <f t="shared" si="16"/>
        <v>#DIV/0!</v>
      </c>
      <c r="AL20" s="167" t="e">
        <f t="shared" si="16"/>
        <v>#DIV/0!</v>
      </c>
      <c r="AM20" s="167" t="e">
        <f t="shared" si="16"/>
        <v>#DIV/0!</v>
      </c>
      <c r="AN20" s="167" t="e">
        <f t="shared" si="16"/>
        <v>#DIV/0!</v>
      </c>
      <c r="AO20" s="167" t="e">
        <f t="shared" si="16"/>
        <v>#DIV/0!</v>
      </c>
    </row>
    <row r="21" spans="2:41" x14ac:dyDescent="0.15">
      <c r="B21" s="481"/>
      <c r="C21" s="130" t="s">
        <v>1339</v>
      </c>
      <c r="D21" s="370">
        <f>SUMIFS('caseload data'!E:E,'caseload data'!$D:$D,"DMY",'caseload data'!$A:$A,"Greater Manchester")</f>
        <v>0</v>
      </c>
      <c r="E21" s="370">
        <f>SUMIFS('caseload data'!F:F,'caseload data'!$D:$D,"DMY",'caseload data'!$A:$A,"Greater Manchester")</f>
        <v>0</v>
      </c>
      <c r="F21" s="370">
        <f>SUMIFS('caseload data'!G:G,'caseload data'!$D:$D,"DMY",'caseload data'!$A:$A,"Greater Manchester")</f>
        <v>0</v>
      </c>
      <c r="G21" s="370">
        <f>SUMIFS('caseload data'!H:H,'caseload data'!$D:$D,"DMY",'caseload data'!$A:$A,"Greater Manchester")</f>
        <v>0</v>
      </c>
      <c r="H21" s="370">
        <f>SUMIFS('caseload data'!I:I,'caseload data'!$D:$D,"DMY",'caseload data'!$A:$A,"Greater Manchester")</f>
        <v>0</v>
      </c>
      <c r="I21" s="370">
        <f>SUMIFS('caseload data'!J:J,'caseload data'!$D:$D,"DMY",'caseload data'!$A:$A,"Greater Manchester")</f>
        <v>0</v>
      </c>
      <c r="J21" s="370">
        <f>SUMIFS('caseload data'!K:K,'caseload data'!$D:$D,"DMY",'caseload data'!$A:$A,"Greater Manchester")</f>
        <v>0</v>
      </c>
      <c r="K21" s="370">
        <f>SUMIFS('caseload data'!L:L,'caseload data'!$D:$D,"DMY",'caseload data'!$A:$A,"Greater Manchester")</f>
        <v>0</v>
      </c>
      <c r="L21" s="370">
        <f>SUMIFS('caseload data'!M:M,'caseload data'!$D:$D,"DMY",'caseload data'!$A:$A,"Greater Manchester")</f>
        <v>0</v>
      </c>
      <c r="M21" s="370">
        <f>SUMIFS('caseload data'!N:N,'caseload data'!$D:$D,"DMY",'caseload data'!$A:$A,"Greater Manchester")</f>
        <v>0</v>
      </c>
      <c r="N21" s="370">
        <f>SUMIFS('caseload data'!O:O,'caseload data'!$D:$D,"DMY",'caseload data'!$A:$A,"Greater Manchester")</f>
        <v>0</v>
      </c>
      <c r="O21" s="370">
        <f>SUMIFS('caseload data'!P:P,'caseload data'!$D:$D,"DMY",'caseload data'!$A:$A,"Greater Manchester")</f>
        <v>0</v>
      </c>
      <c r="P21" s="370">
        <f>SUMIFS('caseload data'!Q:Q,'caseload data'!$D:$D,"DMY",'caseload data'!$A:$A,"Greater Manchester")</f>
        <v>0</v>
      </c>
      <c r="Q21" s="370">
        <f>SUMIFS('caseload data'!R:R,'caseload data'!$D:$D,"DMY",'caseload data'!$A:$A,"Greater Manchester")</f>
        <v>0</v>
      </c>
      <c r="R21" s="370">
        <f>SUMIFS('caseload data'!S:S,'caseload data'!$D:$D,"DMY",'caseload data'!$A:$A,"Greater Manchester")</f>
        <v>0</v>
      </c>
      <c r="S21" s="370">
        <f>SUMIFS('caseload data'!T:T,'caseload data'!$D:$D,"DMY",'caseload data'!$A:$A,"Greater Manchester")</f>
        <v>0</v>
      </c>
      <c r="T21" s="94">
        <f>SUMIFS('caseload data'!V:V,'caseload data'!$D:$D,"DMY",'caseload data'!$A:$A,"Greater Manchester")</f>
        <v>0</v>
      </c>
      <c r="U21" s="64"/>
      <c r="V21" s="64"/>
      <c r="W21" s="475"/>
      <c r="X21" s="130" t="s">
        <v>1339</v>
      </c>
      <c r="Y21" s="167" t="e">
        <f t="shared" si="17"/>
        <v>#DIV/0!</v>
      </c>
      <c r="Z21" s="167" t="e">
        <f t="shared" si="17"/>
        <v>#DIV/0!</v>
      </c>
      <c r="AA21" s="167" t="e">
        <f t="shared" si="16"/>
        <v>#DIV/0!</v>
      </c>
      <c r="AB21" s="167" t="e">
        <f t="shared" si="16"/>
        <v>#DIV/0!</v>
      </c>
      <c r="AC21" s="167" t="e">
        <f t="shared" si="16"/>
        <v>#DIV/0!</v>
      </c>
      <c r="AD21" s="167" t="e">
        <f t="shared" si="16"/>
        <v>#DIV/0!</v>
      </c>
      <c r="AE21" s="167" t="e">
        <f t="shared" si="16"/>
        <v>#DIV/0!</v>
      </c>
      <c r="AF21" s="167" t="e">
        <f t="shared" si="16"/>
        <v>#DIV/0!</v>
      </c>
      <c r="AG21" s="167" t="e">
        <f t="shared" si="16"/>
        <v>#DIV/0!</v>
      </c>
      <c r="AH21" s="167" t="e">
        <f t="shared" si="16"/>
        <v>#DIV/0!</v>
      </c>
      <c r="AI21" s="167" t="e">
        <f t="shared" si="16"/>
        <v>#DIV/0!</v>
      </c>
      <c r="AJ21" s="167" t="e">
        <f t="shared" si="16"/>
        <v>#DIV/0!</v>
      </c>
      <c r="AK21" s="167" t="e">
        <f t="shared" si="16"/>
        <v>#DIV/0!</v>
      </c>
      <c r="AL21" s="167" t="e">
        <f t="shared" si="16"/>
        <v>#DIV/0!</v>
      </c>
      <c r="AM21" s="167" t="e">
        <f t="shared" si="16"/>
        <v>#DIV/0!</v>
      </c>
      <c r="AN21" s="167" t="e">
        <f t="shared" si="16"/>
        <v>#DIV/0!</v>
      </c>
      <c r="AO21" s="167" t="e">
        <f t="shared" si="16"/>
        <v>#DIV/0!</v>
      </c>
    </row>
    <row r="22" spans="2:41" x14ac:dyDescent="0.15">
      <c r="B22" s="479" t="s">
        <v>20</v>
      </c>
      <c r="C22" s="128" t="s">
        <v>997</v>
      </c>
      <c r="D22" s="370">
        <f>SUMIFS('caseload data'!E:E,'caseload data'!$D:$D,"PO",'caseload data'!$A:$A,'national caseload'!$B$22:$B$24)</f>
        <v>0</v>
      </c>
      <c r="E22" s="94">
        <f>SUMIFS('caseload data'!F:F,'caseload data'!$D:$D,"PO",'caseload data'!$A:$A,'national caseload'!$B$22:$B$24)</f>
        <v>0</v>
      </c>
      <c r="F22" s="94">
        <f>SUMIFS('caseload data'!G:G,'caseload data'!$D:$D,"PO",'caseload data'!$A:$A,'national caseload'!$B$22:$B$24)</f>
        <v>0</v>
      </c>
      <c r="G22" s="94">
        <f>SUMIFS('caseload data'!H:H,'caseload data'!$D:$D,"PO",'caseload data'!$A:$A,'national caseload'!$B$22:$B$24)</f>
        <v>0</v>
      </c>
      <c r="H22" s="94">
        <f>SUMIFS('caseload data'!I:I,'caseload data'!$D:$D,"PO",'caseload data'!$A:$A,'national caseload'!$B$22:$B$24)</f>
        <v>0</v>
      </c>
      <c r="I22" s="94">
        <f>SUMIFS('caseload data'!J:J,'caseload data'!$D:$D,"PO",'caseload data'!$A:$A,'national caseload'!$B$22:$B$24)</f>
        <v>0</v>
      </c>
      <c r="J22" s="94">
        <f>SUMIFS('caseload data'!K:K,'caseload data'!$D:$D,"PO",'caseload data'!$A:$A,'national caseload'!$B$22:$B$24)</f>
        <v>0</v>
      </c>
      <c r="K22" s="94">
        <f>SUMIFS('caseload data'!L:L,'caseload data'!$D:$D,"PO",'caseload data'!$A:$A,'national caseload'!$B$22:$B$24)</f>
        <v>0</v>
      </c>
      <c r="L22" s="94">
        <f>SUMIFS('caseload data'!M:M,'caseload data'!$D:$D,"PO",'caseload data'!$A:$A,'national caseload'!$B$22:$B$24)</f>
        <v>0</v>
      </c>
      <c r="M22" s="94">
        <f>SUMIFS('caseload data'!N:N,'caseload data'!$D:$D,"PO",'caseload data'!$A:$A,'national caseload'!$B$22:$B$24)</f>
        <v>0</v>
      </c>
      <c r="N22" s="94">
        <f>SUMIFS('caseload data'!O:O,'caseload data'!$D:$D,"PO",'caseload data'!$A:$A,'national caseload'!$B$22:$B$24)</f>
        <v>0</v>
      </c>
      <c r="O22" s="94">
        <f>SUMIFS('caseload data'!P:P,'caseload data'!$D:$D,"PO",'caseload data'!$A:$A,'national caseload'!$B$22:$B$24)</f>
        <v>0</v>
      </c>
      <c r="P22" s="94">
        <f>SUMIFS('caseload data'!Q:Q,'caseload data'!$D:$D,"PO",'caseload data'!$A:$A,'national caseload'!$B$22:$B$24)</f>
        <v>0</v>
      </c>
      <c r="Q22" s="94">
        <f>SUMIFS('caseload data'!R:R,'caseload data'!$D:$D,"PO",'caseload data'!$A:$A,'national caseload'!$B$22:$B$24)</f>
        <v>0</v>
      </c>
      <c r="R22" s="94">
        <f>SUMIFS('caseload data'!S:S,'caseload data'!$D:$D,"PO",'caseload data'!$A:$A,'national caseload'!$B$22:$B$24)</f>
        <v>0</v>
      </c>
      <c r="S22" s="94">
        <f>SUMIFS('caseload data'!T:T,'caseload data'!$D:$D,"PO",'caseload data'!$A:$A,'national caseload'!$B$22:$B$24)</f>
        <v>0</v>
      </c>
      <c r="T22" s="94">
        <f>SUMIFS('caseload data'!V:V,'caseload data'!$D:$D,"PO",'caseload data'!$A:$A,'national caseload'!B22:B24)</f>
        <v>0</v>
      </c>
      <c r="U22" s="64"/>
      <c r="V22" s="64"/>
      <c r="W22" s="473" t="s">
        <v>20</v>
      </c>
      <c r="X22" s="128" t="s">
        <v>997</v>
      </c>
      <c r="Y22" s="167" t="e">
        <f>SUM(D22)/SUM(D$22:D$26)</f>
        <v>#DIV/0!</v>
      </c>
      <c r="Z22" s="167" t="e">
        <f t="shared" ref="Z22:AG26" si="18">SUM(E22)/SUM(E$22:E$26)</f>
        <v>#DIV/0!</v>
      </c>
      <c r="AA22" s="167" t="e">
        <f t="shared" si="18"/>
        <v>#DIV/0!</v>
      </c>
      <c r="AB22" s="167" t="e">
        <f t="shared" si="18"/>
        <v>#DIV/0!</v>
      </c>
      <c r="AC22" s="167" t="e">
        <f t="shared" si="18"/>
        <v>#DIV/0!</v>
      </c>
      <c r="AD22" s="167" t="e">
        <f t="shared" si="18"/>
        <v>#DIV/0!</v>
      </c>
      <c r="AE22" s="167" t="e">
        <f t="shared" si="18"/>
        <v>#DIV/0!</v>
      </c>
      <c r="AF22" s="167" t="e">
        <f t="shared" si="18"/>
        <v>#DIV/0!</v>
      </c>
      <c r="AG22" s="167" t="e">
        <f t="shared" si="18"/>
        <v>#DIV/0!</v>
      </c>
      <c r="AH22" s="167" t="e">
        <f>SUM(M22)/SUM(M$22:M$26)</f>
        <v>#DIV/0!</v>
      </c>
      <c r="AI22" s="167" t="e">
        <f t="shared" ref="AI22:AI26" si="19">SUM(N22)/SUM(N$22:N$26)</f>
        <v>#DIV/0!</v>
      </c>
      <c r="AJ22" s="167" t="e">
        <f t="shared" ref="AJ22:AJ26" si="20">SUM(O22)/SUM(O$22:O$26)</f>
        <v>#DIV/0!</v>
      </c>
      <c r="AK22" s="167" t="e">
        <f t="shared" ref="AK22:AK26" si="21">SUM(P22)/SUM(P$22:P$26)</f>
        <v>#DIV/0!</v>
      </c>
      <c r="AL22" s="167" t="e">
        <f t="shared" ref="AL22:AL26" si="22">SUM(Q22)/SUM(Q$22:Q$26)</f>
        <v>#DIV/0!</v>
      </c>
      <c r="AM22" s="167" t="e">
        <f t="shared" ref="AM22:AM26" si="23">SUM(R22)/SUM(R$22:R$26)</f>
        <v>#DIV/0!</v>
      </c>
      <c r="AN22" s="167" t="e">
        <f t="shared" ref="AN22:AO26" si="24">SUM(S22)/SUM(S$22:S$26)</f>
        <v>#DIV/0!</v>
      </c>
      <c r="AO22" s="167" t="e">
        <f t="shared" si="24"/>
        <v>#DIV/0!</v>
      </c>
    </row>
    <row r="23" spans="2:41" x14ac:dyDescent="0.15">
      <c r="B23" s="480"/>
      <c r="C23" s="129" t="s">
        <v>1002</v>
      </c>
      <c r="D23" s="370">
        <f>SUMIFS('caseload data'!E:E,'caseload data'!$D:$D,"PSO",'caseload data'!$A:$A,"Kent Surrey Sussex Region")</f>
        <v>0</v>
      </c>
      <c r="E23" s="94">
        <f>SUMIFS('caseload data'!F:F,'caseload data'!$D:$D,"PSO",'caseload data'!$A:$A,"Kent Surrey Sussex Region")</f>
        <v>0</v>
      </c>
      <c r="F23" s="94">
        <f>SUMIFS('caseload data'!G:G,'caseload data'!$D:$D,"PSO",'caseload data'!$A:$A,"Kent Surrey Sussex Region")</f>
        <v>0</v>
      </c>
      <c r="G23" s="94">
        <f>SUMIFS('caseload data'!H:H,'caseload data'!$D:$D,"PSO",'caseload data'!$A:$A,"Kent Surrey Sussex Region")</f>
        <v>0</v>
      </c>
      <c r="H23" s="94">
        <f>SUMIFS('caseload data'!I:I,'caseload data'!$D:$D,"PSO",'caseload data'!$A:$A,"Kent Surrey Sussex Region")</f>
        <v>0</v>
      </c>
      <c r="I23" s="94">
        <f>SUMIFS('caseload data'!J:J,'caseload data'!$D:$D,"PSO",'caseload data'!$A:$A,"Kent Surrey Sussex Region")</f>
        <v>0</v>
      </c>
      <c r="J23" s="94">
        <f>SUMIFS('caseload data'!K:K,'caseload data'!$D:$D,"PSO",'caseload data'!$A:$A,"Kent Surrey Sussex Region")</f>
        <v>0</v>
      </c>
      <c r="K23" s="94">
        <f>SUMIFS('caseload data'!L:L,'caseload data'!$D:$D,"PSO",'caseload data'!$A:$A,"Kent Surrey Sussex Region")</f>
        <v>0</v>
      </c>
      <c r="L23" s="94">
        <f>SUMIFS('caseload data'!M:M,'caseload data'!$D:$D,"PSO",'caseload data'!$A:$A,"Kent Surrey Sussex Region")</f>
        <v>0</v>
      </c>
      <c r="M23" s="94">
        <f>SUMIFS('caseload data'!N:N,'caseload data'!$D:$D,"PSO",'caseload data'!$A:$A,"Kent Surrey Sussex Region")</f>
        <v>0</v>
      </c>
      <c r="N23" s="94">
        <f>SUMIFS('caseload data'!O:O,'caseload data'!$D:$D,"PSO",'caseload data'!$A:$A,"Kent Surrey Sussex Region")</f>
        <v>0</v>
      </c>
      <c r="O23" s="94">
        <f>SUMIFS('caseload data'!P:P,'caseload data'!$D:$D,"PSO",'caseload data'!$A:$A,"Kent Surrey Sussex Region")</f>
        <v>0</v>
      </c>
      <c r="P23" s="94">
        <f>SUMIFS('caseload data'!Q:Q,'caseload data'!$D:$D,"PSO",'caseload data'!$A:$A,"Kent Surrey Sussex Region")</f>
        <v>0</v>
      </c>
      <c r="Q23" s="94">
        <f>SUMIFS('caseload data'!R:R,'caseload data'!$D:$D,"PSO",'caseload data'!$A:$A,"Kent Surrey Sussex Region")</f>
        <v>0</v>
      </c>
      <c r="R23" s="94">
        <f>SUMIFS('caseload data'!S:S,'caseload data'!$D:$D,"PSO",'caseload data'!$A:$A,"Kent Surrey Sussex Region")</f>
        <v>0</v>
      </c>
      <c r="S23" s="94">
        <f>SUMIFS('caseload data'!T:T,'caseload data'!$D:$D,"PSO",'caseload data'!$A:$A,"Kent Surrey Sussex Region")</f>
        <v>0</v>
      </c>
      <c r="T23" s="94">
        <f>SUMIFS('caseload data'!V:V,'caseload data'!$D:$D,"PSO",'caseload data'!$A:$A,"Kent Surrey Sussex Region")</f>
        <v>0</v>
      </c>
      <c r="U23" s="64"/>
      <c r="V23" s="64"/>
      <c r="W23" s="474"/>
      <c r="X23" s="129" t="s">
        <v>1002</v>
      </c>
      <c r="Y23" s="167" t="e">
        <f t="shared" ref="Y23:Y26" si="25">SUM(D23)/SUM(D$22:D$26)</f>
        <v>#DIV/0!</v>
      </c>
      <c r="Z23" s="167" t="e">
        <f t="shared" si="18"/>
        <v>#DIV/0!</v>
      </c>
      <c r="AA23" s="167" t="e">
        <f t="shared" si="18"/>
        <v>#DIV/0!</v>
      </c>
      <c r="AB23" s="167" t="e">
        <f t="shared" si="18"/>
        <v>#DIV/0!</v>
      </c>
      <c r="AC23" s="167" t="e">
        <f t="shared" si="18"/>
        <v>#DIV/0!</v>
      </c>
      <c r="AD23" s="167" t="e">
        <f t="shared" si="18"/>
        <v>#DIV/0!</v>
      </c>
      <c r="AE23" s="167" t="e">
        <f t="shared" si="18"/>
        <v>#DIV/0!</v>
      </c>
      <c r="AF23" s="167" t="e">
        <f t="shared" si="18"/>
        <v>#DIV/0!</v>
      </c>
      <c r="AG23" s="167" t="e">
        <f t="shared" si="18"/>
        <v>#DIV/0!</v>
      </c>
      <c r="AH23" s="167" t="e">
        <f t="shared" ref="AH23:AH26" si="26">SUM(M23)/SUM(M$22:M$26)</f>
        <v>#DIV/0!</v>
      </c>
      <c r="AI23" s="167" t="e">
        <f t="shared" si="19"/>
        <v>#DIV/0!</v>
      </c>
      <c r="AJ23" s="167" t="e">
        <f t="shared" si="20"/>
        <v>#DIV/0!</v>
      </c>
      <c r="AK23" s="167" t="e">
        <f t="shared" si="21"/>
        <v>#DIV/0!</v>
      </c>
      <c r="AL23" s="167" t="e">
        <f t="shared" si="22"/>
        <v>#DIV/0!</v>
      </c>
      <c r="AM23" s="167" t="e">
        <f t="shared" si="23"/>
        <v>#DIV/0!</v>
      </c>
      <c r="AN23" s="167" t="e">
        <f t="shared" si="24"/>
        <v>#DIV/0!</v>
      </c>
      <c r="AO23" s="167" t="e">
        <f t="shared" si="24"/>
        <v>#DIV/0!</v>
      </c>
    </row>
    <row r="24" spans="2:41" x14ac:dyDescent="0.15">
      <c r="B24" s="480"/>
      <c r="C24" s="129" t="s">
        <v>1003</v>
      </c>
      <c r="D24" s="370">
        <f>SUMIFS('caseload data'!E:E,'caseload data'!$D:$D,"TPO",'caseload data'!$A:$A,"Kent Surrey Sussex Region")</f>
        <v>0</v>
      </c>
      <c r="E24" s="94">
        <f>SUMIFS('caseload data'!F:F,'caseload data'!$D:$D,"TPO",'caseload data'!$A:$A,"Kent Surrey Sussex Region")</f>
        <v>0</v>
      </c>
      <c r="F24" s="94">
        <f>SUMIFS('caseload data'!G:G,'caseload data'!$D:$D,"TPO",'caseload data'!$A:$A,"Kent Surrey Sussex Region")</f>
        <v>0</v>
      </c>
      <c r="G24" s="94">
        <f>SUMIFS('caseload data'!H:H,'caseload data'!$D:$D,"TPO",'caseload data'!$A:$A,"Kent Surrey Sussex Region")</f>
        <v>0</v>
      </c>
      <c r="H24" s="94">
        <f>SUMIFS('caseload data'!I:I,'caseload data'!$D:$D,"TPO",'caseload data'!$A:$A,"Kent Surrey Sussex Region")</f>
        <v>0</v>
      </c>
      <c r="I24" s="94">
        <f>SUMIFS('caseload data'!J:J,'caseload data'!$D:$D,"TPO",'caseload data'!$A:$A,"Kent Surrey Sussex Region")</f>
        <v>0</v>
      </c>
      <c r="J24" s="94">
        <f>SUMIFS('caseload data'!K:K,'caseload data'!$D:$D,"TPO",'caseload data'!$A:$A,"Kent Surrey Sussex Region")</f>
        <v>0</v>
      </c>
      <c r="K24" s="94">
        <f>SUMIFS('caseload data'!L:L,'caseload data'!$D:$D,"TPO",'caseload data'!$A:$A,"Kent Surrey Sussex Region")</f>
        <v>0</v>
      </c>
      <c r="L24" s="94">
        <f>SUMIFS('caseload data'!M:M,'caseload data'!$D:$D,"TPO",'caseload data'!$A:$A,"Kent Surrey Sussex Region")</f>
        <v>0</v>
      </c>
      <c r="M24" s="94">
        <f>SUMIFS('caseload data'!N:N,'caseload data'!$D:$D,"TPO",'caseload data'!$A:$A,"Kent Surrey Sussex Region")</f>
        <v>0</v>
      </c>
      <c r="N24" s="94">
        <f>SUMIFS('caseload data'!O:O,'caseload data'!$D:$D,"TPO",'caseload data'!$A:$A,"Kent Surrey Sussex Region")</f>
        <v>0</v>
      </c>
      <c r="O24" s="94">
        <f>SUMIFS('caseload data'!P:P,'caseload data'!$D:$D,"TPO",'caseload data'!$A:$A,"Kent Surrey Sussex Region")</f>
        <v>0</v>
      </c>
      <c r="P24" s="94">
        <f>SUMIFS('caseload data'!Q:Q,'caseload data'!$D:$D,"TPO",'caseload data'!$A:$A,"Kent Surrey Sussex Region")</f>
        <v>0</v>
      </c>
      <c r="Q24" s="94">
        <f>SUMIFS('caseload data'!R:R,'caseload data'!$D:$D,"TPO",'caseload data'!$A:$A,"Kent Surrey Sussex Region")</f>
        <v>0</v>
      </c>
      <c r="R24" s="94">
        <f>SUMIFS('caseload data'!S:S,'caseload data'!$D:$D,"TPO",'caseload data'!$A:$A,"Kent Surrey Sussex Region")</f>
        <v>0</v>
      </c>
      <c r="S24" s="94">
        <f>SUMIFS('caseload data'!T:T,'caseload data'!$D:$D,"TPO",'caseload data'!$A:$A,"Kent Surrey Sussex Region")</f>
        <v>0</v>
      </c>
      <c r="T24" s="94">
        <f>SUMIFS('caseload data'!V:V,'caseload data'!$D:$D,"TPO",'caseload data'!$A:$A,"Kent Surrey Sussex Region")</f>
        <v>0</v>
      </c>
      <c r="U24" s="64"/>
      <c r="V24" s="64"/>
      <c r="W24" s="474"/>
      <c r="X24" s="129" t="s">
        <v>1003</v>
      </c>
      <c r="Y24" s="167" t="e">
        <f t="shared" si="25"/>
        <v>#DIV/0!</v>
      </c>
      <c r="Z24" s="167" t="e">
        <f t="shared" si="18"/>
        <v>#DIV/0!</v>
      </c>
      <c r="AA24" s="167" t="e">
        <f t="shared" si="18"/>
        <v>#DIV/0!</v>
      </c>
      <c r="AB24" s="167" t="e">
        <f t="shared" si="18"/>
        <v>#DIV/0!</v>
      </c>
      <c r="AC24" s="167" t="e">
        <f t="shared" si="18"/>
        <v>#DIV/0!</v>
      </c>
      <c r="AD24" s="167" t="e">
        <f t="shared" si="18"/>
        <v>#DIV/0!</v>
      </c>
      <c r="AE24" s="167" t="e">
        <f t="shared" si="18"/>
        <v>#DIV/0!</v>
      </c>
      <c r="AF24" s="167" t="e">
        <f t="shared" si="18"/>
        <v>#DIV/0!</v>
      </c>
      <c r="AG24" s="167" t="e">
        <f t="shared" si="18"/>
        <v>#DIV/0!</v>
      </c>
      <c r="AH24" s="167" t="e">
        <f t="shared" si="26"/>
        <v>#DIV/0!</v>
      </c>
      <c r="AI24" s="167" t="e">
        <f t="shared" si="19"/>
        <v>#DIV/0!</v>
      </c>
      <c r="AJ24" s="167" t="e">
        <f t="shared" si="20"/>
        <v>#DIV/0!</v>
      </c>
      <c r="AK24" s="167" t="e">
        <f t="shared" si="21"/>
        <v>#DIV/0!</v>
      </c>
      <c r="AL24" s="167" t="e">
        <f t="shared" si="22"/>
        <v>#DIV/0!</v>
      </c>
      <c r="AM24" s="167" t="e">
        <f t="shared" si="23"/>
        <v>#DIV/0!</v>
      </c>
      <c r="AN24" s="167" t="e">
        <f t="shared" si="24"/>
        <v>#DIV/0!</v>
      </c>
      <c r="AO24" s="167" t="e">
        <f t="shared" si="24"/>
        <v>#DIV/0!</v>
      </c>
    </row>
    <row r="25" spans="2:41" x14ac:dyDescent="0.15">
      <c r="B25" s="480"/>
      <c r="C25" s="129" t="s">
        <v>1004</v>
      </c>
      <c r="D25" s="370">
        <f>SUMIFS('caseload data'!E:E,'caseload data'!$D:$D,"SPO",'caseload data'!$A:$A,"Kent Surrey Sussex Region")</f>
        <v>0</v>
      </c>
      <c r="E25" s="94">
        <f>SUMIFS('caseload data'!F:F,'caseload data'!$D:$D,"SPO",'caseload data'!$A:$A,"Kent Surrey Sussex Region")</f>
        <v>0</v>
      </c>
      <c r="F25" s="94">
        <f>SUMIFS('caseload data'!G:G,'caseload data'!$D:$D,"SPO",'caseload data'!$A:$A,"Kent Surrey Sussex Region")</f>
        <v>0</v>
      </c>
      <c r="G25" s="94">
        <f>SUMIFS('caseload data'!H:H,'caseload data'!$D:$D,"SPO",'caseload data'!$A:$A,"Kent Surrey Sussex Region")</f>
        <v>0</v>
      </c>
      <c r="H25" s="94">
        <f>SUMIFS('caseload data'!I:I,'caseload data'!$D:$D,"SPO",'caseload data'!$A:$A,"Kent Surrey Sussex Region")</f>
        <v>0</v>
      </c>
      <c r="I25" s="94">
        <f>SUMIFS('caseload data'!J:J,'caseload data'!$D:$D,"SPO",'caseload data'!$A:$A,"Kent Surrey Sussex Region")</f>
        <v>0</v>
      </c>
      <c r="J25" s="94">
        <f>SUMIFS('caseload data'!K:K,'caseload data'!$D:$D,"SPO",'caseload data'!$A:$A,"Kent Surrey Sussex Region")</f>
        <v>0</v>
      </c>
      <c r="K25" s="94">
        <f>SUMIFS('caseload data'!L:L,'caseload data'!$D:$D,"SPO",'caseload data'!$A:$A,"Kent Surrey Sussex Region")</f>
        <v>0</v>
      </c>
      <c r="L25" s="94">
        <f>SUMIFS('caseload data'!M:M,'caseload data'!$D:$D,"SPO",'caseload data'!$A:$A,"Kent Surrey Sussex Region")</f>
        <v>0</v>
      </c>
      <c r="M25" s="94">
        <f>SUMIFS('caseload data'!N:N,'caseload data'!$D:$D,"SPO",'caseload data'!$A:$A,"Kent Surrey Sussex Region")</f>
        <v>0</v>
      </c>
      <c r="N25" s="94">
        <f>SUMIFS('caseload data'!O:O,'caseload data'!$D:$D,"SPO",'caseload data'!$A:$A,"Kent Surrey Sussex Region")</f>
        <v>0</v>
      </c>
      <c r="O25" s="94">
        <f>SUMIFS('caseload data'!P:P,'caseload data'!$D:$D,"SPO",'caseload data'!$A:$A,"Kent Surrey Sussex Region")</f>
        <v>0</v>
      </c>
      <c r="P25" s="94">
        <f>SUMIFS('caseload data'!Q:Q,'caseload data'!$D:$D,"SPO",'caseload data'!$A:$A,"Kent Surrey Sussex Region")</f>
        <v>0</v>
      </c>
      <c r="Q25" s="94">
        <f>SUMIFS('caseload data'!R:R,'caseload data'!$D:$D,"SPO",'caseload data'!$A:$A,"Kent Surrey Sussex Region")</f>
        <v>0</v>
      </c>
      <c r="R25" s="94">
        <f>SUMIFS('caseload data'!S:S,'caseload data'!$D:$D,"SPO",'caseload data'!$A:$A,"Kent Surrey Sussex Region")</f>
        <v>0</v>
      </c>
      <c r="S25" s="94">
        <f>SUMIFS('caseload data'!T:T,'caseload data'!$D:$D,"SPO",'caseload data'!$A:$A,"Kent Surrey Sussex Region")</f>
        <v>0</v>
      </c>
      <c r="T25" s="94">
        <f>SUMIFS('caseload data'!V:V,'caseload data'!$D:$D,"SPO",'caseload data'!$A:$A,"Kent Surrey Sussex Region")</f>
        <v>0</v>
      </c>
      <c r="U25" s="64"/>
      <c r="V25" s="64"/>
      <c r="W25" s="474"/>
      <c r="X25" s="129" t="s">
        <v>1004</v>
      </c>
      <c r="Y25" s="167" t="e">
        <f t="shared" si="25"/>
        <v>#DIV/0!</v>
      </c>
      <c r="Z25" s="167" t="e">
        <f t="shared" si="18"/>
        <v>#DIV/0!</v>
      </c>
      <c r="AA25" s="167" t="e">
        <f t="shared" si="18"/>
        <v>#DIV/0!</v>
      </c>
      <c r="AB25" s="167" t="e">
        <f t="shared" si="18"/>
        <v>#DIV/0!</v>
      </c>
      <c r="AC25" s="167" t="e">
        <f t="shared" si="18"/>
        <v>#DIV/0!</v>
      </c>
      <c r="AD25" s="167" t="e">
        <f t="shared" si="18"/>
        <v>#DIV/0!</v>
      </c>
      <c r="AE25" s="167" t="e">
        <f t="shared" si="18"/>
        <v>#DIV/0!</v>
      </c>
      <c r="AF25" s="167" t="e">
        <f t="shared" si="18"/>
        <v>#DIV/0!</v>
      </c>
      <c r="AG25" s="167" t="e">
        <f t="shared" si="18"/>
        <v>#DIV/0!</v>
      </c>
      <c r="AH25" s="167" t="e">
        <f t="shared" si="26"/>
        <v>#DIV/0!</v>
      </c>
      <c r="AI25" s="167" t="e">
        <f t="shared" si="19"/>
        <v>#DIV/0!</v>
      </c>
      <c r="AJ25" s="167" t="e">
        <f t="shared" si="20"/>
        <v>#DIV/0!</v>
      </c>
      <c r="AK25" s="167" t="e">
        <f t="shared" si="21"/>
        <v>#DIV/0!</v>
      </c>
      <c r="AL25" s="167" t="e">
        <f t="shared" si="22"/>
        <v>#DIV/0!</v>
      </c>
      <c r="AM25" s="167" t="e">
        <f t="shared" si="23"/>
        <v>#DIV/0!</v>
      </c>
      <c r="AN25" s="167" t="e">
        <f t="shared" si="24"/>
        <v>#DIV/0!</v>
      </c>
      <c r="AO25" s="167" t="e">
        <f t="shared" si="24"/>
        <v>#DIV/0!</v>
      </c>
    </row>
    <row r="26" spans="2:41" x14ac:dyDescent="0.15">
      <c r="B26" s="481"/>
      <c r="C26" s="130" t="s">
        <v>1339</v>
      </c>
      <c r="D26" s="370">
        <f>SUMIFS('caseload data'!E:E,'caseload data'!$D:$D,"DMY",'caseload data'!$A:$A,"Kent Surrey Sussex Region")</f>
        <v>0</v>
      </c>
      <c r="E26" s="370">
        <f>SUMIFS('caseload data'!F:F,'caseload data'!$D:$D,"DMY",'caseload data'!$A:$A,"Kent Surrey Sussex Region")</f>
        <v>0</v>
      </c>
      <c r="F26" s="370">
        <f>SUMIFS('caseload data'!G:G,'caseload data'!$D:$D,"DMY",'caseload data'!$A:$A,"Kent Surrey Sussex Region")</f>
        <v>0</v>
      </c>
      <c r="G26" s="370">
        <f>SUMIFS('caseload data'!H:H,'caseload data'!$D:$D,"DMY",'caseload data'!$A:$A,"Kent Surrey Sussex Region")</f>
        <v>0</v>
      </c>
      <c r="H26" s="370">
        <f>SUMIFS('caseload data'!I:I,'caseload data'!$D:$D,"DMY",'caseload data'!$A:$A,"Kent Surrey Sussex Region")</f>
        <v>0</v>
      </c>
      <c r="I26" s="370">
        <f>SUMIFS('caseload data'!J:J,'caseload data'!$D:$D,"DMY",'caseload data'!$A:$A,"Kent Surrey Sussex Region")</f>
        <v>0</v>
      </c>
      <c r="J26" s="370">
        <f>SUMIFS('caseload data'!K:K,'caseload data'!$D:$D,"DMY",'caseload data'!$A:$A,"Kent Surrey Sussex Region")</f>
        <v>0</v>
      </c>
      <c r="K26" s="370">
        <f>SUMIFS('caseload data'!L:L,'caseload data'!$D:$D,"DMY",'caseload data'!$A:$A,"Kent Surrey Sussex Region")</f>
        <v>0</v>
      </c>
      <c r="L26" s="370">
        <f>SUMIFS('caseload data'!M:M,'caseload data'!$D:$D,"DMY",'caseload data'!$A:$A,"Kent Surrey Sussex Region")</f>
        <v>0</v>
      </c>
      <c r="M26" s="370">
        <f>SUMIFS('caseload data'!N:N,'caseload data'!$D:$D,"DMY",'caseload data'!$A:$A,"Kent Surrey Sussex Region")</f>
        <v>0</v>
      </c>
      <c r="N26" s="370">
        <f>SUMIFS('caseload data'!O:O,'caseload data'!$D:$D,"DMY",'caseload data'!$A:$A,"Kent Surrey Sussex Region")</f>
        <v>0</v>
      </c>
      <c r="O26" s="370">
        <f>SUMIFS('caseload data'!P:P,'caseload data'!$D:$D,"DMY",'caseload data'!$A:$A,"Kent Surrey Sussex Region")</f>
        <v>0</v>
      </c>
      <c r="P26" s="370">
        <f>SUMIFS('caseload data'!Q:Q,'caseload data'!$D:$D,"DMY",'caseload data'!$A:$A,"Kent Surrey Sussex Region")</f>
        <v>0</v>
      </c>
      <c r="Q26" s="370">
        <f>SUMIFS('caseload data'!R:R,'caseload data'!$D:$D,"DMY",'caseload data'!$A:$A,"Kent Surrey Sussex Region")</f>
        <v>0</v>
      </c>
      <c r="R26" s="370">
        <f>SUMIFS('caseload data'!S:S,'caseload data'!$D:$D,"DMY",'caseload data'!$A:$A,"Kent Surrey Sussex Region")</f>
        <v>0</v>
      </c>
      <c r="S26" s="370">
        <f>SUMIFS('caseload data'!T:T,'caseload data'!$D:$D,"DMY",'caseload data'!$A:$A,"Kent Surrey Sussex Region")</f>
        <v>0</v>
      </c>
      <c r="T26" s="94">
        <f>SUMIFS('caseload data'!V:V,'caseload data'!$D:$D,"DMY",'caseload data'!$A:$A,"Kent Surrey Sussex Region")</f>
        <v>0</v>
      </c>
      <c r="U26" s="64"/>
      <c r="V26" s="64"/>
      <c r="W26" s="475"/>
      <c r="X26" s="130" t="s">
        <v>1339</v>
      </c>
      <c r="Y26" s="167" t="e">
        <f t="shared" si="25"/>
        <v>#DIV/0!</v>
      </c>
      <c r="Z26" s="167" t="e">
        <f t="shared" si="18"/>
        <v>#DIV/0!</v>
      </c>
      <c r="AA26" s="167" t="e">
        <f t="shared" si="18"/>
        <v>#DIV/0!</v>
      </c>
      <c r="AB26" s="167" t="e">
        <f t="shared" si="18"/>
        <v>#DIV/0!</v>
      </c>
      <c r="AC26" s="167" t="e">
        <f t="shared" si="18"/>
        <v>#DIV/0!</v>
      </c>
      <c r="AD26" s="167" t="e">
        <f t="shared" si="18"/>
        <v>#DIV/0!</v>
      </c>
      <c r="AE26" s="167" t="e">
        <f t="shared" si="18"/>
        <v>#DIV/0!</v>
      </c>
      <c r="AF26" s="167" t="e">
        <f t="shared" si="18"/>
        <v>#DIV/0!</v>
      </c>
      <c r="AG26" s="167" t="e">
        <f t="shared" si="18"/>
        <v>#DIV/0!</v>
      </c>
      <c r="AH26" s="167" t="e">
        <f t="shared" si="26"/>
        <v>#DIV/0!</v>
      </c>
      <c r="AI26" s="167" t="e">
        <f t="shared" si="19"/>
        <v>#DIV/0!</v>
      </c>
      <c r="AJ26" s="167" t="e">
        <f t="shared" si="20"/>
        <v>#DIV/0!</v>
      </c>
      <c r="AK26" s="167" t="e">
        <f t="shared" si="21"/>
        <v>#DIV/0!</v>
      </c>
      <c r="AL26" s="167" t="e">
        <f t="shared" si="22"/>
        <v>#DIV/0!</v>
      </c>
      <c r="AM26" s="167" t="e">
        <f t="shared" si="23"/>
        <v>#DIV/0!</v>
      </c>
      <c r="AN26" s="167" t="e">
        <f t="shared" si="24"/>
        <v>#DIV/0!</v>
      </c>
      <c r="AO26" s="167" t="e">
        <f t="shared" si="24"/>
        <v>#DIV/0!</v>
      </c>
    </row>
    <row r="27" spans="2:41" x14ac:dyDescent="0.15">
      <c r="B27" s="479" t="s">
        <v>21</v>
      </c>
      <c r="C27" s="128" t="s">
        <v>997</v>
      </c>
      <c r="D27" s="370">
        <f>SUMIFS('caseload data'!E:E,'caseload data'!$D:$D,"PO",'caseload data'!$A:$A,'national caseload'!$B$27:$B$29)</f>
        <v>0</v>
      </c>
      <c r="E27" s="94">
        <f>SUMIFS('caseload data'!F:F,'caseload data'!$D:$D,"PO",'caseload data'!$A:$A,'national caseload'!$B$27:$B$29)</f>
        <v>0</v>
      </c>
      <c r="F27" s="94">
        <f>SUMIFS('caseload data'!G:G,'caseload data'!$D:$D,"PO",'caseload data'!$A:$A,'national caseload'!$B$27:$B$29)</f>
        <v>0</v>
      </c>
      <c r="G27" s="94">
        <f>SUMIFS('caseload data'!H:H,'caseload data'!$D:$D,"PO",'caseload data'!$A:$A,'national caseload'!$B$27:$B$29)</f>
        <v>0</v>
      </c>
      <c r="H27" s="94">
        <f>SUMIFS('caseload data'!I:I,'caseload data'!$D:$D,"PO",'caseload data'!$A:$A,'national caseload'!$B$27:$B$29)</f>
        <v>0</v>
      </c>
      <c r="I27" s="94">
        <f>SUMIFS('caseload data'!J:J,'caseload data'!$D:$D,"PO",'caseload data'!$A:$A,'national caseload'!$B$27:$B$29)</f>
        <v>0</v>
      </c>
      <c r="J27" s="94">
        <f>SUMIFS('caseload data'!K:K,'caseload data'!$D:$D,"PO",'caseload data'!$A:$A,'national caseload'!$B$27:$B$29)</f>
        <v>0</v>
      </c>
      <c r="K27" s="94">
        <f>SUMIFS('caseload data'!L:L,'caseload data'!$D:$D,"PO",'caseload data'!$A:$A,'national caseload'!$B$27:$B$29)</f>
        <v>0</v>
      </c>
      <c r="L27" s="94">
        <f>SUMIFS('caseload data'!M:M,'caseload data'!$D:$D,"PO",'caseload data'!$A:$A,'national caseload'!$B$27:$B$29)</f>
        <v>0</v>
      </c>
      <c r="M27" s="94">
        <f>SUMIFS('caseload data'!N:N,'caseload data'!$D:$D,"PO",'caseload data'!$A:$A,'national caseload'!$B$27:$B$29)</f>
        <v>0</v>
      </c>
      <c r="N27" s="94">
        <f>SUMIFS('caseload data'!O:O,'caseload data'!$D:$D,"PO",'caseload data'!$A:$A,'national caseload'!$B$27:$B$29)</f>
        <v>0</v>
      </c>
      <c r="O27" s="94">
        <f>SUMIFS('caseload data'!P:P,'caseload data'!$D:$D,"PO",'caseload data'!$A:$A,'national caseload'!$B$27:$B$29)</f>
        <v>0</v>
      </c>
      <c r="P27" s="94">
        <f>SUMIFS('caseload data'!Q:Q,'caseload data'!$D:$D,"PO",'caseload data'!$A:$A,'national caseload'!$B$27:$B$29)</f>
        <v>0</v>
      </c>
      <c r="Q27" s="94">
        <f>SUMIFS('caseload data'!R:R,'caseload data'!$D:$D,"PO",'caseload data'!$A:$A,'national caseload'!$B$27:$B$29)</f>
        <v>0</v>
      </c>
      <c r="R27" s="94">
        <f>SUMIFS('caseload data'!S:S,'caseload data'!$D:$D,"PO",'caseload data'!$A:$A,'national caseload'!$B$27:$B$29)</f>
        <v>0</v>
      </c>
      <c r="S27" s="94">
        <f>SUMIFS('caseload data'!T:T,'caseload data'!$D:$D,"PO",'caseload data'!$A:$A,'national caseload'!$B$27:$B$29)</f>
        <v>0</v>
      </c>
      <c r="T27" s="94">
        <f>SUMIFS('caseload data'!V:V,'caseload data'!$D:$D,"PO",'caseload data'!$A:$A,'national caseload'!B27:B29)</f>
        <v>0</v>
      </c>
      <c r="U27" s="64"/>
      <c r="V27" s="64"/>
      <c r="W27" s="473" t="s">
        <v>21</v>
      </c>
      <c r="X27" s="128" t="s">
        <v>997</v>
      </c>
      <c r="Y27" s="167" t="e">
        <f>SUM(D27)/SUM(D$27:D$31)</f>
        <v>#DIV/0!</v>
      </c>
      <c r="Z27" s="167" t="e">
        <f>SUM(E27)/SUM(E$27:E$31)</f>
        <v>#DIV/0!</v>
      </c>
      <c r="AA27" s="167" t="e">
        <f t="shared" ref="AA27:AO31" si="27">SUM(F27)/SUM(F$27:F$31)</f>
        <v>#DIV/0!</v>
      </c>
      <c r="AB27" s="167" t="e">
        <f t="shared" si="27"/>
        <v>#DIV/0!</v>
      </c>
      <c r="AC27" s="167" t="e">
        <f t="shared" si="27"/>
        <v>#DIV/0!</v>
      </c>
      <c r="AD27" s="167" t="e">
        <f t="shared" si="27"/>
        <v>#DIV/0!</v>
      </c>
      <c r="AE27" s="167" t="e">
        <f t="shared" si="27"/>
        <v>#DIV/0!</v>
      </c>
      <c r="AF27" s="167" t="e">
        <f t="shared" si="27"/>
        <v>#DIV/0!</v>
      </c>
      <c r="AG27" s="167" t="e">
        <f t="shared" si="27"/>
        <v>#DIV/0!</v>
      </c>
      <c r="AH27" s="167" t="e">
        <f t="shared" si="27"/>
        <v>#DIV/0!</v>
      </c>
      <c r="AI27" s="167" t="e">
        <f t="shared" si="27"/>
        <v>#DIV/0!</v>
      </c>
      <c r="AJ27" s="167" t="e">
        <f t="shared" si="27"/>
        <v>#DIV/0!</v>
      </c>
      <c r="AK27" s="167" t="e">
        <f t="shared" si="27"/>
        <v>#DIV/0!</v>
      </c>
      <c r="AL27" s="167" t="e">
        <f t="shared" si="27"/>
        <v>#DIV/0!</v>
      </c>
      <c r="AM27" s="167" t="e">
        <f t="shared" si="27"/>
        <v>#DIV/0!</v>
      </c>
      <c r="AN27" s="167" t="e">
        <f t="shared" si="27"/>
        <v>#DIV/0!</v>
      </c>
      <c r="AO27" s="167" t="e">
        <f t="shared" si="27"/>
        <v>#DIV/0!</v>
      </c>
    </row>
    <row r="28" spans="2:41" x14ac:dyDescent="0.15">
      <c r="B28" s="480"/>
      <c r="C28" s="129" t="s">
        <v>1002</v>
      </c>
      <c r="D28" s="370">
        <f>SUMIFS('caseload data'!E:E,'caseload data'!$D:$D,"PSO",'caseload data'!$A:$A,"London")</f>
        <v>0</v>
      </c>
      <c r="E28" s="94">
        <f>SUMIFS('caseload data'!F:F,'caseload data'!$D:$D,"PSO",'caseload data'!$A:$A,"London")</f>
        <v>0</v>
      </c>
      <c r="F28" s="94">
        <f>SUMIFS('caseload data'!G:G,'caseload data'!$D:$D,"PSO",'caseload data'!$A:$A,"London")</f>
        <v>0</v>
      </c>
      <c r="G28" s="94">
        <f>SUMIFS('caseload data'!H:H,'caseload data'!$D:$D,"PSO",'caseload data'!$A:$A,"London")</f>
        <v>0</v>
      </c>
      <c r="H28" s="94">
        <f>SUMIFS('caseload data'!I:I,'caseload data'!$D:$D,"PSO",'caseload data'!$A:$A,"London")</f>
        <v>0</v>
      </c>
      <c r="I28" s="94">
        <f>SUMIFS('caseload data'!J:J,'caseload data'!$D:$D,"PSO",'caseload data'!$A:$A,"London")</f>
        <v>0</v>
      </c>
      <c r="J28" s="94">
        <f>SUMIFS('caseload data'!K:K,'caseload data'!$D:$D,"PSO",'caseload data'!$A:$A,"London")</f>
        <v>0</v>
      </c>
      <c r="K28" s="94">
        <f>SUMIFS('caseload data'!L:L,'caseload data'!$D:$D,"PSO",'caseload data'!$A:$A,"London")</f>
        <v>0</v>
      </c>
      <c r="L28" s="94">
        <f>SUMIFS('caseload data'!M:M,'caseload data'!$D:$D,"PSO",'caseload data'!$A:$A,"London")</f>
        <v>0</v>
      </c>
      <c r="M28" s="94">
        <f>SUMIFS('caseload data'!N:N,'caseload data'!$D:$D,"PSO",'caseload data'!$A:$A,"London")</f>
        <v>0</v>
      </c>
      <c r="N28" s="94">
        <f>SUMIFS('caseload data'!O:O,'caseload data'!$D:$D,"PSO",'caseload data'!$A:$A,"London")</f>
        <v>0</v>
      </c>
      <c r="O28" s="94">
        <f>SUMIFS('caseload data'!P:P,'caseload data'!$D:$D,"PSO",'caseload data'!$A:$A,"London")</f>
        <v>0</v>
      </c>
      <c r="P28" s="94">
        <f>SUMIFS('caseload data'!Q:Q,'caseload data'!$D:$D,"PSO",'caseload data'!$A:$A,"London")</f>
        <v>0</v>
      </c>
      <c r="Q28" s="94">
        <f>SUMIFS('caseload data'!R:R,'caseload data'!$D:$D,"PSO",'caseload data'!$A:$A,"London")</f>
        <v>0</v>
      </c>
      <c r="R28" s="94">
        <f>SUMIFS('caseload data'!S:S,'caseload data'!$D:$D,"PSO",'caseload data'!$A:$A,"London")</f>
        <v>0</v>
      </c>
      <c r="S28" s="94">
        <f>SUMIFS('caseload data'!T:T,'caseload data'!$D:$D,"PSO",'caseload data'!$A:$A,"London")</f>
        <v>0</v>
      </c>
      <c r="T28" s="94">
        <f>SUMIFS('caseload data'!V:V,'caseload data'!$D:$D,"PSO",'caseload data'!$A:$A,"London")</f>
        <v>0</v>
      </c>
      <c r="U28" s="64"/>
      <c r="V28" s="64"/>
      <c r="W28" s="474"/>
      <c r="X28" s="129" t="s">
        <v>1002</v>
      </c>
      <c r="Y28" s="167" t="e">
        <f t="shared" ref="Y28:Z31" si="28">SUM(D28)/SUM(D$27:D$31)</f>
        <v>#DIV/0!</v>
      </c>
      <c r="Z28" s="167" t="e">
        <f t="shared" si="28"/>
        <v>#DIV/0!</v>
      </c>
      <c r="AA28" s="167" t="e">
        <f t="shared" si="27"/>
        <v>#DIV/0!</v>
      </c>
      <c r="AB28" s="167" t="e">
        <f t="shared" si="27"/>
        <v>#DIV/0!</v>
      </c>
      <c r="AC28" s="167" t="e">
        <f t="shared" si="27"/>
        <v>#DIV/0!</v>
      </c>
      <c r="AD28" s="167" t="e">
        <f t="shared" si="27"/>
        <v>#DIV/0!</v>
      </c>
      <c r="AE28" s="167" t="e">
        <f t="shared" si="27"/>
        <v>#DIV/0!</v>
      </c>
      <c r="AF28" s="167" t="e">
        <f t="shared" si="27"/>
        <v>#DIV/0!</v>
      </c>
      <c r="AG28" s="167" t="e">
        <f t="shared" si="27"/>
        <v>#DIV/0!</v>
      </c>
      <c r="AH28" s="167" t="e">
        <f t="shared" si="27"/>
        <v>#DIV/0!</v>
      </c>
      <c r="AI28" s="167" t="e">
        <f t="shared" si="27"/>
        <v>#DIV/0!</v>
      </c>
      <c r="AJ28" s="167" t="e">
        <f t="shared" si="27"/>
        <v>#DIV/0!</v>
      </c>
      <c r="AK28" s="167" t="e">
        <f t="shared" si="27"/>
        <v>#DIV/0!</v>
      </c>
      <c r="AL28" s="167" t="e">
        <f t="shared" si="27"/>
        <v>#DIV/0!</v>
      </c>
      <c r="AM28" s="167" t="e">
        <f t="shared" si="27"/>
        <v>#DIV/0!</v>
      </c>
      <c r="AN28" s="167" t="e">
        <f t="shared" si="27"/>
        <v>#DIV/0!</v>
      </c>
      <c r="AO28" s="167" t="e">
        <f t="shared" si="27"/>
        <v>#DIV/0!</v>
      </c>
    </row>
    <row r="29" spans="2:41" x14ac:dyDescent="0.15">
      <c r="B29" s="480"/>
      <c r="C29" s="129" t="s">
        <v>1003</v>
      </c>
      <c r="D29" s="370">
        <f>SUMIFS('caseload data'!E:E,'caseload data'!$D:$D,"TPO",'caseload data'!$A:$A,"London")</f>
        <v>0</v>
      </c>
      <c r="E29" s="94">
        <f>SUMIFS('caseload data'!F:F,'caseload data'!$D:$D,"TPO",'caseload data'!$A:$A,"London")</f>
        <v>0</v>
      </c>
      <c r="F29" s="94">
        <f>SUMIFS('caseload data'!G:G,'caseload data'!$D:$D,"TPO",'caseload data'!$A:$A,"London")</f>
        <v>0</v>
      </c>
      <c r="G29" s="94">
        <f>SUMIFS('caseload data'!H:H,'caseload data'!$D:$D,"TPO",'caseload data'!$A:$A,"London")</f>
        <v>0</v>
      </c>
      <c r="H29" s="94">
        <f>SUMIFS('caseload data'!I:I,'caseload data'!$D:$D,"TPO",'caseload data'!$A:$A,"London")</f>
        <v>0</v>
      </c>
      <c r="I29" s="94">
        <f>SUMIFS('caseload data'!J:J,'caseload data'!$D:$D,"TPO",'caseload data'!$A:$A,"London")</f>
        <v>0</v>
      </c>
      <c r="J29" s="94">
        <f>SUMIFS('caseload data'!K:K,'caseload data'!$D:$D,"TPO",'caseload data'!$A:$A,"London")</f>
        <v>0</v>
      </c>
      <c r="K29" s="94">
        <f>SUMIFS('caseload data'!L:L,'caseload data'!$D:$D,"TPO",'caseload data'!$A:$A,"London")</f>
        <v>0</v>
      </c>
      <c r="L29" s="94">
        <f>SUMIFS('caseload data'!M:M,'caseload data'!$D:$D,"TPO",'caseload data'!$A:$A,"London")</f>
        <v>0</v>
      </c>
      <c r="M29" s="94">
        <f>SUMIFS('caseload data'!N:N,'caseload data'!$D:$D,"TPO",'caseload data'!$A:$A,"London")</f>
        <v>0</v>
      </c>
      <c r="N29" s="94">
        <f>SUMIFS('caseload data'!O:O,'caseload data'!$D:$D,"TPO",'caseload data'!$A:$A,"London")</f>
        <v>0</v>
      </c>
      <c r="O29" s="94">
        <f>SUMIFS('caseload data'!P:P,'caseload data'!$D:$D,"TPO",'caseload data'!$A:$A,"London")</f>
        <v>0</v>
      </c>
      <c r="P29" s="94">
        <f>SUMIFS('caseload data'!Q:Q,'caseload data'!$D:$D,"TPO",'caseload data'!$A:$A,"London")</f>
        <v>0</v>
      </c>
      <c r="Q29" s="94">
        <f>SUMIFS('caseload data'!R:R,'caseload data'!$D:$D,"TPO",'caseload data'!$A:$A,"London")</f>
        <v>0</v>
      </c>
      <c r="R29" s="94">
        <f>SUMIFS('caseload data'!S:S,'caseload data'!$D:$D,"TPO",'caseload data'!$A:$A,"London")</f>
        <v>0</v>
      </c>
      <c r="S29" s="94">
        <f>SUMIFS('caseload data'!T:T,'caseload data'!$D:$D,"TPO",'caseload data'!$A:$A,"London")</f>
        <v>0</v>
      </c>
      <c r="T29" s="94">
        <f>SUMIFS('caseload data'!V:V,'caseload data'!$D:$D,"TPO",'caseload data'!$A:$A,"London")</f>
        <v>0</v>
      </c>
      <c r="U29" s="64"/>
      <c r="V29" s="64"/>
      <c r="W29" s="474"/>
      <c r="X29" s="129" t="s">
        <v>1003</v>
      </c>
      <c r="Y29" s="167" t="e">
        <f t="shared" si="28"/>
        <v>#DIV/0!</v>
      </c>
      <c r="Z29" s="167" t="e">
        <f t="shared" si="28"/>
        <v>#DIV/0!</v>
      </c>
      <c r="AA29" s="167" t="e">
        <f t="shared" si="27"/>
        <v>#DIV/0!</v>
      </c>
      <c r="AB29" s="167" t="e">
        <f t="shared" si="27"/>
        <v>#DIV/0!</v>
      </c>
      <c r="AC29" s="167" t="e">
        <f t="shared" si="27"/>
        <v>#DIV/0!</v>
      </c>
      <c r="AD29" s="167" t="e">
        <f t="shared" si="27"/>
        <v>#DIV/0!</v>
      </c>
      <c r="AE29" s="167" t="e">
        <f t="shared" si="27"/>
        <v>#DIV/0!</v>
      </c>
      <c r="AF29" s="167" t="e">
        <f t="shared" si="27"/>
        <v>#DIV/0!</v>
      </c>
      <c r="AG29" s="167" t="e">
        <f t="shared" si="27"/>
        <v>#DIV/0!</v>
      </c>
      <c r="AH29" s="167" t="e">
        <f t="shared" si="27"/>
        <v>#DIV/0!</v>
      </c>
      <c r="AI29" s="167" t="e">
        <f t="shared" si="27"/>
        <v>#DIV/0!</v>
      </c>
      <c r="AJ29" s="167" t="e">
        <f t="shared" si="27"/>
        <v>#DIV/0!</v>
      </c>
      <c r="AK29" s="167" t="e">
        <f t="shared" si="27"/>
        <v>#DIV/0!</v>
      </c>
      <c r="AL29" s="167" t="e">
        <f t="shared" si="27"/>
        <v>#DIV/0!</v>
      </c>
      <c r="AM29" s="167" t="e">
        <f t="shared" si="27"/>
        <v>#DIV/0!</v>
      </c>
      <c r="AN29" s="167" t="e">
        <f t="shared" si="27"/>
        <v>#DIV/0!</v>
      </c>
      <c r="AO29" s="167" t="e">
        <f t="shared" si="27"/>
        <v>#DIV/0!</v>
      </c>
    </row>
    <row r="30" spans="2:41" x14ac:dyDescent="0.15">
      <c r="B30" s="480"/>
      <c r="C30" s="129" t="s">
        <v>1004</v>
      </c>
      <c r="D30" s="370">
        <f>SUMIFS('caseload data'!E:E,'caseload data'!$D:$D,"SPO",'caseload data'!$A:$A,"London")</f>
        <v>0</v>
      </c>
      <c r="E30" s="94">
        <f>SUMIFS('caseload data'!F:F,'caseload data'!$D:$D,"SPO",'caseload data'!$A:$A,"London")</f>
        <v>0</v>
      </c>
      <c r="F30" s="94">
        <f>SUMIFS('caseload data'!G:G,'caseload data'!$D:$D,"SPO",'caseload data'!$A:$A,"London")</f>
        <v>0</v>
      </c>
      <c r="G30" s="94">
        <f>SUMIFS('caseload data'!H:H,'caseload data'!$D:$D,"SPO",'caseload data'!$A:$A,"London")</f>
        <v>0</v>
      </c>
      <c r="H30" s="94">
        <f>SUMIFS('caseload data'!I:I,'caseload data'!$D:$D,"SPO",'caseload data'!$A:$A,"London")</f>
        <v>0</v>
      </c>
      <c r="I30" s="94">
        <f>SUMIFS('caseload data'!J:J,'caseload data'!$D:$D,"SPO",'caseload data'!$A:$A,"London")</f>
        <v>0</v>
      </c>
      <c r="J30" s="94">
        <f>SUMIFS('caseload data'!K:K,'caseload data'!$D:$D,"SPO",'caseload data'!$A:$A,"London")</f>
        <v>0</v>
      </c>
      <c r="K30" s="94">
        <f>SUMIFS('caseload data'!L:L,'caseload data'!$D:$D,"SPO",'caseload data'!$A:$A,"London")</f>
        <v>0</v>
      </c>
      <c r="L30" s="94">
        <f>SUMIFS('caseload data'!M:M,'caseload data'!$D:$D,"SPO",'caseload data'!$A:$A,"London")</f>
        <v>0</v>
      </c>
      <c r="M30" s="94">
        <f>SUMIFS('caseload data'!N:N,'caseload data'!$D:$D,"SPO",'caseload data'!$A:$A,"London")</f>
        <v>0</v>
      </c>
      <c r="N30" s="94">
        <f>SUMIFS('caseload data'!O:O,'caseload data'!$D:$D,"SPO",'caseload data'!$A:$A,"London")</f>
        <v>0</v>
      </c>
      <c r="O30" s="94">
        <f>SUMIFS('caseload data'!P:P,'caseload data'!$D:$D,"SPO",'caseload data'!$A:$A,"London")</f>
        <v>0</v>
      </c>
      <c r="P30" s="94">
        <f>SUMIFS('caseload data'!Q:Q,'caseload data'!$D:$D,"SPO",'caseload data'!$A:$A,"London")</f>
        <v>0</v>
      </c>
      <c r="Q30" s="94">
        <f>SUMIFS('caseload data'!R:R,'caseload data'!$D:$D,"SPO",'caseload data'!$A:$A,"London")</f>
        <v>0</v>
      </c>
      <c r="R30" s="94">
        <f>SUMIFS('caseload data'!S:S,'caseload data'!$D:$D,"SPO",'caseload data'!$A:$A,"London")</f>
        <v>0</v>
      </c>
      <c r="S30" s="94">
        <f>SUMIFS('caseload data'!T:T,'caseload data'!$D:$D,"SPO",'caseload data'!$A:$A,"London")</f>
        <v>0</v>
      </c>
      <c r="T30" s="94">
        <f>SUMIFS('caseload data'!V:V,'caseload data'!$D:$D,"SPO",'caseload data'!$A:$A,"London")</f>
        <v>0</v>
      </c>
      <c r="U30" s="64"/>
      <c r="V30" s="64"/>
      <c r="W30" s="474"/>
      <c r="X30" s="129" t="s">
        <v>1004</v>
      </c>
      <c r="Y30" s="167" t="e">
        <f t="shared" si="28"/>
        <v>#DIV/0!</v>
      </c>
      <c r="Z30" s="167" t="e">
        <f t="shared" si="28"/>
        <v>#DIV/0!</v>
      </c>
      <c r="AA30" s="167" t="e">
        <f t="shared" si="27"/>
        <v>#DIV/0!</v>
      </c>
      <c r="AB30" s="167" t="e">
        <f t="shared" si="27"/>
        <v>#DIV/0!</v>
      </c>
      <c r="AC30" s="167" t="e">
        <f t="shared" si="27"/>
        <v>#DIV/0!</v>
      </c>
      <c r="AD30" s="167" t="e">
        <f t="shared" si="27"/>
        <v>#DIV/0!</v>
      </c>
      <c r="AE30" s="167" t="e">
        <f t="shared" si="27"/>
        <v>#DIV/0!</v>
      </c>
      <c r="AF30" s="167" t="e">
        <f t="shared" si="27"/>
        <v>#DIV/0!</v>
      </c>
      <c r="AG30" s="167" t="e">
        <f t="shared" si="27"/>
        <v>#DIV/0!</v>
      </c>
      <c r="AH30" s="167" t="e">
        <f t="shared" si="27"/>
        <v>#DIV/0!</v>
      </c>
      <c r="AI30" s="167" t="e">
        <f t="shared" si="27"/>
        <v>#DIV/0!</v>
      </c>
      <c r="AJ30" s="167" t="e">
        <f t="shared" si="27"/>
        <v>#DIV/0!</v>
      </c>
      <c r="AK30" s="167" t="e">
        <f t="shared" si="27"/>
        <v>#DIV/0!</v>
      </c>
      <c r="AL30" s="167" t="e">
        <f t="shared" si="27"/>
        <v>#DIV/0!</v>
      </c>
      <c r="AM30" s="167" t="e">
        <f t="shared" si="27"/>
        <v>#DIV/0!</v>
      </c>
      <c r="AN30" s="167" t="e">
        <f t="shared" si="27"/>
        <v>#DIV/0!</v>
      </c>
      <c r="AO30" s="167" t="e">
        <f t="shared" si="27"/>
        <v>#DIV/0!</v>
      </c>
    </row>
    <row r="31" spans="2:41" x14ac:dyDescent="0.15">
      <c r="B31" s="481"/>
      <c r="C31" s="130" t="s">
        <v>1339</v>
      </c>
      <c r="D31" s="370">
        <f>SUMIFS('caseload data'!E:E,'caseload data'!$D:$D,"DMY",'caseload data'!$A:$A,"London")</f>
        <v>0</v>
      </c>
      <c r="E31" s="370">
        <f>SUMIFS('caseload data'!F:F,'caseload data'!$D:$D,"DMY",'caseload data'!$A:$A,"London")</f>
        <v>0</v>
      </c>
      <c r="F31" s="370">
        <f>SUMIFS('caseload data'!G:G,'caseload data'!$D:$D,"DMY",'caseload data'!$A:$A,"London")</f>
        <v>0</v>
      </c>
      <c r="G31" s="370">
        <f>SUMIFS('caseload data'!H:H,'caseload data'!$D:$D,"DMY",'caseload data'!$A:$A,"London")</f>
        <v>0</v>
      </c>
      <c r="H31" s="370">
        <f>SUMIFS('caseload data'!I:I,'caseload data'!$D:$D,"DMY",'caseload data'!$A:$A,"London")</f>
        <v>0</v>
      </c>
      <c r="I31" s="370">
        <f>SUMIFS('caseload data'!J:J,'caseload data'!$D:$D,"DMY",'caseload data'!$A:$A,"London")</f>
        <v>0</v>
      </c>
      <c r="J31" s="370">
        <f>SUMIFS('caseload data'!K:K,'caseload data'!$D:$D,"DMY",'caseload data'!$A:$A,"London")</f>
        <v>0</v>
      </c>
      <c r="K31" s="370">
        <f>SUMIFS('caseload data'!L:L,'caseload data'!$D:$D,"DMY",'caseload data'!$A:$A,"London")</f>
        <v>0</v>
      </c>
      <c r="L31" s="370">
        <f>SUMIFS('caseload data'!M:M,'caseload data'!$D:$D,"DMY",'caseload data'!$A:$A,"London")</f>
        <v>0</v>
      </c>
      <c r="M31" s="370">
        <f>SUMIFS('caseload data'!N:N,'caseload data'!$D:$D,"DMY",'caseload data'!$A:$A,"London")</f>
        <v>0</v>
      </c>
      <c r="N31" s="370">
        <f>SUMIFS('caseload data'!O:O,'caseload data'!$D:$D,"DMY",'caseload data'!$A:$A,"London")</f>
        <v>0</v>
      </c>
      <c r="O31" s="370">
        <f>SUMIFS('caseload data'!P:P,'caseload data'!$D:$D,"DMY",'caseload data'!$A:$A,"London")</f>
        <v>0</v>
      </c>
      <c r="P31" s="370">
        <f>SUMIFS('caseload data'!Q:Q,'caseload data'!$D:$D,"DMY",'caseload data'!$A:$A,"London")</f>
        <v>0</v>
      </c>
      <c r="Q31" s="370">
        <f>SUMIFS('caseload data'!R:R,'caseload data'!$D:$D,"DMY",'caseload data'!$A:$A,"London")</f>
        <v>0</v>
      </c>
      <c r="R31" s="370">
        <f>SUMIFS('caseload data'!S:S,'caseload data'!$D:$D,"DMY",'caseload data'!$A:$A,"London")</f>
        <v>0</v>
      </c>
      <c r="S31" s="370">
        <f>SUMIFS('caseload data'!T:T,'caseload data'!$D:$D,"DMY",'caseload data'!$A:$A,"London")</f>
        <v>0</v>
      </c>
      <c r="T31" s="94">
        <f>SUMIFS('caseload data'!V:V,'caseload data'!$D:$D,"DMY",'caseload data'!$A:$A,"London")</f>
        <v>0</v>
      </c>
      <c r="U31" s="64"/>
      <c r="V31" s="64"/>
      <c r="W31" s="475"/>
      <c r="X31" s="130" t="s">
        <v>1339</v>
      </c>
      <c r="Y31" s="167" t="e">
        <f t="shared" si="28"/>
        <v>#DIV/0!</v>
      </c>
      <c r="Z31" s="167" t="e">
        <f t="shared" si="28"/>
        <v>#DIV/0!</v>
      </c>
      <c r="AA31" s="167" t="e">
        <f t="shared" si="27"/>
        <v>#DIV/0!</v>
      </c>
      <c r="AB31" s="167" t="e">
        <f t="shared" si="27"/>
        <v>#DIV/0!</v>
      </c>
      <c r="AC31" s="167" t="e">
        <f t="shared" si="27"/>
        <v>#DIV/0!</v>
      </c>
      <c r="AD31" s="167" t="e">
        <f t="shared" si="27"/>
        <v>#DIV/0!</v>
      </c>
      <c r="AE31" s="167" t="e">
        <f t="shared" si="27"/>
        <v>#DIV/0!</v>
      </c>
      <c r="AF31" s="167" t="e">
        <f t="shared" si="27"/>
        <v>#DIV/0!</v>
      </c>
      <c r="AG31" s="167" t="e">
        <f t="shared" si="27"/>
        <v>#DIV/0!</v>
      </c>
      <c r="AH31" s="167" t="e">
        <f t="shared" si="27"/>
        <v>#DIV/0!</v>
      </c>
      <c r="AI31" s="167" t="e">
        <f t="shared" si="27"/>
        <v>#DIV/0!</v>
      </c>
      <c r="AJ31" s="167" t="e">
        <f t="shared" si="27"/>
        <v>#DIV/0!</v>
      </c>
      <c r="AK31" s="167" t="e">
        <f t="shared" si="27"/>
        <v>#DIV/0!</v>
      </c>
      <c r="AL31" s="167" t="e">
        <f t="shared" si="27"/>
        <v>#DIV/0!</v>
      </c>
      <c r="AM31" s="167" t="e">
        <f t="shared" si="27"/>
        <v>#DIV/0!</v>
      </c>
      <c r="AN31" s="167" t="e">
        <f t="shared" si="27"/>
        <v>#DIV/0!</v>
      </c>
      <c r="AO31" s="167" t="e">
        <f t="shared" si="27"/>
        <v>#DIV/0!</v>
      </c>
    </row>
    <row r="32" spans="2:41" x14ac:dyDescent="0.15">
      <c r="B32" s="479" t="s">
        <v>22</v>
      </c>
      <c r="C32" s="128" t="s">
        <v>997</v>
      </c>
      <c r="D32" s="370">
        <f>SUMIFS('caseload data'!E:E,'caseload data'!$D:$D,"PO",'caseload data'!$A:$A,$B$32)</f>
        <v>0</v>
      </c>
      <c r="E32" s="94">
        <f>SUMIFS('caseload data'!F:F,'caseload data'!$D:$D,"PO",'caseload data'!$A:$A,$B$32)</f>
        <v>0</v>
      </c>
      <c r="F32" s="94">
        <f>SUMIFS('caseload data'!G:G,'caseload data'!$D:$D,"PO",'caseload data'!$A:$A,$B$32)</f>
        <v>0</v>
      </c>
      <c r="G32" s="94">
        <f>SUMIFS('caseload data'!H:H,'caseload data'!$D:$D,"PO",'caseload data'!$A:$A,$B$32)</f>
        <v>0</v>
      </c>
      <c r="H32" s="94">
        <f>SUMIFS('caseload data'!I:I,'caseload data'!$D:$D,"PO",'caseload data'!$A:$A,$B$32)</f>
        <v>0</v>
      </c>
      <c r="I32" s="94">
        <f>SUMIFS('caseload data'!J:J,'caseload data'!$D:$D,"PO",'caseload data'!$A:$A,$B$32)</f>
        <v>0</v>
      </c>
      <c r="J32" s="94">
        <f>SUMIFS('caseload data'!K:K,'caseload data'!$D:$D,"PO",'caseload data'!$A:$A,$B$32)</f>
        <v>0</v>
      </c>
      <c r="K32" s="94">
        <f>SUMIFS('caseload data'!L:L,'caseload data'!$D:$D,"PO",'caseload data'!$A:$A,$B$32)</f>
        <v>0</v>
      </c>
      <c r="L32" s="94">
        <f>SUMIFS('caseload data'!M:M,'caseload data'!$D:$D,"PO",'caseload data'!$A:$A,$B$32)</f>
        <v>0</v>
      </c>
      <c r="M32" s="94">
        <f>SUMIFS('caseload data'!N:N,'caseload data'!$D:$D,"PO",'caseload data'!$A:$A,$B$32)</f>
        <v>0</v>
      </c>
      <c r="N32" s="94">
        <f>SUMIFS('caseload data'!O:O,'caseload data'!$D:$D,"PO",'caseload data'!$A:$A,$B$32)</f>
        <v>0</v>
      </c>
      <c r="O32" s="94">
        <f>SUMIFS('caseload data'!P:P,'caseload data'!$D:$D,"PO",'caseload data'!$A:$A,$B$32)</f>
        <v>0</v>
      </c>
      <c r="P32" s="94">
        <f>SUMIFS('caseload data'!Q:Q,'caseload data'!$D:$D,"PO",'caseload data'!$A:$A,$B$32)</f>
        <v>0</v>
      </c>
      <c r="Q32" s="94">
        <f>SUMIFS('caseload data'!R:R,'caseload data'!$D:$D,"PO",'caseload data'!$A:$A,$B$32)</f>
        <v>0</v>
      </c>
      <c r="R32" s="94">
        <f>SUMIFS('caseload data'!S:S,'caseload data'!$D:$D,"PO",'caseload data'!$A:$A,$B$32)</f>
        <v>0</v>
      </c>
      <c r="S32" s="94">
        <f>SUMIFS('caseload data'!T:T,'caseload data'!$D:$D,"PO",'caseload data'!$A:$A,$B$32)</f>
        <v>0</v>
      </c>
      <c r="T32" s="94">
        <f>SUMIFS('caseload data'!V:V,'caseload data'!$D:$D,"PO",'caseload data'!$A:$A,B32)</f>
        <v>0</v>
      </c>
      <c r="U32" s="64"/>
      <c r="V32" s="64"/>
      <c r="W32" s="473" t="s">
        <v>22</v>
      </c>
      <c r="X32" s="128" t="s">
        <v>997</v>
      </c>
      <c r="Y32" s="167" t="e">
        <f>SUM(D32)/SUM(D$32:D$36)</f>
        <v>#DIV/0!</v>
      </c>
      <c r="Z32" s="167" t="e">
        <f t="shared" ref="Z32:AO36" si="29">SUM(E32)/SUM(E$32:E$36)</f>
        <v>#DIV/0!</v>
      </c>
      <c r="AA32" s="167" t="e">
        <f t="shared" si="29"/>
        <v>#DIV/0!</v>
      </c>
      <c r="AB32" s="167" t="e">
        <f t="shared" si="29"/>
        <v>#DIV/0!</v>
      </c>
      <c r="AC32" s="167" t="e">
        <f t="shared" si="29"/>
        <v>#DIV/0!</v>
      </c>
      <c r="AD32" s="167" t="e">
        <f t="shared" si="29"/>
        <v>#DIV/0!</v>
      </c>
      <c r="AE32" s="167" t="e">
        <f t="shared" si="29"/>
        <v>#DIV/0!</v>
      </c>
      <c r="AF32" s="167" t="e">
        <f t="shared" si="29"/>
        <v>#DIV/0!</v>
      </c>
      <c r="AG32" s="167" t="e">
        <f t="shared" si="29"/>
        <v>#DIV/0!</v>
      </c>
      <c r="AH32" s="167" t="e">
        <f t="shared" si="29"/>
        <v>#DIV/0!</v>
      </c>
      <c r="AI32" s="167" t="e">
        <f t="shared" si="29"/>
        <v>#DIV/0!</v>
      </c>
      <c r="AJ32" s="167" t="e">
        <f t="shared" si="29"/>
        <v>#DIV/0!</v>
      </c>
      <c r="AK32" s="167" t="e">
        <f t="shared" si="29"/>
        <v>#DIV/0!</v>
      </c>
      <c r="AL32" s="167" t="e">
        <f t="shared" si="29"/>
        <v>#DIV/0!</v>
      </c>
      <c r="AM32" s="167" t="e">
        <f t="shared" si="29"/>
        <v>#DIV/0!</v>
      </c>
      <c r="AN32" s="167" t="e">
        <f t="shared" si="29"/>
        <v>#DIV/0!</v>
      </c>
      <c r="AO32" s="167" t="e">
        <f t="shared" si="29"/>
        <v>#DIV/0!</v>
      </c>
    </row>
    <row r="33" spans="2:41" x14ac:dyDescent="0.15">
      <c r="B33" s="480"/>
      <c r="C33" s="129" t="s">
        <v>1002</v>
      </c>
      <c r="D33" s="370">
        <f>SUMIFS('caseload data'!E:E,'caseload data'!$D:$D,"PSO",'caseload data'!$A:$A,"North East Region")</f>
        <v>0</v>
      </c>
      <c r="E33" s="94">
        <f>SUMIFS('caseload data'!F:F,'caseload data'!$D:$D,"PSO",'caseload data'!$A:$A,"North East Region")</f>
        <v>0</v>
      </c>
      <c r="F33" s="94">
        <f>SUMIFS('caseload data'!G:G,'caseload data'!$D:$D,"PSO",'caseload data'!$A:$A,"North East Region")</f>
        <v>0</v>
      </c>
      <c r="G33" s="94">
        <f>SUMIFS('caseload data'!H:H,'caseload data'!$D:$D,"PSO",'caseload data'!$A:$A,"North East Region")</f>
        <v>0</v>
      </c>
      <c r="H33" s="94">
        <f>SUMIFS('caseload data'!I:I,'caseload data'!$D:$D,"PSO",'caseload data'!$A:$A,"North East Region")</f>
        <v>0</v>
      </c>
      <c r="I33" s="94">
        <f>SUMIFS('caseload data'!J:J,'caseload data'!$D:$D,"PSO",'caseload data'!$A:$A,"North East Region")</f>
        <v>0</v>
      </c>
      <c r="J33" s="94">
        <f>SUMIFS('caseload data'!K:K,'caseload data'!$D:$D,"PSO",'caseload data'!$A:$A,"North East Region")</f>
        <v>0</v>
      </c>
      <c r="K33" s="94">
        <f>SUMIFS('caseload data'!L:L,'caseload data'!$D:$D,"PSO",'caseload data'!$A:$A,"North East Region")</f>
        <v>0</v>
      </c>
      <c r="L33" s="94">
        <f>SUMIFS('caseload data'!M:M,'caseload data'!$D:$D,"PSO",'caseload data'!$A:$A,"North East Region")</f>
        <v>0</v>
      </c>
      <c r="M33" s="94">
        <f>SUMIFS('caseload data'!N:N,'caseload data'!$D:$D,"PSO",'caseload data'!$A:$A,"North East Region")</f>
        <v>0</v>
      </c>
      <c r="N33" s="94">
        <f>SUMIFS('caseload data'!O:O,'caseload data'!$D:$D,"PSO",'caseload data'!$A:$A,"North East Region")</f>
        <v>0</v>
      </c>
      <c r="O33" s="94">
        <f>SUMIFS('caseload data'!P:P,'caseload data'!$D:$D,"PSO",'caseload data'!$A:$A,"North East Region")</f>
        <v>0</v>
      </c>
      <c r="P33" s="94">
        <f>SUMIFS('caseload data'!Q:Q,'caseload data'!$D:$D,"PSO",'caseload data'!$A:$A,"North East Region")</f>
        <v>0</v>
      </c>
      <c r="Q33" s="94">
        <f>SUMIFS('caseload data'!R:R,'caseload data'!$D:$D,"PSO",'caseload data'!$A:$A,"North East Region")</f>
        <v>0</v>
      </c>
      <c r="R33" s="94">
        <f>SUMIFS('caseload data'!S:S,'caseload data'!$D:$D,"PSO",'caseload data'!$A:$A,"North East Region")</f>
        <v>0</v>
      </c>
      <c r="S33" s="94">
        <f>SUMIFS('caseload data'!T:T,'caseload data'!$D:$D,"PSO",'caseload data'!$A:$A,"North East Region")</f>
        <v>0</v>
      </c>
      <c r="T33" s="94">
        <f>SUMIFS('caseload data'!V:V,'caseload data'!$D:$D,"PSO",'caseload data'!$A:$A,"North East Region")</f>
        <v>0</v>
      </c>
      <c r="U33" s="64"/>
      <c r="V33" s="64"/>
      <c r="W33" s="474"/>
      <c r="X33" s="129" t="s">
        <v>1002</v>
      </c>
      <c r="Y33" s="167" t="e">
        <f t="shared" ref="Y33:Y36" si="30">SUM(D33)/SUM(D$32:D$36)</f>
        <v>#DIV/0!</v>
      </c>
      <c r="Z33" s="167" t="e">
        <f t="shared" si="29"/>
        <v>#DIV/0!</v>
      </c>
      <c r="AA33" s="167" t="e">
        <f t="shared" si="29"/>
        <v>#DIV/0!</v>
      </c>
      <c r="AB33" s="167" t="e">
        <f t="shared" si="29"/>
        <v>#DIV/0!</v>
      </c>
      <c r="AC33" s="167" t="e">
        <f t="shared" si="29"/>
        <v>#DIV/0!</v>
      </c>
      <c r="AD33" s="167" t="e">
        <f t="shared" si="29"/>
        <v>#DIV/0!</v>
      </c>
      <c r="AE33" s="167" t="e">
        <f t="shared" si="29"/>
        <v>#DIV/0!</v>
      </c>
      <c r="AF33" s="167" t="e">
        <f t="shared" si="29"/>
        <v>#DIV/0!</v>
      </c>
      <c r="AG33" s="167" t="e">
        <f t="shared" si="29"/>
        <v>#DIV/0!</v>
      </c>
      <c r="AH33" s="167" t="e">
        <f t="shared" si="29"/>
        <v>#DIV/0!</v>
      </c>
      <c r="AI33" s="167" t="e">
        <f t="shared" si="29"/>
        <v>#DIV/0!</v>
      </c>
      <c r="AJ33" s="167" t="e">
        <f t="shared" si="29"/>
        <v>#DIV/0!</v>
      </c>
      <c r="AK33" s="167" t="e">
        <f t="shared" si="29"/>
        <v>#DIV/0!</v>
      </c>
      <c r="AL33" s="167" t="e">
        <f t="shared" si="29"/>
        <v>#DIV/0!</v>
      </c>
      <c r="AM33" s="167" t="e">
        <f t="shared" si="29"/>
        <v>#DIV/0!</v>
      </c>
      <c r="AN33" s="167" t="e">
        <f t="shared" si="29"/>
        <v>#DIV/0!</v>
      </c>
      <c r="AO33" s="167" t="e">
        <f t="shared" si="29"/>
        <v>#DIV/0!</v>
      </c>
    </row>
    <row r="34" spans="2:41" x14ac:dyDescent="0.15">
      <c r="B34" s="480"/>
      <c r="C34" s="129" t="s">
        <v>1003</v>
      </c>
      <c r="D34" s="370">
        <f>SUMIFS('caseload data'!E:E,'caseload data'!$D:$D,"TPO",'caseload data'!$A:$A,"North East Region")</f>
        <v>0</v>
      </c>
      <c r="E34" s="94">
        <f>SUMIFS('caseload data'!F:F,'caseload data'!$D:$D,"TPO",'caseload data'!$A:$A,"North East Region")</f>
        <v>0</v>
      </c>
      <c r="F34" s="94">
        <f>SUMIFS('caseload data'!G:G,'caseload data'!$D:$D,"TPO",'caseload data'!$A:$A,"North East Region")</f>
        <v>0</v>
      </c>
      <c r="G34" s="94">
        <f>SUMIFS('caseload data'!H:H,'caseload data'!$D:$D,"TPO",'caseload data'!$A:$A,"North East Region")</f>
        <v>0</v>
      </c>
      <c r="H34" s="94">
        <f>SUMIFS('caseload data'!I:I,'caseload data'!$D:$D,"TPO",'caseload data'!$A:$A,"North East Region")</f>
        <v>0</v>
      </c>
      <c r="I34" s="94">
        <f>SUMIFS('caseload data'!J:J,'caseload data'!$D:$D,"TPO",'caseload data'!$A:$A,"North East Region")</f>
        <v>0</v>
      </c>
      <c r="J34" s="94">
        <f>SUMIFS('caseload data'!K:K,'caseload data'!$D:$D,"TPO",'caseload data'!$A:$A,"North East Region")</f>
        <v>0</v>
      </c>
      <c r="K34" s="94">
        <f>SUMIFS('caseload data'!L:L,'caseload data'!$D:$D,"TPO",'caseload data'!$A:$A,"North East Region")</f>
        <v>0</v>
      </c>
      <c r="L34" s="94">
        <f>SUMIFS('caseload data'!M:M,'caseload data'!$D:$D,"TPO",'caseload data'!$A:$A,"North East Region")</f>
        <v>0</v>
      </c>
      <c r="M34" s="94">
        <f>SUMIFS('caseload data'!N:N,'caseload data'!$D:$D,"TPO",'caseload data'!$A:$A,"North East Region")</f>
        <v>0</v>
      </c>
      <c r="N34" s="94">
        <f>SUMIFS('caseload data'!O:O,'caseload data'!$D:$D,"TPO",'caseload data'!$A:$A,"North East Region")</f>
        <v>0</v>
      </c>
      <c r="O34" s="94">
        <f>SUMIFS('caseload data'!P:P,'caseload data'!$D:$D,"TPO",'caseload data'!$A:$A,"North East Region")</f>
        <v>0</v>
      </c>
      <c r="P34" s="94">
        <f>SUMIFS('caseload data'!Q:Q,'caseload data'!$D:$D,"TPO",'caseload data'!$A:$A,"North East Region")</f>
        <v>0</v>
      </c>
      <c r="Q34" s="94">
        <f>SUMIFS('caseload data'!R:R,'caseload data'!$D:$D,"TPO",'caseload data'!$A:$A,"North East Region")</f>
        <v>0</v>
      </c>
      <c r="R34" s="94">
        <f>SUMIFS('caseload data'!S:S,'caseload data'!$D:$D,"TPO",'caseload data'!$A:$A,"North East Region")</f>
        <v>0</v>
      </c>
      <c r="S34" s="94">
        <f>SUMIFS('caseload data'!T:T,'caseload data'!$D:$D,"TPO",'caseload data'!$A:$A,"North East Region")</f>
        <v>0</v>
      </c>
      <c r="T34" s="94">
        <f>SUMIFS('caseload data'!V:V,'caseload data'!$D:$D,"TPO",'caseload data'!$A:$A,"North East Region")</f>
        <v>0</v>
      </c>
      <c r="U34" s="64"/>
      <c r="V34" s="64"/>
      <c r="W34" s="474"/>
      <c r="X34" s="129" t="s">
        <v>1003</v>
      </c>
      <c r="Y34" s="167" t="e">
        <f t="shared" si="30"/>
        <v>#DIV/0!</v>
      </c>
      <c r="Z34" s="167" t="e">
        <f t="shared" si="29"/>
        <v>#DIV/0!</v>
      </c>
      <c r="AA34" s="167" t="e">
        <f t="shared" si="29"/>
        <v>#DIV/0!</v>
      </c>
      <c r="AB34" s="167" t="e">
        <f t="shared" si="29"/>
        <v>#DIV/0!</v>
      </c>
      <c r="AC34" s="167" t="e">
        <f t="shared" si="29"/>
        <v>#DIV/0!</v>
      </c>
      <c r="AD34" s="167" t="e">
        <f t="shared" si="29"/>
        <v>#DIV/0!</v>
      </c>
      <c r="AE34" s="167" t="e">
        <f t="shared" si="29"/>
        <v>#DIV/0!</v>
      </c>
      <c r="AF34" s="167" t="e">
        <f t="shared" si="29"/>
        <v>#DIV/0!</v>
      </c>
      <c r="AG34" s="167" t="e">
        <f t="shared" si="29"/>
        <v>#DIV/0!</v>
      </c>
      <c r="AH34" s="167" t="e">
        <f t="shared" si="29"/>
        <v>#DIV/0!</v>
      </c>
      <c r="AI34" s="167" t="e">
        <f t="shared" si="29"/>
        <v>#DIV/0!</v>
      </c>
      <c r="AJ34" s="167" t="e">
        <f t="shared" si="29"/>
        <v>#DIV/0!</v>
      </c>
      <c r="AK34" s="167" t="e">
        <f t="shared" si="29"/>
        <v>#DIV/0!</v>
      </c>
      <c r="AL34" s="167" t="e">
        <f t="shared" si="29"/>
        <v>#DIV/0!</v>
      </c>
      <c r="AM34" s="167" t="e">
        <f t="shared" si="29"/>
        <v>#DIV/0!</v>
      </c>
      <c r="AN34" s="167" t="e">
        <f t="shared" si="29"/>
        <v>#DIV/0!</v>
      </c>
      <c r="AO34" s="167" t="e">
        <f t="shared" si="29"/>
        <v>#DIV/0!</v>
      </c>
    </row>
    <row r="35" spans="2:41" x14ac:dyDescent="0.15">
      <c r="B35" s="480"/>
      <c r="C35" s="129" t="s">
        <v>1004</v>
      </c>
      <c r="D35" s="370">
        <f>SUMIFS('caseload data'!E:E,'caseload data'!$D:$D,"SPO",'caseload data'!$A:$A,"North East Region")</f>
        <v>0</v>
      </c>
      <c r="E35" s="94">
        <f>SUMIFS('caseload data'!F:F,'caseload data'!$D:$D,"SPO",'caseload data'!$A:$A,"North East Region")</f>
        <v>0</v>
      </c>
      <c r="F35" s="94">
        <f>SUMIFS('caseload data'!G:G,'caseload data'!$D:$D,"SPO",'caseload data'!$A:$A,"North East Region")</f>
        <v>0</v>
      </c>
      <c r="G35" s="94">
        <f>SUMIFS('caseload data'!H:H,'caseload data'!$D:$D,"SPO",'caseload data'!$A:$A,"North East Region")</f>
        <v>0</v>
      </c>
      <c r="H35" s="94">
        <f>SUMIFS('caseload data'!I:I,'caseload data'!$D:$D,"SPO",'caseload data'!$A:$A,"North East Region")</f>
        <v>0</v>
      </c>
      <c r="I35" s="94">
        <f>SUMIFS('caseload data'!J:J,'caseload data'!$D:$D,"SPO",'caseload data'!$A:$A,"North East Region")</f>
        <v>0</v>
      </c>
      <c r="J35" s="94">
        <f>SUMIFS('caseload data'!K:K,'caseload data'!$D:$D,"SPO",'caseload data'!$A:$A,"North East Region")</f>
        <v>0</v>
      </c>
      <c r="K35" s="94">
        <f>SUMIFS('caseload data'!L:L,'caseload data'!$D:$D,"SPO",'caseload data'!$A:$A,"North East Region")</f>
        <v>0</v>
      </c>
      <c r="L35" s="94">
        <f>SUMIFS('caseload data'!M:M,'caseload data'!$D:$D,"SPO",'caseload data'!$A:$A,"North East Region")</f>
        <v>0</v>
      </c>
      <c r="M35" s="94">
        <f>SUMIFS('caseload data'!N:N,'caseload data'!$D:$D,"SPO",'caseload data'!$A:$A,"North East Region")</f>
        <v>0</v>
      </c>
      <c r="N35" s="94">
        <f>SUMIFS('caseload data'!O:O,'caseload data'!$D:$D,"SPO",'caseload data'!$A:$A,"North East Region")</f>
        <v>0</v>
      </c>
      <c r="O35" s="94">
        <f>SUMIFS('caseload data'!P:P,'caseload data'!$D:$D,"SPO",'caseload data'!$A:$A,"North East Region")</f>
        <v>0</v>
      </c>
      <c r="P35" s="94">
        <f>SUMIFS('caseload data'!Q:Q,'caseload data'!$D:$D,"SPO",'caseload data'!$A:$A,"North East Region")</f>
        <v>0</v>
      </c>
      <c r="Q35" s="94">
        <f>SUMIFS('caseload data'!R:R,'caseload data'!$D:$D,"SPO",'caseload data'!$A:$A,"North East Region")</f>
        <v>0</v>
      </c>
      <c r="R35" s="94">
        <f>SUMIFS('caseload data'!S:S,'caseload data'!$D:$D,"SPO",'caseload data'!$A:$A,"North East Region")</f>
        <v>0</v>
      </c>
      <c r="S35" s="94">
        <f>SUMIFS('caseload data'!T:T,'caseload data'!$D:$D,"SPO",'caseload data'!$A:$A,"North East Region")</f>
        <v>0</v>
      </c>
      <c r="T35" s="94">
        <f>SUMIFS('caseload data'!V:V,'caseload data'!$D:$D,"SPO",'caseload data'!$A:$A,"North East Region")</f>
        <v>0</v>
      </c>
      <c r="U35" s="64"/>
      <c r="V35" s="64"/>
      <c r="W35" s="474"/>
      <c r="X35" s="129" t="s">
        <v>1004</v>
      </c>
      <c r="Y35" s="167" t="e">
        <f t="shared" si="30"/>
        <v>#DIV/0!</v>
      </c>
      <c r="Z35" s="167" t="e">
        <f t="shared" si="29"/>
        <v>#DIV/0!</v>
      </c>
      <c r="AA35" s="167" t="e">
        <f t="shared" si="29"/>
        <v>#DIV/0!</v>
      </c>
      <c r="AB35" s="167" t="e">
        <f t="shared" si="29"/>
        <v>#DIV/0!</v>
      </c>
      <c r="AC35" s="167" t="e">
        <f t="shared" si="29"/>
        <v>#DIV/0!</v>
      </c>
      <c r="AD35" s="167" t="e">
        <f t="shared" si="29"/>
        <v>#DIV/0!</v>
      </c>
      <c r="AE35" s="167" t="e">
        <f t="shared" si="29"/>
        <v>#DIV/0!</v>
      </c>
      <c r="AF35" s="167" t="e">
        <f t="shared" si="29"/>
        <v>#DIV/0!</v>
      </c>
      <c r="AG35" s="167" t="e">
        <f t="shared" si="29"/>
        <v>#DIV/0!</v>
      </c>
      <c r="AH35" s="167" t="e">
        <f t="shared" si="29"/>
        <v>#DIV/0!</v>
      </c>
      <c r="AI35" s="167" t="e">
        <f t="shared" si="29"/>
        <v>#DIV/0!</v>
      </c>
      <c r="AJ35" s="167" t="e">
        <f t="shared" si="29"/>
        <v>#DIV/0!</v>
      </c>
      <c r="AK35" s="167" t="e">
        <f t="shared" si="29"/>
        <v>#DIV/0!</v>
      </c>
      <c r="AL35" s="167" t="e">
        <f t="shared" si="29"/>
        <v>#DIV/0!</v>
      </c>
      <c r="AM35" s="167" t="e">
        <f t="shared" si="29"/>
        <v>#DIV/0!</v>
      </c>
      <c r="AN35" s="167" t="e">
        <f t="shared" si="29"/>
        <v>#DIV/0!</v>
      </c>
      <c r="AO35" s="167" t="e">
        <f t="shared" si="29"/>
        <v>#DIV/0!</v>
      </c>
    </row>
    <row r="36" spans="2:41" x14ac:dyDescent="0.15">
      <c r="B36" s="481"/>
      <c r="C36" s="130" t="s">
        <v>1339</v>
      </c>
      <c r="D36" s="370">
        <f>SUMIFS('caseload data'!E:E,'caseload data'!$D:$D,"DMY",'caseload data'!$A:$A,"North East Region")</f>
        <v>0</v>
      </c>
      <c r="E36" s="370">
        <f>SUMIFS('caseload data'!F:F,'caseload data'!$D:$D,"DMY",'caseload data'!$A:$A,"North East Region")</f>
        <v>0</v>
      </c>
      <c r="F36" s="370">
        <f>SUMIFS('caseload data'!G:G,'caseload data'!$D:$D,"DMY",'caseload data'!$A:$A,"North East Region")</f>
        <v>0</v>
      </c>
      <c r="G36" s="370">
        <f>SUMIFS('caseload data'!H:H,'caseload data'!$D:$D,"DMY",'caseload data'!$A:$A,"North East Region")</f>
        <v>0</v>
      </c>
      <c r="H36" s="370">
        <f>SUMIFS('caseload data'!I:I,'caseload data'!$D:$D,"DMY",'caseload data'!$A:$A,"North East Region")</f>
        <v>0</v>
      </c>
      <c r="I36" s="370">
        <f>SUMIFS('caseload data'!J:J,'caseload data'!$D:$D,"DMY",'caseload data'!$A:$A,"North East Region")</f>
        <v>0</v>
      </c>
      <c r="J36" s="370">
        <f>SUMIFS('caseload data'!K:K,'caseload data'!$D:$D,"DMY",'caseload data'!$A:$A,"North East Region")</f>
        <v>0</v>
      </c>
      <c r="K36" s="370">
        <f>SUMIFS('caseload data'!L:L,'caseload data'!$D:$D,"DMY",'caseload data'!$A:$A,"North East Region")</f>
        <v>0</v>
      </c>
      <c r="L36" s="370">
        <f>SUMIFS('caseload data'!M:M,'caseload data'!$D:$D,"DMY",'caseload data'!$A:$A,"North East Region")</f>
        <v>0</v>
      </c>
      <c r="M36" s="370">
        <f>SUMIFS('caseload data'!N:N,'caseload data'!$D:$D,"DMY",'caseload data'!$A:$A,"North East Region")</f>
        <v>0</v>
      </c>
      <c r="N36" s="370">
        <f>SUMIFS('caseload data'!O:O,'caseload data'!$D:$D,"DMY",'caseload data'!$A:$A,"North East Region")</f>
        <v>0</v>
      </c>
      <c r="O36" s="370">
        <f>SUMIFS('caseload data'!P:P,'caseload data'!$D:$D,"DMY",'caseload data'!$A:$A,"North East Region")</f>
        <v>0</v>
      </c>
      <c r="P36" s="370">
        <f>SUMIFS('caseload data'!Q:Q,'caseload data'!$D:$D,"DMY",'caseload data'!$A:$A,"North East Region")</f>
        <v>0</v>
      </c>
      <c r="Q36" s="370">
        <f>SUMIFS('caseload data'!R:R,'caseload data'!$D:$D,"DMY",'caseload data'!$A:$A,"North East Region")</f>
        <v>0</v>
      </c>
      <c r="R36" s="370">
        <f>SUMIFS('caseload data'!S:S,'caseload data'!$D:$D,"DMY",'caseload data'!$A:$A,"North East Region")</f>
        <v>0</v>
      </c>
      <c r="S36" s="370">
        <f>SUMIFS('caseload data'!T:T,'caseload data'!$D:$D,"DMY",'caseload data'!$A:$A,"North East Region")</f>
        <v>0</v>
      </c>
      <c r="T36" s="94">
        <f>SUMIFS('caseload data'!V:V,'caseload data'!$D:$D,"DMY",'caseload data'!$A:$A,"North East Region")</f>
        <v>0</v>
      </c>
      <c r="U36" s="64"/>
      <c r="V36" s="64"/>
      <c r="W36" s="475"/>
      <c r="X36" s="130" t="s">
        <v>1339</v>
      </c>
      <c r="Y36" s="167" t="e">
        <f t="shared" si="30"/>
        <v>#DIV/0!</v>
      </c>
      <c r="Z36" s="167" t="e">
        <f t="shared" si="29"/>
        <v>#DIV/0!</v>
      </c>
      <c r="AA36" s="167" t="e">
        <f t="shared" si="29"/>
        <v>#DIV/0!</v>
      </c>
      <c r="AB36" s="167" t="e">
        <f t="shared" si="29"/>
        <v>#DIV/0!</v>
      </c>
      <c r="AC36" s="167" t="e">
        <f t="shared" si="29"/>
        <v>#DIV/0!</v>
      </c>
      <c r="AD36" s="167" t="e">
        <f t="shared" si="29"/>
        <v>#DIV/0!</v>
      </c>
      <c r="AE36" s="167" t="e">
        <f t="shared" si="29"/>
        <v>#DIV/0!</v>
      </c>
      <c r="AF36" s="167" t="e">
        <f t="shared" si="29"/>
        <v>#DIV/0!</v>
      </c>
      <c r="AG36" s="167" t="e">
        <f t="shared" si="29"/>
        <v>#DIV/0!</v>
      </c>
      <c r="AH36" s="167" t="e">
        <f t="shared" si="29"/>
        <v>#DIV/0!</v>
      </c>
      <c r="AI36" s="167" t="e">
        <f t="shared" si="29"/>
        <v>#DIV/0!</v>
      </c>
      <c r="AJ36" s="167" t="e">
        <f t="shared" si="29"/>
        <v>#DIV/0!</v>
      </c>
      <c r="AK36" s="167" t="e">
        <f t="shared" si="29"/>
        <v>#DIV/0!</v>
      </c>
      <c r="AL36" s="167" t="e">
        <f t="shared" si="29"/>
        <v>#DIV/0!</v>
      </c>
      <c r="AM36" s="167" t="e">
        <f t="shared" si="29"/>
        <v>#DIV/0!</v>
      </c>
      <c r="AN36" s="167" t="e">
        <f t="shared" si="29"/>
        <v>#DIV/0!</v>
      </c>
      <c r="AO36" s="167" t="e">
        <f t="shared" si="29"/>
        <v>#DIV/0!</v>
      </c>
    </row>
    <row r="37" spans="2:41" x14ac:dyDescent="0.15">
      <c r="B37" s="473" t="s">
        <v>23</v>
      </c>
      <c r="C37" s="128" t="s">
        <v>997</v>
      </c>
      <c r="D37" s="370">
        <f>SUMIFS('caseload data'!E:E,'caseload data'!$D:$D,"PO",'caseload data'!$A:$A,$B$37)</f>
        <v>0</v>
      </c>
      <c r="E37" s="94">
        <f>SUMIFS('caseload data'!F:F,'caseload data'!$D:$D,"PO",'caseload data'!$A:$A,$B$37)</f>
        <v>0</v>
      </c>
      <c r="F37" s="94">
        <f>SUMIFS('caseload data'!G:G,'caseload data'!$D:$D,"PO",'caseload data'!$A:$A,$B$37)</f>
        <v>0</v>
      </c>
      <c r="G37" s="94">
        <f>SUMIFS('caseload data'!H:H,'caseload data'!$D:$D,"PO",'caseload data'!$A:$A,$B$37)</f>
        <v>0</v>
      </c>
      <c r="H37" s="94">
        <f>SUMIFS('caseload data'!I:I,'caseload data'!$D:$D,"PO",'caseload data'!$A:$A,$B$37)</f>
        <v>0</v>
      </c>
      <c r="I37" s="94">
        <f>SUMIFS('caseload data'!J:J,'caseload data'!$D:$D,"PO",'caseload data'!$A:$A,$B$37)</f>
        <v>0</v>
      </c>
      <c r="J37" s="94">
        <f>SUMIFS('caseload data'!K:K,'caseload data'!$D:$D,"PO",'caseload data'!$A:$A,$B$37)</f>
        <v>0</v>
      </c>
      <c r="K37" s="94">
        <f>SUMIFS('caseload data'!L:L,'caseload data'!$D:$D,"PO",'caseload data'!$A:$A,$B$37)</f>
        <v>0</v>
      </c>
      <c r="L37" s="94">
        <f>SUMIFS('caseload data'!M:M,'caseload data'!$D:$D,"PO",'caseload data'!$A:$A,$B$37)</f>
        <v>0</v>
      </c>
      <c r="M37" s="94">
        <f>SUMIFS('caseload data'!N:N,'caseload data'!$D:$D,"PO",'caseload data'!$A:$A,$B$37)</f>
        <v>0</v>
      </c>
      <c r="N37" s="94">
        <f>SUMIFS('caseload data'!O:O,'caseload data'!$D:$D,"PO",'caseload data'!$A:$A,$B$37)</f>
        <v>0</v>
      </c>
      <c r="O37" s="94">
        <f>SUMIFS('caseload data'!P:P,'caseload data'!$D:$D,"PO",'caseload data'!$A:$A,$B$37)</f>
        <v>0</v>
      </c>
      <c r="P37" s="94">
        <f>SUMIFS('caseload data'!Q:Q,'caseload data'!$D:$D,"PO",'caseload data'!$A:$A,$B$37)</f>
        <v>0</v>
      </c>
      <c r="Q37" s="94">
        <f>SUMIFS('caseload data'!R:R,'caseload data'!$D:$D,"PO",'caseload data'!$A:$A,$B$37)</f>
        <v>0</v>
      </c>
      <c r="R37" s="94">
        <f>SUMIFS('caseload data'!S:S,'caseload data'!$D:$D,"PO",'caseload data'!$A:$A,$B$37)</f>
        <v>0</v>
      </c>
      <c r="S37" s="94">
        <f>SUMIFS('caseload data'!T:T,'caseload data'!$D:$D,"PO",'caseload data'!$A:$A,$B$37)</f>
        <v>0</v>
      </c>
      <c r="T37" s="94">
        <f>SUMIFS('caseload data'!V:V,'caseload data'!$D:$D,"PO",'caseload data'!$A:$A,B37)</f>
        <v>0</v>
      </c>
      <c r="U37" s="64"/>
      <c r="V37" s="64"/>
      <c r="W37" s="473" t="s">
        <v>23</v>
      </c>
      <c r="X37" s="128" t="s">
        <v>997</v>
      </c>
      <c r="Y37" s="167" t="e">
        <f>SUM(D37)/SUM(D$37:D$41)</f>
        <v>#DIV/0!</v>
      </c>
      <c r="Z37" s="167" t="e">
        <f>SUM(E37)/SUM(E$37:E$41)</f>
        <v>#DIV/0!</v>
      </c>
      <c r="AA37" s="167" t="e">
        <f t="shared" ref="AA37:AO41" si="31">SUM(F37)/SUM(F$37:F$41)</f>
        <v>#DIV/0!</v>
      </c>
      <c r="AB37" s="167" t="e">
        <f t="shared" si="31"/>
        <v>#DIV/0!</v>
      </c>
      <c r="AC37" s="167" t="e">
        <f t="shared" si="31"/>
        <v>#DIV/0!</v>
      </c>
      <c r="AD37" s="167" t="e">
        <f t="shared" si="31"/>
        <v>#DIV/0!</v>
      </c>
      <c r="AE37" s="167" t="e">
        <f t="shared" si="31"/>
        <v>#DIV/0!</v>
      </c>
      <c r="AF37" s="167" t="e">
        <f t="shared" si="31"/>
        <v>#DIV/0!</v>
      </c>
      <c r="AG37" s="167" t="e">
        <f t="shared" si="31"/>
        <v>#DIV/0!</v>
      </c>
      <c r="AH37" s="167" t="e">
        <f t="shared" si="31"/>
        <v>#DIV/0!</v>
      </c>
      <c r="AI37" s="167" t="e">
        <f t="shared" si="31"/>
        <v>#DIV/0!</v>
      </c>
      <c r="AJ37" s="167" t="e">
        <f t="shared" si="31"/>
        <v>#DIV/0!</v>
      </c>
      <c r="AK37" s="167" t="e">
        <f t="shared" si="31"/>
        <v>#DIV/0!</v>
      </c>
      <c r="AL37" s="167" t="e">
        <f t="shared" si="31"/>
        <v>#DIV/0!</v>
      </c>
      <c r="AM37" s="167" t="e">
        <f t="shared" si="31"/>
        <v>#DIV/0!</v>
      </c>
      <c r="AN37" s="167" t="e">
        <f t="shared" si="31"/>
        <v>#DIV/0!</v>
      </c>
      <c r="AO37" s="167" t="e">
        <f t="shared" si="31"/>
        <v>#DIV/0!</v>
      </c>
    </row>
    <row r="38" spans="2:41" x14ac:dyDescent="0.15">
      <c r="B38" s="474"/>
      <c r="C38" s="129" t="s">
        <v>1002</v>
      </c>
      <c r="D38" s="370">
        <f>SUMIFS('caseload data'!E:E,'caseload data'!$D:$D,"PSO",'caseload data'!$A:$A,"North West Region")</f>
        <v>0</v>
      </c>
      <c r="E38" s="94">
        <f>SUMIFS('caseload data'!F:F,'caseload data'!$D:$D,"PSO",'caseload data'!$A:$A,"North West Region")</f>
        <v>0</v>
      </c>
      <c r="F38" s="94">
        <f>SUMIFS('caseload data'!G:G,'caseload data'!$D:$D,"PSO",'caseload data'!$A:$A,"North West Region")</f>
        <v>0</v>
      </c>
      <c r="G38" s="94">
        <f>SUMIFS('caseload data'!H:H,'caseload data'!$D:$D,"PSO",'caseload data'!$A:$A,"North West Region")</f>
        <v>0</v>
      </c>
      <c r="H38" s="94">
        <f>SUMIFS('caseload data'!I:I,'caseload data'!$D:$D,"PSO",'caseload data'!$A:$A,"North West Region")</f>
        <v>0</v>
      </c>
      <c r="I38" s="94">
        <f>SUMIFS('caseload data'!J:J,'caseload data'!$D:$D,"PSO",'caseload data'!$A:$A,"North West Region")</f>
        <v>0</v>
      </c>
      <c r="J38" s="94">
        <f>SUMIFS('caseload data'!K:K,'caseload data'!$D:$D,"PSO",'caseload data'!$A:$A,"North West Region")</f>
        <v>0</v>
      </c>
      <c r="K38" s="94">
        <f>SUMIFS('caseload data'!L:L,'caseload data'!$D:$D,"PSO",'caseload data'!$A:$A,"North West Region")</f>
        <v>0</v>
      </c>
      <c r="L38" s="94">
        <f>SUMIFS('caseload data'!M:M,'caseload data'!$D:$D,"PSO",'caseload data'!$A:$A,"North West Region")</f>
        <v>0</v>
      </c>
      <c r="M38" s="94">
        <f>SUMIFS('caseload data'!N:N,'caseload data'!$D:$D,"PSO",'caseload data'!$A:$A,"North West Region")</f>
        <v>0</v>
      </c>
      <c r="N38" s="94">
        <f>SUMIFS('caseload data'!O:O,'caseload data'!$D:$D,"PSO",'caseload data'!$A:$A,"North West Region")</f>
        <v>0</v>
      </c>
      <c r="O38" s="94">
        <f>SUMIFS('caseload data'!P:P,'caseload data'!$D:$D,"PSO",'caseload data'!$A:$A,"North West Region")</f>
        <v>0</v>
      </c>
      <c r="P38" s="94">
        <f>SUMIFS('caseload data'!Q:Q,'caseload data'!$D:$D,"PSO",'caseload data'!$A:$A,"North West Region")</f>
        <v>0</v>
      </c>
      <c r="Q38" s="94">
        <f>SUMIFS('caseload data'!R:R,'caseload data'!$D:$D,"PSO",'caseload data'!$A:$A,"North West Region")</f>
        <v>0</v>
      </c>
      <c r="R38" s="94">
        <f>SUMIFS('caseload data'!S:S,'caseload data'!$D:$D,"PSO",'caseload data'!$A:$A,"North West Region")</f>
        <v>0</v>
      </c>
      <c r="S38" s="94">
        <f>SUMIFS('caseload data'!T:T,'caseload data'!$D:$D,"PSO",'caseload data'!$A:$A,"North West Region")</f>
        <v>0</v>
      </c>
      <c r="T38" s="94">
        <f>SUMIFS('caseload data'!V:V,'caseload data'!$D:$D,"PSO",'caseload data'!$A:$A,"North West Region")</f>
        <v>0</v>
      </c>
      <c r="U38" s="64"/>
      <c r="V38" s="64"/>
      <c r="W38" s="474"/>
      <c r="X38" s="129" t="s">
        <v>1002</v>
      </c>
      <c r="Y38" s="167" t="e">
        <f t="shared" ref="Y38:Z41" si="32">SUM(D38)/SUM(D$37:D$41)</f>
        <v>#DIV/0!</v>
      </c>
      <c r="Z38" s="167" t="e">
        <f t="shared" si="32"/>
        <v>#DIV/0!</v>
      </c>
      <c r="AA38" s="167" t="e">
        <f t="shared" si="31"/>
        <v>#DIV/0!</v>
      </c>
      <c r="AB38" s="167" t="e">
        <f t="shared" si="31"/>
        <v>#DIV/0!</v>
      </c>
      <c r="AC38" s="167" t="e">
        <f t="shared" si="31"/>
        <v>#DIV/0!</v>
      </c>
      <c r="AD38" s="167" t="e">
        <f t="shared" si="31"/>
        <v>#DIV/0!</v>
      </c>
      <c r="AE38" s="167" t="e">
        <f t="shared" si="31"/>
        <v>#DIV/0!</v>
      </c>
      <c r="AF38" s="167" t="e">
        <f t="shared" si="31"/>
        <v>#DIV/0!</v>
      </c>
      <c r="AG38" s="167" t="e">
        <f t="shared" si="31"/>
        <v>#DIV/0!</v>
      </c>
      <c r="AH38" s="167" t="e">
        <f t="shared" si="31"/>
        <v>#DIV/0!</v>
      </c>
      <c r="AI38" s="167" t="e">
        <f t="shared" si="31"/>
        <v>#DIV/0!</v>
      </c>
      <c r="AJ38" s="167" t="e">
        <f t="shared" si="31"/>
        <v>#DIV/0!</v>
      </c>
      <c r="AK38" s="167" t="e">
        <f t="shared" si="31"/>
        <v>#DIV/0!</v>
      </c>
      <c r="AL38" s="167" t="e">
        <f t="shared" si="31"/>
        <v>#DIV/0!</v>
      </c>
      <c r="AM38" s="167" t="e">
        <f t="shared" si="31"/>
        <v>#DIV/0!</v>
      </c>
      <c r="AN38" s="167" t="e">
        <f t="shared" si="31"/>
        <v>#DIV/0!</v>
      </c>
      <c r="AO38" s="167" t="e">
        <f t="shared" si="31"/>
        <v>#DIV/0!</v>
      </c>
    </row>
    <row r="39" spans="2:41" x14ac:dyDescent="0.15">
      <c r="B39" s="474"/>
      <c r="C39" s="129" t="s">
        <v>1003</v>
      </c>
      <c r="D39" s="370">
        <f>SUMIFS('caseload data'!E:E,'caseload data'!$D:$D,"TPO",'caseload data'!$A:$A,"North West Region")</f>
        <v>0</v>
      </c>
      <c r="E39" s="94">
        <f>SUMIFS('caseload data'!F:F,'caseload data'!$D:$D,"TPO",'caseload data'!$A:$A,"North West Region")</f>
        <v>0</v>
      </c>
      <c r="F39" s="94">
        <f>SUMIFS('caseload data'!G:G,'caseload data'!$D:$D,"TPO",'caseload data'!$A:$A,"North West Region")</f>
        <v>0</v>
      </c>
      <c r="G39" s="94">
        <f>SUMIFS('caseload data'!H:H,'caseload data'!$D:$D,"TPO",'caseload data'!$A:$A,"North West Region")</f>
        <v>0</v>
      </c>
      <c r="H39" s="94">
        <f>SUMIFS('caseload data'!I:I,'caseload data'!$D:$D,"TPO",'caseload data'!$A:$A,"North West Region")</f>
        <v>0</v>
      </c>
      <c r="I39" s="94">
        <f>SUMIFS('caseload data'!J:J,'caseload data'!$D:$D,"TPO",'caseload data'!$A:$A,"North West Region")</f>
        <v>0</v>
      </c>
      <c r="J39" s="94">
        <f>SUMIFS('caseload data'!K:K,'caseload data'!$D:$D,"TPO",'caseload data'!$A:$A,"North West Region")</f>
        <v>0</v>
      </c>
      <c r="K39" s="94">
        <f>SUMIFS('caseload data'!L:L,'caseload data'!$D:$D,"TPO",'caseload data'!$A:$A,"North West Region")</f>
        <v>0</v>
      </c>
      <c r="L39" s="94">
        <f>SUMIFS('caseload data'!M:M,'caseload data'!$D:$D,"TPO",'caseload data'!$A:$A,"North West Region")</f>
        <v>0</v>
      </c>
      <c r="M39" s="94">
        <f>SUMIFS('caseload data'!N:N,'caseload data'!$D:$D,"TPO",'caseload data'!$A:$A,"North West Region")</f>
        <v>0</v>
      </c>
      <c r="N39" s="94">
        <f>SUMIFS('caseload data'!O:O,'caseload data'!$D:$D,"TPO",'caseload data'!$A:$A,"North West Region")</f>
        <v>0</v>
      </c>
      <c r="O39" s="94">
        <f>SUMIFS('caseload data'!P:P,'caseload data'!$D:$D,"TPO",'caseload data'!$A:$A,"North West Region")</f>
        <v>0</v>
      </c>
      <c r="P39" s="94">
        <f>SUMIFS('caseload data'!Q:Q,'caseload data'!$D:$D,"TPO",'caseload data'!$A:$A,"North West Region")</f>
        <v>0</v>
      </c>
      <c r="Q39" s="94">
        <f>SUMIFS('caseload data'!R:R,'caseload data'!$D:$D,"TPO",'caseload data'!$A:$A,"North West Region")</f>
        <v>0</v>
      </c>
      <c r="R39" s="94">
        <f>SUMIFS('caseload data'!S:S,'caseload data'!$D:$D,"TPO",'caseload data'!$A:$A,"North West Region")</f>
        <v>0</v>
      </c>
      <c r="S39" s="94">
        <f>SUMIFS('caseload data'!T:T,'caseload data'!$D:$D,"TPO",'caseload data'!$A:$A,"North West Region")</f>
        <v>0</v>
      </c>
      <c r="T39" s="94">
        <f>SUMIFS('caseload data'!V:V,'caseload data'!$D:$D,"TPO",'caseload data'!$A:$A,"North West Region")</f>
        <v>0</v>
      </c>
      <c r="U39" s="64"/>
      <c r="V39" s="64"/>
      <c r="W39" s="474"/>
      <c r="X39" s="129" t="s">
        <v>1003</v>
      </c>
      <c r="Y39" s="167" t="e">
        <f t="shared" si="32"/>
        <v>#DIV/0!</v>
      </c>
      <c r="Z39" s="167" t="e">
        <f t="shared" si="32"/>
        <v>#DIV/0!</v>
      </c>
      <c r="AA39" s="167" t="e">
        <f t="shared" si="31"/>
        <v>#DIV/0!</v>
      </c>
      <c r="AB39" s="167" t="e">
        <f t="shared" si="31"/>
        <v>#DIV/0!</v>
      </c>
      <c r="AC39" s="167" t="e">
        <f t="shared" si="31"/>
        <v>#DIV/0!</v>
      </c>
      <c r="AD39" s="167" t="e">
        <f t="shared" si="31"/>
        <v>#DIV/0!</v>
      </c>
      <c r="AE39" s="167" t="e">
        <f t="shared" si="31"/>
        <v>#DIV/0!</v>
      </c>
      <c r="AF39" s="167" t="e">
        <f t="shared" si="31"/>
        <v>#DIV/0!</v>
      </c>
      <c r="AG39" s="167" t="e">
        <f t="shared" si="31"/>
        <v>#DIV/0!</v>
      </c>
      <c r="AH39" s="167" t="e">
        <f t="shared" si="31"/>
        <v>#DIV/0!</v>
      </c>
      <c r="AI39" s="167" t="e">
        <f t="shared" si="31"/>
        <v>#DIV/0!</v>
      </c>
      <c r="AJ39" s="167" t="e">
        <f t="shared" si="31"/>
        <v>#DIV/0!</v>
      </c>
      <c r="AK39" s="167" t="e">
        <f t="shared" si="31"/>
        <v>#DIV/0!</v>
      </c>
      <c r="AL39" s="167" t="e">
        <f t="shared" si="31"/>
        <v>#DIV/0!</v>
      </c>
      <c r="AM39" s="167" t="e">
        <f t="shared" si="31"/>
        <v>#DIV/0!</v>
      </c>
      <c r="AN39" s="167" t="e">
        <f t="shared" si="31"/>
        <v>#DIV/0!</v>
      </c>
      <c r="AO39" s="167" t="e">
        <f t="shared" si="31"/>
        <v>#DIV/0!</v>
      </c>
    </row>
    <row r="40" spans="2:41" x14ac:dyDescent="0.15">
      <c r="B40" s="474"/>
      <c r="C40" s="129" t="s">
        <v>1004</v>
      </c>
      <c r="D40" s="370">
        <f>SUMIFS('caseload data'!E:E,'caseload data'!$D:$D,"SPO",'caseload data'!$A:$A,"North West Region")</f>
        <v>0</v>
      </c>
      <c r="E40" s="94">
        <f>SUMIFS('caseload data'!F:F,'caseload data'!$D:$D,"SPO",'caseload data'!$A:$A,"North West Region")</f>
        <v>0</v>
      </c>
      <c r="F40" s="94">
        <f>SUMIFS('caseload data'!G:G,'caseload data'!$D:$D,"SPO",'caseload data'!$A:$A,"North West Region")</f>
        <v>0</v>
      </c>
      <c r="G40" s="94">
        <f>SUMIFS('caseload data'!H:H,'caseload data'!$D:$D,"SPO",'caseload data'!$A:$A,"North West Region")</f>
        <v>0</v>
      </c>
      <c r="H40" s="94">
        <f>SUMIFS('caseload data'!I:I,'caseload data'!$D:$D,"SPO",'caseload data'!$A:$A,"North West Region")</f>
        <v>0</v>
      </c>
      <c r="I40" s="94">
        <f>SUMIFS('caseload data'!J:J,'caseload data'!$D:$D,"SPO",'caseload data'!$A:$A,"North West Region")</f>
        <v>0</v>
      </c>
      <c r="J40" s="94">
        <f>SUMIFS('caseload data'!K:K,'caseload data'!$D:$D,"SPO",'caseload data'!$A:$A,"North West Region")</f>
        <v>0</v>
      </c>
      <c r="K40" s="94">
        <f>SUMIFS('caseload data'!L:L,'caseload data'!$D:$D,"SPO",'caseload data'!$A:$A,"North West Region")</f>
        <v>0</v>
      </c>
      <c r="L40" s="94">
        <f>SUMIFS('caseload data'!M:M,'caseload data'!$D:$D,"SPO",'caseload data'!$A:$A,"North West Region")</f>
        <v>0</v>
      </c>
      <c r="M40" s="94">
        <f>SUMIFS('caseload data'!N:N,'caseload data'!$D:$D,"SPO",'caseload data'!$A:$A,"North West Region")</f>
        <v>0</v>
      </c>
      <c r="N40" s="94">
        <f>SUMIFS('caseload data'!O:O,'caseload data'!$D:$D,"SPO",'caseload data'!$A:$A,"North West Region")</f>
        <v>0</v>
      </c>
      <c r="O40" s="94">
        <f>SUMIFS('caseload data'!P:P,'caseload data'!$D:$D,"SPO",'caseload data'!$A:$A,"North West Region")</f>
        <v>0</v>
      </c>
      <c r="P40" s="94">
        <f>SUMIFS('caseload data'!Q:Q,'caseload data'!$D:$D,"SPO",'caseload data'!$A:$A,"North West Region")</f>
        <v>0</v>
      </c>
      <c r="Q40" s="94">
        <f>SUMIFS('caseload data'!R:R,'caseload data'!$D:$D,"SPO",'caseload data'!$A:$A,"North West Region")</f>
        <v>0</v>
      </c>
      <c r="R40" s="94">
        <f>SUMIFS('caseload data'!S:S,'caseload data'!$D:$D,"SPO",'caseload data'!$A:$A,"North West Region")</f>
        <v>0</v>
      </c>
      <c r="S40" s="94">
        <f>SUMIFS('caseload data'!T:T,'caseload data'!$D:$D,"SPO",'caseload data'!$A:$A,"North West Region")</f>
        <v>0</v>
      </c>
      <c r="T40" s="94">
        <f>SUMIFS('caseload data'!V:V,'caseload data'!$D:$D,"SPO",'caseload data'!$A:$A,"North West Region")</f>
        <v>0</v>
      </c>
      <c r="U40" s="64"/>
      <c r="V40" s="64"/>
      <c r="W40" s="474"/>
      <c r="X40" s="129" t="s">
        <v>1004</v>
      </c>
      <c r="Y40" s="167" t="e">
        <f t="shared" si="32"/>
        <v>#DIV/0!</v>
      </c>
      <c r="Z40" s="167" t="e">
        <f t="shared" si="32"/>
        <v>#DIV/0!</v>
      </c>
      <c r="AA40" s="167" t="e">
        <f t="shared" si="31"/>
        <v>#DIV/0!</v>
      </c>
      <c r="AB40" s="167" t="e">
        <f t="shared" si="31"/>
        <v>#DIV/0!</v>
      </c>
      <c r="AC40" s="167" t="e">
        <f t="shared" si="31"/>
        <v>#DIV/0!</v>
      </c>
      <c r="AD40" s="167" t="e">
        <f t="shared" si="31"/>
        <v>#DIV/0!</v>
      </c>
      <c r="AE40" s="167" t="e">
        <f t="shared" si="31"/>
        <v>#DIV/0!</v>
      </c>
      <c r="AF40" s="167" t="e">
        <f t="shared" si="31"/>
        <v>#DIV/0!</v>
      </c>
      <c r="AG40" s="167" t="e">
        <f t="shared" si="31"/>
        <v>#DIV/0!</v>
      </c>
      <c r="AH40" s="167" t="e">
        <f t="shared" si="31"/>
        <v>#DIV/0!</v>
      </c>
      <c r="AI40" s="167" t="e">
        <f t="shared" si="31"/>
        <v>#DIV/0!</v>
      </c>
      <c r="AJ40" s="167" t="e">
        <f t="shared" si="31"/>
        <v>#DIV/0!</v>
      </c>
      <c r="AK40" s="167" t="e">
        <f t="shared" si="31"/>
        <v>#DIV/0!</v>
      </c>
      <c r="AL40" s="167" t="e">
        <f t="shared" si="31"/>
        <v>#DIV/0!</v>
      </c>
      <c r="AM40" s="167" t="e">
        <f t="shared" si="31"/>
        <v>#DIV/0!</v>
      </c>
      <c r="AN40" s="167" t="e">
        <f t="shared" si="31"/>
        <v>#DIV/0!</v>
      </c>
      <c r="AO40" s="167" t="e">
        <f t="shared" si="31"/>
        <v>#DIV/0!</v>
      </c>
    </row>
    <row r="41" spans="2:41" x14ac:dyDescent="0.15">
      <c r="B41" s="475"/>
      <c r="C41" s="130" t="s">
        <v>1339</v>
      </c>
      <c r="D41" s="370">
        <f>SUMIFS('caseload data'!E:E,'caseload data'!$D:$D,"DMY",'caseload data'!$A:$A,"North West Region")</f>
        <v>0</v>
      </c>
      <c r="E41" s="370">
        <f>SUMIFS('caseload data'!F:F,'caseload data'!$D:$D,"DMY",'caseload data'!$A:$A,"North West Region")</f>
        <v>0</v>
      </c>
      <c r="F41" s="370">
        <f>SUMIFS('caseload data'!G:G,'caseload data'!$D:$D,"DMY",'caseload data'!$A:$A,"North West Region")</f>
        <v>0</v>
      </c>
      <c r="G41" s="370">
        <f>SUMIFS('caseload data'!H:H,'caseload data'!$D:$D,"DMY",'caseload data'!$A:$A,"North West Region")</f>
        <v>0</v>
      </c>
      <c r="H41" s="370">
        <f>SUMIFS('caseload data'!I:I,'caseload data'!$D:$D,"DMY",'caseload data'!$A:$A,"North West Region")</f>
        <v>0</v>
      </c>
      <c r="I41" s="370">
        <f>SUMIFS('caseload data'!J:J,'caseload data'!$D:$D,"DMY",'caseload data'!$A:$A,"North West Region")</f>
        <v>0</v>
      </c>
      <c r="J41" s="370">
        <f>SUMIFS('caseload data'!K:K,'caseload data'!$D:$D,"DMY",'caseload data'!$A:$A,"North West Region")</f>
        <v>0</v>
      </c>
      <c r="K41" s="370">
        <f>SUMIFS('caseload data'!L:L,'caseload data'!$D:$D,"DMY",'caseload data'!$A:$A,"North West Region")</f>
        <v>0</v>
      </c>
      <c r="L41" s="370">
        <f>SUMIFS('caseload data'!M:M,'caseload data'!$D:$D,"DMY",'caseload data'!$A:$A,"North West Region")</f>
        <v>0</v>
      </c>
      <c r="M41" s="370">
        <f>SUMIFS('caseload data'!N:N,'caseload data'!$D:$D,"DMY",'caseload data'!$A:$A,"North West Region")</f>
        <v>0</v>
      </c>
      <c r="N41" s="370">
        <f>SUMIFS('caseload data'!O:O,'caseload data'!$D:$D,"DMY",'caseload data'!$A:$A,"North West Region")</f>
        <v>0</v>
      </c>
      <c r="O41" s="370">
        <f>SUMIFS('caseload data'!P:P,'caseload data'!$D:$D,"DMY",'caseload data'!$A:$A,"North West Region")</f>
        <v>0</v>
      </c>
      <c r="P41" s="370">
        <f>SUMIFS('caseload data'!Q:Q,'caseload data'!$D:$D,"DMY",'caseload data'!$A:$A,"North West Region")</f>
        <v>0</v>
      </c>
      <c r="Q41" s="370">
        <f>SUMIFS('caseload data'!R:R,'caseload data'!$D:$D,"DMY",'caseload data'!$A:$A,"North West Region")</f>
        <v>0</v>
      </c>
      <c r="R41" s="370">
        <f>SUMIFS('caseload data'!S:S,'caseload data'!$D:$D,"DMY",'caseload data'!$A:$A,"North West Region")</f>
        <v>0</v>
      </c>
      <c r="S41" s="370">
        <f>SUMIFS('caseload data'!T:T,'caseload data'!$D:$D,"DMY",'caseload data'!$A:$A,"North West Region")</f>
        <v>0</v>
      </c>
      <c r="T41" s="94">
        <f>SUMIFS('caseload data'!V:V,'caseload data'!$D:$D,"DMY",'caseload data'!$A:$A,"North West Region")</f>
        <v>0</v>
      </c>
      <c r="U41" s="64"/>
      <c r="V41" s="64"/>
      <c r="W41" s="475"/>
      <c r="X41" s="130" t="s">
        <v>1339</v>
      </c>
      <c r="Y41" s="167" t="e">
        <f t="shared" si="32"/>
        <v>#DIV/0!</v>
      </c>
      <c r="Z41" s="167" t="e">
        <f t="shared" si="32"/>
        <v>#DIV/0!</v>
      </c>
      <c r="AA41" s="167" t="e">
        <f t="shared" si="31"/>
        <v>#DIV/0!</v>
      </c>
      <c r="AB41" s="167" t="e">
        <f t="shared" si="31"/>
        <v>#DIV/0!</v>
      </c>
      <c r="AC41" s="167" t="e">
        <f t="shared" si="31"/>
        <v>#DIV/0!</v>
      </c>
      <c r="AD41" s="167" t="e">
        <f t="shared" si="31"/>
        <v>#DIV/0!</v>
      </c>
      <c r="AE41" s="167" t="e">
        <f t="shared" si="31"/>
        <v>#DIV/0!</v>
      </c>
      <c r="AF41" s="167" t="e">
        <f t="shared" si="31"/>
        <v>#DIV/0!</v>
      </c>
      <c r="AG41" s="167" t="e">
        <f t="shared" si="31"/>
        <v>#DIV/0!</v>
      </c>
      <c r="AH41" s="167" t="e">
        <f t="shared" si="31"/>
        <v>#DIV/0!</v>
      </c>
      <c r="AI41" s="167" t="e">
        <f t="shared" si="31"/>
        <v>#DIV/0!</v>
      </c>
      <c r="AJ41" s="167" t="e">
        <f t="shared" si="31"/>
        <v>#DIV/0!</v>
      </c>
      <c r="AK41" s="167" t="e">
        <f t="shared" si="31"/>
        <v>#DIV/0!</v>
      </c>
      <c r="AL41" s="167" t="e">
        <f t="shared" si="31"/>
        <v>#DIV/0!</v>
      </c>
      <c r="AM41" s="167" t="e">
        <f t="shared" si="31"/>
        <v>#DIV/0!</v>
      </c>
      <c r="AN41" s="167" t="e">
        <f t="shared" si="31"/>
        <v>#DIV/0!</v>
      </c>
      <c r="AO41" s="167" t="e">
        <f t="shared" si="31"/>
        <v>#DIV/0!</v>
      </c>
    </row>
    <row r="42" spans="2:41" x14ac:dyDescent="0.15">
      <c r="B42" s="479" t="s">
        <v>24</v>
      </c>
      <c r="C42" s="128" t="s">
        <v>997</v>
      </c>
      <c r="D42" s="370">
        <f>SUMIFS('caseload data'!E:E,'caseload data'!$D:$D,"PO",'caseload data'!$A:$A,$B$42)</f>
        <v>0</v>
      </c>
      <c r="E42" s="94">
        <f>SUMIFS('caseload data'!F:F,'caseload data'!$D:$D,"PO",'caseload data'!$A:$A,$B$42)</f>
        <v>0</v>
      </c>
      <c r="F42" s="94">
        <f>SUMIFS('caseload data'!G:G,'caseload data'!$D:$D,"PO",'caseload data'!$A:$A,$B$42)</f>
        <v>0</v>
      </c>
      <c r="G42" s="94">
        <f>SUMIFS('caseload data'!H:H,'caseload data'!$D:$D,"PO",'caseload data'!$A:$A,$B$42)</f>
        <v>0</v>
      </c>
      <c r="H42" s="94">
        <f>SUMIFS('caseload data'!I:I,'caseload data'!$D:$D,"PO",'caseload data'!$A:$A,$B$42)</f>
        <v>0</v>
      </c>
      <c r="I42" s="94">
        <f>SUMIFS('caseload data'!J:J,'caseload data'!$D:$D,"PO",'caseload data'!$A:$A,$B$42)</f>
        <v>0</v>
      </c>
      <c r="J42" s="94">
        <f>SUMIFS('caseload data'!K:K,'caseload data'!$D:$D,"PO",'caseload data'!$A:$A,$B$42)</f>
        <v>0</v>
      </c>
      <c r="K42" s="94">
        <f>SUMIFS('caseload data'!L:L,'caseload data'!$D:$D,"PO",'caseload data'!$A:$A,$B$42)</f>
        <v>0</v>
      </c>
      <c r="L42" s="94">
        <f>SUMIFS('caseload data'!M:M,'caseload data'!$D:$D,"PO",'caseload data'!$A:$A,$B$42)</f>
        <v>0</v>
      </c>
      <c r="M42" s="94">
        <f>SUMIFS('caseload data'!N:N,'caseload data'!$D:$D,"PO",'caseload data'!$A:$A,$B$42)</f>
        <v>0</v>
      </c>
      <c r="N42" s="94">
        <f>SUMIFS('caseload data'!O:O,'caseload data'!$D:$D,"PO",'caseload data'!$A:$A,$B$42)</f>
        <v>0</v>
      </c>
      <c r="O42" s="94">
        <f>SUMIFS('caseload data'!P:P,'caseload data'!$D:$D,"PO",'caseload data'!$A:$A,$B$42)</f>
        <v>0</v>
      </c>
      <c r="P42" s="94">
        <f>SUMIFS('caseload data'!Q:Q,'caseload data'!$D:$D,"PO",'caseload data'!$A:$A,$B$42)</f>
        <v>0</v>
      </c>
      <c r="Q42" s="94">
        <f>SUMIFS('caseload data'!R:R,'caseload data'!$D:$D,"PO",'caseload data'!$A:$A,$B$42)</f>
        <v>0</v>
      </c>
      <c r="R42" s="94">
        <f>SUMIFS('caseload data'!S:S,'caseload data'!$D:$D,"PO",'caseload data'!$A:$A,$B$42)</f>
        <v>0</v>
      </c>
      <c r="S42" s="94">
        <f>SUMIFS('caseload data'!T:T,'caseload data'!$D:$D,"PO",'caseload data'!$A:$A,$B$42)</f>
        <v>0</v>
      </c>
      <c r="T42" s="94">
        <f>SUMIFS('caseload data'!V:V,'caseload data'!$D:$D,"PO",'caseload data'!$A:$A,B42)</f>
        <v>0</v>
      </c>
      <c r="U42" s="64"/>
      <c r="V42" s="64"/>
      <c r="W42" s="473" t="s">
        <v>24</v>
      </c>
      <c r="X42" s="128" t="s">
        <v>997</v>
      </c>
      <c r="Y42" s="167" t="e">
        <f>SUM(D42)/SUM(D$42:D$46)</f>
        <v>#DIV/0!</v>
      </c>
      <c r="Z42" s="167" t="e">
        <f t="shared" ref="Z42:AO46" si="33">SUM(E42)/SUM(E$42:E$46)</f>
        <v>#DIV/0!</v>
      </c>
      <c r="AA42" s="167" t="e">
        <f t="shared" si="33"/>
        <v>#DIV/0!</v>
      </c>
      <c r="AB42" s="167" t="e">
        <f t="shared" si="33"/>
        <v>#DIV/0!</v>
      </c>
      <c r="AC42" s="167" t="e">
        <f t="shared" si="33"/>
        <v>#DIV/0!</v>
      </c>
      <c r="AD42" s="167" t="e">
        <f t="shared" si="33"/>
        <v>#DIV/0!</v>
      </c>
      <c r="AE42" s="167" t="e">
        <f t="shared" si="33"/>
        <v>#DIV/0!</v>
      </c>
      <c r="AF42" s="167" t="e">
        <f t="shared" si="33"/>
        <v>#DIV/0!</v>
      </c>
      <c r="AG42" s="167" t="e">
        <f t="shared" si="33"/>
        <v>#DIV/0!</v>
      </c>
      <c r="AH42" s="167" t="e">
        <f t="shared" si="33"/>
        <v>#DIV/0!</v>
      </c>
      <c r="AI42" s="167" t="e">
        <f t="shared" si="33"/>
        <v>#DIV/0!</v>
      </c>
      <c r="AJ42" s="167" t="e">
        <f t="shared" si="33"/>
        <v>#DIV/0!</v>
      </c>
      <c r="AK42" s="167" t="e">
        <f t="shared" si="33"/>
        <v>#DIV/0!</v>
      </c>
      <c r="AL42" s="167" t="e">
        <f t="shared" si="33"/>
        <v>#DIV/0!</v>
      </c>
      <c r="AM42" s="167" t="e">
        <f t="shared" si="33"/>
        <v>#DIV/0!</v>
      </c>
      <c r="AN42" s="167" t="e">
        <f t="shared" si="33"/>
        <v>#DIV/0!</v>
      </c>
      <c r="AO42" s="167" t="e">
        <f t="shared" si="33"/>
        <v>#DIV/0!</v>
      </c>
    </row>
    <row r="43" spans="2:41" x14ac:dyDescent="0.15">
      <c r="B43" s="480"/>
      <c r="C43" s="129" t="s">
        <v>1002</v>
      </c>
      <c r="D43" s="370">
        <f>SUMIFS('caseload data'!E:E,'caseload data'!$D:$D,"PSO",'caseload data'!$A:$A,"South Central")</f>
        <v>0</v>
      </c>
      <c r="E43" s="94">
        <f>SUMIFS('caseload data'!F:F,'caseload data'!$D:$D,"PSO",'caseload data'!$A:$A,"South Central")</f>
        <v>0</v>
      </c>
      <c r="F43" s="94">
        <f>SUMIFS('caseload data'!G:G,'caseload data'!$D:$D,"PSO",'caseload data'!$A:$A,"South Central")</f>
        <v>0</v>
      </c>
      <c r="G43" s="94">
        <f>SUMIFS('caseload data'!H:H,'caseload data'!$D:$D,"PSO",'caseload data'!$A:$A,"South Central")</f>
        <v>0</v>
      </c>
      <c r="H43" s="94">
        <f>SUMIFS('caseload data'!I:I,'caseload data'!$D:$D,"PSO",'caseload data'!$A:$A,"South Central")</f>
        <v>0</v>
      </c>
      <c r="I43" s="94">
        <f>SUMIFS('caseload data'!J:J,'caseload data'!$D:$D,"PSO",'caseload data'!$A:$A,"South Central")</f>
        <v>0</v>
      </c>
      <c r="J43" s="94">
        <f>SUMIFS('caseload data'!K:K,'caseload data'!$D:$D,"PSO",'caseload data'!$A:$A,"South Central")</f>
        <v>0</v>
      </c>
      <c r="K43" s="94">
        <f>SUMIFS('caseload data'!L:L,'caseload data'!$D:$D,"PSO",'caseload data'!$A:$A,"South Central")</f>
        <v>0</v>
      </c>
      <c r="L43" s="94">
        <f>SUMIFS('caseload data'!M:M,'caseload data'!$D:$D,"PSO",'caseload data'!$A:$A,"South Central")</f>
        <v>0</v>
      </c>
      <c r="M43" s="94">
        <f>SUMIFS('caseload data'!N:N,'caseload data'!$D:$D,"PSO",'caseload data'!$A:$A,"South Central")</f>
        <v>0</v>
      </c>
      <c r="N43" s="94">
        <f>SUMIFS('caseload data'!O:O,'caseload data'!$D:$D,"PSO",'caseload data'!$A:$A,"South Central")</f>
        <v>0</v>
      </c>
      <c r="O43" s="94">
        <f>SUMIFS('caseload data'!P:P,'caseload data'!$D:$D,"PSO",'caseload data'!$A:$A,"South Central")</f>
        <v>0</v>
      </c>
      <c r="P43" s="94">
        <f>SUMIFS('caseload data'!Q:Q,'caseload data'!$D:$D,"PSO",'caseload data'!$A:$A,"South Central")</f>
        <v>0</v>
      </c>
      <c r="Q43" s="94">
        <f>SUMIFS('caseload data'!R:R,'caseload data'!$D:$D,"PSO",'caseload data'!$A:$A,"South Central")</f>
        <v>0</v>
      </c>
      <c r="R43" s="94">
        <f>SUMIFS('caseload data'!S:S,'caseload data'!$D:$D,"PSO",'caseload data'!$A:$A,"South Central")</f>
        <v>0</v>
      </c>
      <c r="S43" s="94">
        <f>SUMIFS('caseload data'!T:T,'caseload data'!$D:$D,"PSO",'caseload data'!$A:$A,"South Central")</f>
        <v>0</v>
      </c>
      <c r="T43" s="94">
        <f>SUMIFS('caseload data'!V:V,'caseload data'!$D:$D,"PSO",'caseload data'!$A:$A,"South Central")</f>
        <v>0</v>
      </c>
      <c r="U43" s="64"/>
      <c r="V43" s="64"/>
      <c r="W43" s="474"/>
      <c r="X43" s="129" t="s">
        <v>1002</v>
      </c>
      <c r="Y43" s="167" t="e">
        <f t="shared" ref="Y43:Y46" si="34">SUM(D43)/SUM(D$42:D$46)</f>
        <v>#DIV/0!</v>
      </c>
      <c r="Z43" s="167" t="e">
        <f t="shared" si="33"/>
        <v>#DIV/0!</v>
      </c>
      <c r="AA43" s="167" t="e">
        <f t="shared" si="33"/>
        <v>#DIV/0!</v>
      </c>
      <c r="AB43" s="167" t="e">
        <f t="shared" si="33"/>
        <v>#DIV/0!</v>
      </c>
      <c r="AC43" s="167" t="e">
        <f t="shared" si="33"/>
        <v>#DIV/0!</v>
      </c>
      <c r="AD43" s="167" t="e">
        <f t="shared" si="33"/>
        <v>#DIV/0!</v>
      </c>
      <c r="AE43" s="167" t="e">
        <f t="shared" si="33"/>
        <v>#DIV/0!</v>
      </c>
      <c r="AF43" s="167" t="e">
        <f t="shared" si="33"/>
        <v>#DIV/0!</v>
      </c>
      <c r="AG43" s="167" t="e">
        <f t="shared" si="33"/>
        <v>#DIV/0!</v>
      </c>
      <c r="AH43" s="167" t="e">
        <f t="shared" si="33"/>
        <v>#DIV/0!</v>
      </c>
      <c r="AI43" s="167" t="e">
        <f t="shared" si="33"/>
        <v>#DIV/0!</v>
      </c>
      <c r="AJ43" s="167" t="e">
        <f t="shared" si="33"/>
        <v>#DIV/0!</v>
      </c>
      <c r="AK43" s="167" t="e">
        <f t="shared" si="33"/>
        <v>#DIV/0!</v>
      </c>
      <c r="AL43" s="167" t="e">
        <f t="shared" si="33"/>
        <v>#DIV/0!</v>
      </c>
      <c r="AM43" s="167" t="e">
        <f t="shared" si="33"/>
        <v>#DIV/0!</v>
      </c>
      <c r="AN43" s="167" t="e">
        <f t="shared" si="33"/>
        <v>#DIV/0!</v>
      </c>
      <c r="AO43" s="167" t="e">
        <f t="shared" si="33"/>
        <v>#DIV/0!</v>
      </c>
    </row>
    <row r="44" spans="2:41" x14ac:dyDescent="0.15">
      <c r="B44" s="480"/>
      <c r="C44" s="129" t="s">
        <v>1003</v>
      </c>
      <c r="D44" s="370">
        <f>SUMIFS('caseload data'!E:E,'caseload data'!$D:$D,"TPO",'caseload data'!$A:$A,"South Central")</f>
        <v>0</v>
      </c>
      <c r="E44" s="94">
        <f>SUMIFS('caseload data'!F:F,'caseload data'!$D:$D,"TPO",'caseload data'!$A:$A,"South Central")</f>
        <v>0</v>
      </c>
      <c r="F44" s="94">
        <f>SUMIFS('caseload data'!G:G,'caseload data'!$D:$D,"TPO",'caseload data'!$A:$A,"South Central")</f>
        <v>0</v>
      </c>
      <c r="G44" s="94">
        <f>SUMIFS('caseload data'!H:H,'caseload data'!$D:$D,"TPO",'caseload data'!$A:$A,"South Central")</f>
        <v>0</v>
      </c>
      <c r="H44" s="94">
        <f>SUMIFS('caseload data'!I:I,'caseload data'!$D:$D,"TPO",'caseload data'!$A:$A,"South Central")</f>
        <v>0</v>
      </c>
      <c r="I44" s="94">
        <f>SUMIFS('caseload data'!J:J,'caseload data'!$D:$D,"TPO",'caseload data'!$A:$A,"South Central")</f>
        <v>0</v>
      </c>
      <c r="J44" s="94">
        <f>SUMIFS('caseload data'!K:K,'caseload data'!$D:$D,"TPO",'caseload data'!$A:$A,"South Central")</f>
        <v>0</v>
      </c>
      <c r="K44" s="94">
        <f>SUMIFS('caseload data'!L:L,'caseload data'!$D:$D,"TPO",'caseload data'!$A:$A,"South Central")</f>
        <v>0</v>
      </c>
      <c r="L44" s="94">
        <f>SUMIFS('caseload data'!M:M,'caseload data'!$D:$D,"TPO",'caseload data'!$A:$A,"South Central")</f>
        <v>0</v>
      </c>
      <c r="M44" s="94">
        <f>SUMIFS('caseload data'!N:N,'caseload data'!$D:$D,"TPO",'caseload data'!$A:$A,"South Central")</f>
        <v>0</v>
      </c>
      <c r="N44" s="94">
        <f>SUMIFS('caseload data'!O:O,'caseload data'!$D:$D,"TPO",'caseload data'!$A:$A,"South Central")</f>
        <v>0</v>
      </c>
      <c r="O44" s="94">
        <f>SUMIFS('caseload data'!P:P,'caseload data'!$D:$D,"TPO",'caseload data'!$A:$A,"South Central")</f>
        <v>0</v>
      </c>
      <c r="P44" s="94">
        <f>SUMIFS('caseload data'!Q:Q,'caseload data'!$D:$D,"TPO",'caseload data'!$A:$A,"South Central")</f>
        <v>0</v>
      </c>
      <c r="Q44" s="94">
        <f>SUMIFS('caseload data'!R:R,'caseload data'!$D:$D,"TPO",'caseload data'!$A:$A,"South Central")</f>
        <v>0</v>
      </c>
      <c r="R44" s="94">
        <f>SUMIFS('caseload data'!S:S,'caseload data'!$D:$D,"TPO",'caseload data'!$A:$A,"South Central")</f>
        <v>0</v>
      </c>
      <c r="S44" s="94">
        <f>SUMIFS('caseload data'!T:T,'caseload data'!$D:$D,"TPO",'caseload data'!$A:$A,"South Central")</f>
        <v>0</v>
      </c>
      <c r="T44" s="94">
        <f>SUMIFS('caseload data'!V:V,'caseload data'!$D:$D,"TPO",'caseload data'!$A:$A,"South Central")</f>
        <v>0</v>
      </c>
      <c r="U44" s="64"/>
      <c r="V44" s="64"/>
      <c r="W44" s="474"/>
      <c r="X44" s="129" t="s">
        <v>1003</v>
      </c>
      <c r="Y44" s="167" t="e">
        <f t="shared" si="34"/>
        <v>#DIV/0!</v>
      </c>
      <c r="Z44" s="167" t="e">
        <f t="shared" si="33"/>
        <v>#DIV/0!</v>
      </c>
      <c r="AA44" s="167" t="e">
        <f t="shared" si="33"/>
        <v>#DIV/0!</v>
      </c>
      <c r="AB44" s="167" t="e">
        <f t="shared" si="33"/>
        <v>#DIV/0!</v>
      </c>
      <c r="AC44" s="167" t="e">
        <f t="shared" si="33"/>
        <v>#DIV/0!</v>
      </c>
      <c r="AD44" s="167" t="e">
        <f t="shared" si="33"/>
        <v>#DIV/0!</v>
      </c>
      <c r="AE44" s="167" t="e">
        <f t="shared" si="33"/>
        <v>#DIV/0!</v>
      </c>
      <c r="AF44" s="167" t="e">
        <f t="shared" si="33"/>
        <v>#DIV/0!</v>
      </c>
      <c r="AG44" s="167" t="e">
        <f t="shared" si="33"/>
        <v>#DIV/0!</v>
      </c>
      <c r="AH44" s="167" t="e">
        <f t="shared" si="33"/>
        <v>#DIV/0!</v>
      </c>
      <c r="AI44" s="167" t="e">
        <f t="shared" si="33"/>
        <v>#DIV/0!</v>
      </c>
      <c r="AJ44" s="167" t="e">
        <f t="shared" si="33"/>
        <v>#DIV/0!</v>
      </c>
      <c r="AK44" s="167" t="e">
        <f t="shared" si="33"/>
        <v>#DIV/0!</v>
      </c>
      <c r="AL44" s="167" t="e">
        <f t="shared" si="33"/>
        <v>#DIV/0!</v>
      </c>
      <c r="AM44" s="167" t="e">
        <f t="shared" si="33"/>
        <v>#DIV/0!</v>
      </c>
      <c r="AN44" s="167" t="e">
        <f t="shared" si="33"/>
        <v>#DIV/0!</v>
      </c>
      <c r="AO44" s="167" t="e">
        <f t="shared" si="33"/>
        <v>#DIV/0!</v>
      </c>
    </row>
    <row r="45" spans="2:41" x14ac:dyDescent="0.15">
      <c r="B45" s="480"/>
      <c r="C45" s="129" t="s">
        <v>1004</v>
      </c>
      <c r="D45" s="370">
        <f>SUMIFS('caseload data'!E:E,'caseload data'!$D:$D,"SPO",'caseload data'!$A:$A,"South Central")</f>
        <v>0</v>
      </c>
      <c r="E45" s="94">
        <f>SUMIFS('caseload data'!F:F,'caseload data'!$D:$D,"SPO",'caseload data'!$A:$A,"South Central")</f>
        <v>0</v>
      </c>
      <c r="F45" s="94">
        <f>SUMIFS('caseload data'!G:G,'caseload data'!$D:$D,"SPO",'caseload data'!$A:$A,"South Central")</f>
        <v>0</v>
      </c>
      <c r="G45" s="94">
        <f>SUMIFS('caseload data'!H:H,'caseload data'!$D:$D,"SPO",'caseload data'!$A:$A,"South Central")</f>
        <v>0</v>
      </c>
      <c r="H45" s="94">
        <f>SUMIFS('caseload data'!I:I,'caseload data'!$D:$D,"SPO",'caseload data'!$A:$A,"South Central")</f>
        <v>0</v>
      </c>
      <c r="I45" s="94">
        <f>SUMIFS('caseload data'!J:J,'caseload data'!$D:$D,"SPO",'caseload data'!$A:$A,"South Central")</f>
        <v>0</v>
      </c>
      <c r="J45" s="94">
        <f>SUMIFS('caseload data'!K:K,'caseload data'!$D:$D,"SPO",'caseload data'!$A:$A,"South Central")</f>
        <v>0</v>
      </c>
      <c r="K45" s="94">
        <f>SUMIFS('caseload data'!L:L,'caseload data'!$D:$D,"SPO",'caseload data'!$A:$A,"South Central")</f>
        <v>0</v>
      </c>
      <c r="L45" s="94">
        <f>SUMIFS('caseload data'!M:M,'caseload data'!$D:$D,"SPO",'caseload data'!$A:$A,"South Central")</f>
        <v>0</v>
      </c>
      <c r="M45" s="94">
        <f>SUMIFS('caseload data'!N:N,'caseload data'!$D:$D,"SPO",'caseload data'!$A:$A,"South Central")</f>
        <v>0</v>
      </c>
      <c r="N45" s="94">
        <f>SUMIFS('caseload data'!O:O,'caseload data'!$D:$D,"SPO",'caseload data'!$A:$A,"South Central")</f>
        <v>0</v>
      </c>
      <c r="O45" s="94">
        <f>SUMIFS('caseload data'!P:P,'caseload data'!$D:$D,"SPO",'caseload data'!$A:$A,"South Central")</f>
        <v>0</v>
      </c>
      <c r="P45" s="94">
        <f>SUMIFS('caseload data'!Q:Q,'caseload data'!$D:$D,"SPO",'caseload data'!$A:$A,"South Central")</f>
        <v>0</v>
      </c>
      <c r="Q45" s="94">
        <f>SUMIFS('caseload data'!R:R,'caseload data'!$D:$D,"SPO",'caseload data'!$A:$A,"South Central")</f>
        <v>0</v>
      </c>
      <c r="R45" s="94">
        <f>SUMIFS('caseload data'!S:S,'caseload data'!$D:$D,"SPO",'caseload data'!$A:$A,"South Central")</f>
        <v>0</v>
      </c>
      <c r="S45" s="94">
        <f>SUMIFS('caseload data'!T:T,'caseload data'!$D:$D,"SPO",'caseload data'!$A:$A,"South Central")</f>
        <v>0</v>
      </c>
      <c r="T45" s="94">
        <f>SUMIFS('caseload data'!V:V,'caseload data'!$D:$D,"SPO",'caseload data'!$A:$A,"South Central")</f>
        <v>0</v>
      </c>
      <c r="U45" s="64"/>
      <c r="V45" s="64"/>
      <c r="W45" s="474"/>
      <c r="X45" s="129" t="s">
        <v>1004</v>
      </c>
      <c r="Y45" s="167" t="e">
        <f t="shared" si="34"/>
        <v>#DIV/0!</v>
      </c>
      <c r="Z45" s="167" t="e">
        <f t="shared" si="33"/>
        <v>#DIV/0!</v>
      </c>
      <c r="AA45" s="167" t="e">
        <f t="shared" si="33"/>
        <v>#DIV/0!</v>
      </c>
      <c r="AB45" s="167" t="e">
        <f t="shared" si="33"/>
        <v>#DIV/0!</v>
      </c>
      <c r="AC45" s="167" t="e">
        <f t="shared" si="33"/>
        <v>#DIV/0!</v>
      </c>
      <c r="AD45" s="167" t="e">
        <f t="shared" si="33"/>
        <v>#DIV/0!</v>
      </c>
      <c r="AE45" s="167" t="e">
        <f t="shared" si="33"/>
        <v>#DIV/0!</v>
      </c>
      <c r="AF45" s="167" t="e">
        <f t="shared" si="33"/>
        <v>#DIV/0!</v>
      </c>
      <c r="AG45" s="167" t="e">
        <f t="shared" si="33"/>
        <v>#DIV/0!</v>
      </c>
      <c r="AH45" s="167" t="e">
        <f t="shared" si="33"/>
        <v>#DIV/0!</v>
      </c>
      <c r="AI45" s="167" t="e">
        <f t="shared" si="33"/>
        <v>#DIV/0!</v>
      </c>
      <c r="AJ45" s="167" t="e">
        <f t="shared" si="33"/>
        <v>#DIV/0!</v>
      </c>
      <c r="AK45" s="167" t="e">
        <f t="shared" si="33"/>
        <v>#DIV/0!</v>
      </c>
      <c r="AL45" s="167" t="e">
        <f t="shared" si="33"/>
        <v>#DIV/0!</v>
      </c>
      <c r="AM45" s="167" t="e">
        <f t="shared" si="33"/>
        <v>#DIV/0!</v>
      </c>
      <c r="AN45" s="167" t="e">
        <f t="shared" si="33"/>
        <v>#DIV/0!</v>
      </c>
      <c r="AO45" s="167" t="e">
        <f t="shared" si="33"/>
        <v>#DIV/0!</v>
      </c>
    </row>
    <row r="46" spans="2:41" x14ac:dyDescent="0.15">
      <c r="B46" s="481"/>
      <c r="C46" s="130" t="s">
        <v>1339</v>
      </c>
      <c r="D46" s="370">
        <f>SUMIFS('caseload data'!E:E,'caseload data'!$D:$D,"DMY",'caseload data'!$A:$A,"South Central")</f>
        <v>0</v>
      </c>
      <c r="E46" s="370">
        <f>SUMIFS('caseload data'!F:F,'caseload data'!$D:$D,"DMY",'caseload data'!$A:$A,"South Central")</f>
        <v>0</v>
      </c>
      <c r="F46" s="370">
        <f>SUMIFS('caseload data'!G:G,'caseload data'!$D:$D,"DMY",'caseload data'!$A:$A,"South Central")</f>
        <v>0</v>
      </c>
      <c r="G46" s="370">
        <f>SUMIFS('caseload data'!H:H,'caseload data'!$D:$D,"DMY",'caseload data'!$A:$A,"South Central")</f>
        <v>0</v>
      </c>
      <c r="H46" s="370">
        <f>SUMIFS('caseload data'!I:I,'caseload data'!$D:$D,"DMY",'caseload data'!$A:$A,"South Central")</f>
        <v>0</v>
      </c>
      <c r="I46" s="370">
        <f>SUMIFS('caseload data'!J:J,'caseload data'!$D:$D,"DMY",'caseload data'!$A:$A,"South Central")</f>
        <v>0</v>
      </c>
      <c r="J46" s="370">
        <f>SUMIFS('caseload data'!K:K,'caseload data'!$D:$D,"DMY",'caseload data'!$A:$A,"South Central")</f>
        <v>0</v>
      </c>
      <c r="K46" s="370">
        <f>SUMIFS('caseload data'!L:L,'caseload data'!$D:$D,"DMY",'caseload data'!$A:$A,"South Central")</f>
        <v>0</v>
      </c>
      <c r="L46" s="370">
        <f>SUMIFS('caseload data'!M:M,'caseload data'!$D:$D,"DMY",'caseload data'!$A:$A,"South Central")</f>
        <v>0</v>
      </c>
      <c r="M46" s="370">
        <f>SUMIFS('caseload data'!N:N,'caseload data'!$D:$D,"DMY",'caseload data'!$A:$A,"South Central")</f>
        <v>0</v>
      </c>
      <c r="N46" s="370">
        <f>SUMIFS('caseload data'!O:O,'caseload data'!$D:$D,"DMY",'caseload data'!$A:$A,"South Central")</f>
        <v>0</v>
      </c>
      <c r="O46" s="370">
        <f>SUMIFS('caseload data'!P:P,'caseload data'!$D:$D,"DMY",'caseload data'!$A:$A,"South Central")</f>
        <v>0</v>
      </c>
      <c r="P46" s="370">
        <f>SUMIFS('caseload data'!Q:Q,'caseload data'!$D:$D,"DMY",'caseload data'!$A:$A,"South Central")</f>
        <v>0</v>
      </c>
      <c r="Q46" s="370">
        <f>SUMIFS('caseload data'!R:R,'caseload data'!$D:$D,"DMY",'caseload data'!$A:$A,"South Central")</f>
        <v>0</v>
      </c>
      <c r="R46" s="370">
        <f>SUMIFS('caseload data'!S:S,'caseload data'!$D:$D,"DMY",'caseload data'!$A:$A,"South Central")</f>
        <v>0</v>
      </c>
      <c r="S46" s="370">
        <f>SUMIFS('caseload data'!T:T,'caseload data'!$D:$D,"DMY",'caseload data'!$A:$A,"South Central")</f>
        <v>0</v>
      </c>
      <c r="T46" s="94">
        <f>SUMIFS('caseload data'!V:V,'caseload data'!$D:$D,"DMY",'caseload data'!$A:$A,"South Central")</f>
        <v>0</v>
      </c>
      <c r="U46" s="64"/>
      <c r="V46" s="64"/>
      <c r="W46" s="475"/>
      <c r="X46" s="130" t="s">
        <v>1339</v>
      </c>
      <c r="Y46" s="167" t="e">
        <f t="shared" si="34"/>
        <v>#DIV/0!</v>
      </c>
      <c r="Z46" s="167" t="e">
        <f t="shared" si="33"/>
        <v>#DIV/0!</v>
      </c>
      <c r="AA46" s="167" t="e">
        <f t="shared" si="33"/>
        <v>#DIV/0!</v>
      </c>
      <c r="AB46" s="167" t="e">
        <f t="shared" si="33"/>
        <v>#DIV/0!</v>
      </c>
      <c r="AC46" s="167" t="e">
        <f t="shared" si="33"/>
        <v>#DIV/0!</v>
      </c>
      <c r="AD46" s="167" t="e">
        <f t="shared" si="33"/>
        <v>#DIV/0!</v>
      </c>
      <c r="AE46" s="167" t="e">
        <f t="shared" si="33"/>
        <v>#DIV/0!</v>
      </c>
      <c r="AF46" s="167" t="e">
        <f t="shared" si="33"/>
        <v>#DIV/0!</v>
      </c>
      <c r="AG46" s="167" t="e">
        <f t="shared" si="33"/>
        <v>#DIV/0!</v>
      </c>
      <c r="AH46" s="167" t="e">
        <f t="shared" si="33"/>
        <v>#DIV/0!</v>
      </c>
      <c r="AI46" s="167" t="e">
        <f t="shared" si="33"/>
        <v>#DIV/0!</v>
      </c>
      <c r="AJ46" s="167" t="e">
        <f t="shared" si="33"/>
        <v>#DIV/0!</v>
      </c>
      <c r="AK46" s="167" t="e">
        <f t="shared" si="33"/>
        <v>#DIV/0!</v>
      </c>
      <c r="AL46" s="167" t="e">
        <f t="shared" si="33"/>
        <v>#DIV/0!</v>
      </c>
      <c r="AM46" s="167" t="e">
        <f t="shared" si="33"/>
        <v>#DIV/0!</v>
      </c>
      <c r="AN46" s="167" t="e">
        <f t="shared" si="33"/>
        <v>#DIV/0!</v>
      </c>
      <c r="AO46" s="167" t="e">
        <f t="shared" si="33"/>
        <v>#DIV/0!</v>
      </c>
    </row>
    <row r="47" spans="2:41" x14ac:dyDescent="0.15">
      <c r="B47" s="479" t="s">
        <v>25</v>
      </c>
      <c r="C47" s="128" t="s">
        <v>997</v>
      </c>
      <c r="D47" s="370">
        <f>SUMIFS('caseload data'!E:E,'caseload data'!$D:$D,"PO",'caseload data'!$A:$A,$B$47)</f>
        <v>0</v>
      </c>
      <c r="E47" s="94">
        <f>SUMIFS('caseload data'!F:F,'caseload data'!$D:$D,"PO",'caseload data'!$A:$A,$B$47)</f>
        <v>0</v>
      </c>
      <c r="F47" s="94">
        <f>SUMIFS('caseload data'!G:G,'caseload data'!$D:$D,"PO",'caseload data'!$A:$A,$B$47)</f>
        <v>0</v>
      </c>
      <c r="G47" s="94">
        <f>SUMIFS('caseload data'!H:H,'caseload data'!$D:$D,"PO",'caseload data'!$A:$A,$B$47)</f>
        <v>0</v>
      </c>
      <c r="H47" s="94">
        <f>SUMIFS('caseload data'!I:I,'caseload data'!$D:$D,"PO",'caseload data'!$A:$A,$B$47)</f>
        <v>0</v>
      </c>
      <c r="I47" s="94">
        <f>SUMIFS('caseload data'!J:J,'caseload data'!$D:$D,"PO",'caseload data'!$A:$A,$B$47)</f>
        <v>0</v>
      </c>
      <c r="J47" s="94">
        <f>SUMIFS('caseload data'!K:K,'caseload data'!$D:$D,"PO",'caseload data'!$A:$A,$B$47)</f>
        <v>0</v>
      </c>
      <c r="K47" s="94">
        <f>SUMIFS('caseload data'!L:L,'caseload data'!$D:$D,"PO",'caseload data'!$A:$A,$B$47)</f>
        <v>0</v>
      </c>
      <c r="L47" s="94">
        <f>SUMIFS('caseload data'!M:M,'caseload data'!$D:$D,"PO",'caseload data'!$A:$A,$B$47)</f>
        <v>0</v>
      </c>
      <c r="M47" s="94">
        <f>SUMIFS('caseload data'!N:N,'caseload data'!$D:$D,"PO",'caseload data'!$A:$A,$B$47)</f>
        <v>0</v>
      </c>
      <c r="N47" s="94">
        <f>SUMIFS('caseload data'!O:O,'caseload data'!$D:$D,"PO",'caseload data'!$A:$A,$B$47)</f>
        <v>0</v>
      </c>
      <c r="O47" s="94">
        <f>SUMIFS('caseload data'!P:P,'caseload data'!$D:$D,"PO",'caseload data'!$A:$A,$B$47)</f>
        <v>0</v>
      </c>
      <c r="P47" s="94">
        <f>SUMIFS('caseload data'!Q:Q,'caseload data'!$D:$D,"PO",'caseload data'!$A:$A,$B$47)</f>
        <v>0</v>
      </c>
      <c r="Q47" s="94">
        <f>SUMIFS('caseload data'!R:R,'caseload data'!$D:$D,"PO",'caseload data'!$A:$A,$B$47)</f>
        <v>0</v>
      </c>
      <c r="R47" s="94">
        <f>SUMIFS('caseload data'!S:S,'caseload data'!$D:$D,"PO",'caseload data'!$A:$A,$B$47)</f>
        <v>0</v>
      </c>
      <c r="S47" s="94">
        <f>SUMIFS('caseload data'!T:T,'caseload data'!$D:$D,"PO",'caseload data'!$A:$A,$B$47)</f>
        <v>0</v>
      </c>
      <c r="T47" s="94">
        <f>SUMIFS('caseload data'!V:V,'caseload data'!$D:$D,"PO",'caseload data'!$A:$A,B47)</f>
        <v>0</v>
      </c>
      <c r="U47" s="64"/>
      <c r="V47" s="64"/>
      <c r="W47" s="473" t="s">
        <v>25</v>
      </c>
      <c r="X47" s="128" t="s">
        <v>997</v>
      </c>
      <c r="Y47" s="167" t="e">
        <f>SUM(D47)/SUM(D$47:D$51)</f>
        <v>#DIV/0!</v>
      </c>
      <c r="Z47" s="167" t="e">
        <f t="shared" ref="Z47:AO51" si="35">SUM(E47)/SUM(E$47:E$51)</f>
        <v>#DIV/0!</v>
      </c>
      <c r="AA47" s="167" t="e">
        <f t="shared" si="35"/>
        <v>#DIV/0!</v>
      </c>
      <c r="AB47" s="167" t="e">
        <f t="shared" si="35"/>
        <v>#DIV/0!</v>
      </c>
      <c r="AC47" s="167" t="e">
        <f t="shared" si="35"/>
        <v>#DIV/0!</v>
      </c>
      <c r="AD47" s="167" t="e">
        <f t="shared" si="35"/>
        <v>#DIV/0!</v>
      </c>
      <c r="AE47" s="167" t="e">
        <f t="shared" si="35"/>
        <v>#DIV/0!</v>
      </c>
      <c r="AF47" s="167" t="e">
        <f t="shared" si="35"/>
        <v>#DIV/0!</v>
      </c>
      <c r="AG47" s="167" t="e">
        <f t="shared" si="35"/>
        <v>#DIV/0!</v>
      </c>
      <c r="AH47" s="167" t="e">
        <f t="shared" si="35"/>
        <v>#DIV/0!</v>
      </c>
      <c r="AI47" s="167" t="e">
        <f t="shared" si="35"/>
        <v>#DIV/0!</v>
      </c>
      <c r="AJ47" s="167" t="e">
        <f t="shared" si="35"/>
        <v>#DIV/0!</v>
      </c>
      <c r="AK47" s="167" t="e">
        <f t="shared" si="35"/>
        <v>#DIV/0!</v>
      </c>
      <c r="AL47" s="167" t="e">
        <f t="shared" si="35"/>
        <v>#DIV/0!</v>
      </c>
      <c r="AM47" s="167" t="e">
        <f t="shared" si="35"/>
        <v>#DIV/0!</v>
      </c>
      <c r="AN47" s="167" t="e">
        <f t="shared" si="35"/>
        <v>#DIV/0!</v>
      </c>
      <c r="AO47" s="167" t="e">
        <f t="shared" si="35"/>
        <v>#DIV/0!</v>
      </c>
    </row>
    <row r="48" spans="2:41" x14ac:dyDescent="0.15">
      <c r="B48" s="480"/>
      <c r="C48" s="129" t="s">
        <v>1002</v>
      </c>
      <c r="D48" s="370">
        <f>SUMIFS('caseload data'!E:E,'caseload data'!$D:$D,"PSO",'caseload data'!$A:$A,"South West")</f>
        <v>0</v>
      </c>
      <c r="E48" s="94">
        <f>SUMIFS('caseload data'!F:F,'caseload data'!$D:$D,"PSO",'caseload data'!$A:$A,"South West")</f>
        <v>0</v>
      </c>
      <c r="F48" s="94">
        <f>SUMIFS('caseload data'!G:G,'caseload data'!$D:$D,"PSO",'caseload data'!$A:$A,"South West")</f>
        <v>0</v>
      </c>
      <c r="G48" s="94">
        <f>SUMIFS('caseload data'!H:H,'caseload data'!$D:$D,"PSO",'caseload data'!$A:$A,"South West")</f>
        <v>0</v>
      </c>
      <c r="H48" s="94">
        <f>SUMIFS('caseload data'!I:I,'caseload data'!$D:$D,"PSO",'caseload data'!$A:$A,"South West")</f>
        <v>0</v>
      </c>
      <c r="I48" s="94">
        <f>SUMIFS('caseload data'!J:J,'caseload data'!$D:$D,"PSO",'caseload data'!$A:$A,"South West")</f>
        <v>0</v>
      </c>
      <c r="J48" s="94">
        <f>SUMIFS('caseload data'!K:K,'caseload data'!$D:$D,"PSO",'caseload data'!$A:$A,"South West")</f>
        <v>0</v>
      </c>
      <c r="K48" s="94">
        <f>SUMIFS('caseload data'!L:L,'caseload data'!$D:$D,"PSO",'caseload data'!$A:$A,"South West")</f>
        <v>0</v>
      </c>
      <c r="L48" s="94">
        <f>SUMIFS('caseload data'!M:M,'caseload data'!$D:$D,"PSO",'caseload data'!$A:$A,"South West")</f>
        <v>0</v>
      </c>
      <c r="M48" s="94">
        <f>SUMIFS('caseload data'!N:N,'caseload data'!$D:$D,"PSO",'caseload data'!$A:$A,"South West")</f>
        <v>0</v>
      </c>
      <c r="N48" s="94">
        <f>SUMIFS('caseload data'!O:O,'caseload data'!$D:$D,"PSO",'caseload data'!$A:$A,"South West")</f>
        <v>0</v>
      </c>
      <c r="O48" s="94">
        <f>SUMIFS('caseload data'!P:P,'caseload data'!$D:$D,"PSO",'caseload data'!$A:$A,"South West")</f>
        <v>0</v>
      </c>
      <c r="P48" s="94">
        <f>SUMIFS('caseload data'!Q:Q,'caseload data'!$D:$D,"PSO",'caseload data'!$A:$A,"South West")</f>
        <v>0</v>
      </c>
      <c r="Q48" s="94">
        <f>SUMIFS('caseload data'!R:R,'caseload data'!$D:$D,"PSO",'caseload data'!$A:$A,"South West")</f>
        <v>0</v>
      </c>
      <c r="R48" s="94">
        <f>SUMIFS('caseload data'!S:S,'caseload data'!$D:$D,"PSO",'caseload data'!$A:$A,"South West")</f>
        <v>0</v>
      </c>
      <c r="S48" s="94">
        <f>SUMIFS('caseload data'!T:T,'caseload data'!$D:$D,"PSO",'caseload data'!$A:$A,"South West")</f>
        <v>0</v>
      </c>
      <c r="T48" s="94">
        <f>SUMIFS('caseload data'!V:V,'caseload data'!$D:$D,"PSO",'caseload data'!$A:$A,"South West")</f>
        <v>0</v>
      </c>
      <c r="U48" s="64"/>
      <c r="V48" s="64"/>
      <c r="W48" s="474"/>
      <c r="X48" s="129" t="s">
        <v>1002</v>
      </c>
      <c r="Y48" s="167" t="e">
        <f t="shared" ref="Y48:Y51" si="36">SUM(D48)/SUM(D$47:D$51)</f>
        <v>#DIV/0!</v>
      </c>
      <c r="Z48" s="167" t="e">
        <f t="shared" si="35"/>
        <v>#DIV/0!</v>
      </c>
      <c r="AA48" s="167" t="e">
        <f t="shared" si="35"/>
        <v>#DIV/0!</v>
      </c>
      <c r="AB48" s="167" t="e">
        <f t="shared" si="35"/>
        <v>#DIV/0!</v>
      </c>
      <c r="AC48" s="167" t="e">
        <f t="shared" si="35"/>
        <v>#DIV/0!</v>
      </c>
      <c r="AD48" s="167" t="e">
        <f t="shared" si="35"/>
        <v>#DIV/0!</v>
      </c>
      <c r="AE48" s="167" t="e">
        <f t="shared" si="35"/>
        <v>#DIV/0!</v>
      </c>
      <c r="AF48" s="167" t="e">
        <f t="shared" si="35"/>
        <v>#DIV/0!</v>
      </c>
      <c r="AG48" s="167" t="e">
        <f t="shared" si="35"/>
        <v>#DIV/0!</v>
      </c>
      <c r="AH48" s="167" t="e">
        <f t="shared" si="35"/>
        <v>#DIV/0!</v>
      </c>
      <c r="AI48" s="167" t="e">
        <f t="shared" si="35"/>
        <v>#DIV/0!</v>
      </c>
      <c r="AJ48" s="167" t="e">
        <f t="shared" si="35"/>
        <v>#DIV/0!</v>
      </c>
      <c r="AK48" s="167" t="e">
        <f t="shared" si="35"/>
        <v>#DIV/0!</v>
      </c>
      <c r="AL48" s="167" t="e">
        <f t="shared" si="35"/>
        <v>#DIV/0!</v>
      </c>
      <c r="AM48" s="167" t="e">
        <f t="shared" si="35"/>
        <v>#DIV/0!</v>
      </c>
      <c r="AN48" s="167" t="e">
        <f t="shared" si="35"/>
        <v>#DIV/0!</v>
      </c>
      <c r="AO48" s="167" t="e">
        <f t="shared" si="35"/>
        <v>#DIV/0!</v>
      </c>
    </row>
    <row r="49" spans="2:41" x14ac:dyDescent="0.15">
      <c r="B49" s="480"/>
      <c r="C49" s="129" t="s">
        <v>1003</v>
      </c>
      <c r="D49" s="370">
        <f>SUMIFS('caseload data'!E:E,'caseload data'!$D:$D,"TPO",'caseload data'!$A:$A,"South West")</f>
        <v>0</v>
      </c>
      <c r="E49" s="94">
        <f>SUMIFS('caseload data'!F:F,'caseload data'!$D:$D,"TPO",'caseload data'!$A:$A,"South West")</f>
        <v>0</v>
      </c>
      <c r="F49" s="94">
        <f>SUMIFS('caseload data'!G:G,'caseload data'!$D:$D,"TPO",'caseload data'!$A:$A,"South West")</f>
        <v>0</v>
      </c>
      <c r="G49" s="94">
        <f>SUMIFS('caseload data'!H:H,'caseload data'!$D:$D,"TPO",'caseload data'!$A:$A,"South West")</f>
        <v>0</v>
      </c>
      <c r="H49" s="94">
        <f>SUMIFS('caseload data'!I:I,'caseload data'!$D:$D,"TPO",'caseload data'!$A:$A,"South West")</f>
        <v>0</v>
      </c>
      <c r="I49" s="94">
        <f>SUMIFS('caseload data'!J:J,'caseload data'!$D:$D,"TPO",'caseload data'!$A:$A,"South West")</f>
        <v>0</v>
      </c>
      <c r="J49" s="94">
        <f>SUMIFS('caseload data'!K:K,'caseload data'!$D:$D,"TPO",'caseload data'!$A:$A,"South West")</f>
        <v>0</v>
      </c>
      <c r="K49" s="94">
        <f>SUMIFS('caseload data'!L:L,'caseload data'!$D:$D,"TPO",'caseload data'!$A:$A,"South West")</f>
        <v>0</v>
      </c>
      <c r="L49" s="94">
        <f>SUMIFS('caseload data'!M:M,'caseload data'!$D:$D,"TPO",'caseload data'!$A:$A,"South West")</f>
        <v>0</v>
      </c>
      <c r="M49" s="94">
        <f>SUMIFS('caseload data'!N:N,'caseload data'!$D:$D,"TPO",'caseload data'!$A:$A,"South West")</f>
        <v>0</v>
      </c>
      <c r="N49" s="94">
        <f>SUMIFS('caseload data'!O:O,'caseload data'!$D:$D,"TPO",'caseload data'!$A:$A,"South West")</f>
        <v>0</v>
      </c>
      <c r="O49" s="94">
        <f>SUMIFS('caseload data'!P:P,'caseload data'!$D:$D,"TPO",'caseload data'!$A:$A,"South West")</f>
        <v>0</v>
      </c>
      <c r="P49" s="94">
        <f>SUMIFS('caseload data'!Q:Q,'caseload data'!$D:$D,"TPO",'caseload data'!$A:$A,"South West")</f>
        <v>0</v>
      </c>
      <c r="Q49" s="94">
        <f>SUMIFS('caseload data'!R:R,'caseload data'!$D:$D,"TPO",'caseload data'!$A:$A,"South West")</f>
        <v>0</v>
      </c>
      <c r="R49" s="94">
        <f>SUMIFS('caseload data'!S:S,'caseload data'!$D:$D,"TPO",'caseload data'!$A:$A,"South West")</f>
        <v>0</v>
      </c>
      <c r="S49" s="94">
        <f>SUMIFS('caseload data'!T:T,'caseload data'!$D:$D,"TPO",'caseload data'!$A:$A,"South West")</f>
        <v>0</v>
      </c>
      <c r="T49" s="94">
        <f>SUMIFS('caseload data'!V:V,'caseload data'!$D:$D,"TPO",'caseload data'!$A:$A,"South West")</f>
        <v>0</v>
      </c>
      <c r="U49" s="64"/>
      <c r="V49" s="64"/>
      <c r="W49" s="474"/>
      <c r="X49" s="129" t="s">
        <v>1003</v>
      </c>
      <c r="Y49" s="167" t="e">
        <f t="shared" si="36"/>
        <v>#DIV/0!</v>
      </c>
      <c r="Z49" s="167" t="e">
        <f t="shared" si="35"/>
        <v>#DIV/0!</v>
      </c>
      <c r="AA49" s="167" t="e">
        <f t="shared" si="35"/>
        <v>#DIV/0!</v>
      </c>
      <c r="AB49" s="167" t="e">
        <f t="shared" si="35"/>
        <v>#DIV/0!</v>
      </c>
      <c r="AC49" s="167" t="e">
        <f t="shared" si="35"/>
        <v>#DIV/0!</v>
      </c>
      <c r="AD49" s="167" t="e">
        <f t="shared" si="35"/>
        <v>#DIV/0!</v>
      </c>
      <c r="AE49" s="167" t="e">
        <f t="shared" si="35"/>
        <v>#DIV/0!</v>
      </c>
      <c r="AF49" s="167" t="e">
        <f t="shared" si="35"/>
        <v>#DIV/0!</v>
      </c>
      <c r="AG49" s="167" t="e">
        <f t="shared" si="35"/>
        <v>#DIV/0!</v>
      </c>
      <c r="AH49" s="167" t="e">
        <f t="shared" si="35"/>
        <v>#DIV/0!</v>
      </c>
      <c r="AI49" s="167" t="e">
        <f t="shared" si="35"/>
        <v>#DIV/0!</v>
      </c>
      <c r="AJ49" s="167" t="e">
        <f t="shared" si="35"/>
        <v>#DIV/0!</v>
      </c>
      <c r="AK49" s="167" t="e">
        <f t="shared" si="35"/>
        <v>#DIV/0!</v>
      </c>
      <c r="AL49" s="167" t="e">
        <f t="shared" si="35"/>
        <v>#DIV/0!</v>
      </c>
      <c r="AM49" s="167" t="e">
        <f t="shared" si="35"/>
        <v>#DIV/0!</v>
      </c>
      <c r="AN49" s="167" t="e">
        <f t="shared" si="35"/>
        <v>#DIV/0!</v>
      </c>
      <c r="AO49" s="167" t="e">
        <f t="shared" si="35"/>
        <v>#DIV/0!</v>
      </c>
    </row>
    <row r="50" spans="2:41" x14ac:dyDescent="0.15">
      <c r="B50" s="480"/>
      <c r="C50" s="129" t="s">
        <v>1004</v>
      </c>
      <c r="D50" s="370">
        <f>SUMIFS('caseload data'!E:E,'caseload data'!$D:$D,"SPO",'caseload data'!$A:$A,"South West")</f>
        <v>0</v>
      </c>
      <c r="E50" s="94">
        <f>SUMIFS('caseload data'!F:F,'caseload data'!$D:$D,"SPO",'caseload data'!$A:$A,"South West")</f>
        <v>0</v>
      </c>
      <c r="F50" s="94">
        <f>SUMIFS('caseload data'!G:G,'caseload data'!$D:$D,"SPO",'caseload data'!$A:$A,"South West")</f>
        <v>0</v>
      </c>
      <c r="G50" s="94">
        <f>SUMIFS('caseload data'!H:H,'caseload data'!$D:$D,"SPO",'caseload data'!$A:$A,"South West")</f>
        <v>0</v>
      </c>
      <c r="H50" s="94">
        <f>SUMIFS('caseload data'!I:I,'caseload data'!$D:$D,"SPO",'caseload data'!$A:$A,"South West")</f>
        <v>0</v>
      </c>
      <c r="I50" s="94">
        <f>SUMIFS('caseload data'!J:J,'caseload data'!$D:$D,"SPO",'caseload data'!$A:$A,"South West")</f>
        <v>0</v>
      </c>
      <c r="J50" s="94">
        <f>SUMIFS('caseload data'!K:K,'caseload data'!$D:$D,"SPO",'caseload data'!$A:$A,"South West")</f>
        <v>0</v>
      </c>
      <c r="K50" s="94">
        <f>SUMIFS('caseload data'!L:L,'caseload data'!$D:$D,"SPO",'caseload data'!$A:$A,"South West")</f>
        <v>0</v>
      </c>
      <c r="L50" s="94">
        <f>SUMIFS('caseload data'!M:M,'caseload data'!$D:$D,"SPO",'caseload data'!$A:$A,"South West")</f>
        <v>0</v>
      </c>
      <c r="M50" s="94">
        <f>SUMIFS('caseload data'!N:N,'caseload data'!$D:$D,"SPO",'caseload data'!$A:$A,"South West")</f>
        <v>0</v>
      </c>
      <c r="N50" s="94">
        <f>SUMIFS('caseload data'!O:O,'caseload data'!$D:$D,"SPO",'caseload data'!$A:$A,"South West")</f>
        <v>0</v>
      </c>
      <c r="O50" s="94">
        <f>SUMIFS('caseload data'!P:P,'caseload data'!$D:$D,"SPO",'caseload data'!$A:$A,"South West")</f>
        <v>0</v>
      </c>
      <c r="P50" s="94">
        <f>SUMIFS('caseload data'!Q:Q,'caseload data'!$D:$D,"SPO",'caseload data'!$A:$A,"South West")</f>
        <v>0</v>
      </c>
      <c r="Q50" s="94">
        <f>SUMIFS('caseload data'!R:R,'caseload data'!$D:$D,"SPO",'caseload data'!$A:$A,"South West")</f>
        <v>0</v>
      </c>
      <c r="R50" s="94">
        <f>SUMIFS('caseload data'!S:S,'caseload data'!$D:$D,"SPO",'caseload data'!$A:$A,"South West")</f>
        <v>0</v>
      </c>
      <c r="S50" s="94">
        <f>SUMIFS('caseload data'!T:T,'caseload data'!$D:$D,"SPO",'caseload data'!$A:$A,"South West")</f>
        <v>0</v>
      </c>
      <c r="T50" s="94">
        <f>SUMIFS('caseload data'!V:V,'caseload data'!$D:$D,"SPO",'caseload data'!$A:$A,"South West")</f>
        <v>0</v>
      </c>
      <c r="U50" s="64"/>
      <c r="V50" s="64"/>
      <c r="W50" s="474"/>
      <c r="X50" s="129" t="s">
        <v>1004</v>
      </c>
      <c r="Y50" s="167" t="e">
        <f t="shared" si="36"/>
        <v>#DIV/0!</v>
      </c>
      <c r="Z50" s="167" t="e">
        <f t="shared" si="35"/>
        <v>#DIV/0!</v>
      </c>
      <c r="AA50" s="167" t="e">
        <f t="shared" si="35"/>
        <v>#DIV/0!</v>
      </c>
      <c r="AB50" s="167" t="e">
        <f t="shared" si="35"/>
        <v>#DIV/0!</v>
      </c>
      <c r="AC50" s="167" t="e">
        <f t="shared" si="35"/>
        <v>#DIV/0!</v>
      </c>
      <c r="AD50" s="167" t="e">
        <f t="shared" si="35"/>
        <v>#DIV/0!</v>
      </c>
      <c r="AE50" s="167" t="e">
        <f t="shared" si="35"/>
        <v>#DIV/0!</v>
      </c>
      <c r="AF50" s="167" t="e">
        <f t="shared" si="35"/>
        <v>#DIV/0!</v>
      </c>
      <c r="AG50" s="167" t="e">
        <f t="shared" si="35"/>
        <v>#DIV/0!</v>
      </c>
      <c r="AH50" s="167" t="e">
        <f t="shared" si="35"/>
        <v>#DIV/0!</v>
      </c>
      <c r="AI50" s="167" t="e">
        <f t="shared" si="35"/>
        <v>#DIV/0!</v>
      </c>
      <c r="AJ50" s="167" t="e">
        <f t="shared" si="35"/>
        <v>#DIV/0!</v>
      </c>
      <c r="AK50" s="167" t="e">
        <f t="shared" si="35"/>
        <v>#DIV/0!</v>
      </c>
      <c r="AL50" s="167" t="e">
        <f t="shared" si="35"/>
        <v>#DIV/0!</v>
      </c>
      <c r="AM50" s="167" t="e">
        <f t="shared" si="35"/>
        <v>#DIV/0!</v>
      </c>
      <c r="AN50" s="167" t="e">
        <f t="shared" si="35"/>
        <v>#DIV/0!</v>
      </c>
      <c r="AO50" s="167" t="e">
        <f t="shared" si="35"/>
        <v>#DIV/0!</v>
      </c>
    </row>
    <row r="51" spans="2:41" x14ac:dyDescent="0.15">
      <c r="B51" s="481"/>
      <c r="C51" s="130" t="s">
        <v>1339</v>
      </c>
      <c r="D51" s="370">
        <f>SUMIFS('caseload data'!E:E,'caseload data'!$D:$D,"DMY",'caseload data'!$A:$A,"South West")</f>
        <v>0</v>
      </c>
      <c r="E51" s="370">
        <f>SUMIFS('caseload data'!F:F,'caseload data'!$D:$D,"DMY",'caseload data'!$A:$A,"South West")</f>
        <v>0</v>
      </c>
      <c r="F51" s="370">
        <f>SUMIFS('caseload data'!G:G,'caseload data'!$D:$D,"DMY",'caseload data'!$A:$A,"South West")</f>
        <v>0</v>
      </c>
      <c r="G51" s="370">
        <f>SUMIFS('caseload data'!H:H,'caseload data'!$D:$D,"DMY",'caseload data'!$A:$A,"South West")</f>
        <v>0</v>
      </c>
      <c r="H51" s="370">
        <f>SUMIFS('caseload data'!I:I,'caseload data'!$D:$D,"DMY",'caseload data'!$A:$A,"South West")</f>
        <v>0</v>
      </c>
      <c r="I51" s="370">
        <f>SUMIFS('caseload data'!J:J,'caseload data'!$D:$D,"DMY",'caseload data'!$A:$A,"South West")</f>
        <v>0</v>
      </c>
      <c r="J51" s="370">
        <f>SUMIFS('caseload data'!K:K,'caseload data'!$D:$D,"DMY",'caseload data'!$A:$A,"South West")</f>
        <v>0</v>
      </c>
      <c r="K51" s="370">
        <f>SUMIFS('caseload data'!L:L,'caseload data'!$D:$D,"DMY",'caseload data'!$A:$A,"South West")</f>
        <v>0</v>
      </c>
      <c r="L51" s="370">
        <f>SUMIFS('caseload data'!M:M,'caseload data'!$D:$D,"DMY",'caseload data'!$A:$A,"South West")</f>
        <v>0</v>
      </c>
      <c r="M51" s="370">
        <f>SUMIFS('caseload data'!N:N,'caseload data'!$D:$D,"DMY",'caseload data'!$A:$A,"South West")</f>
        <v>0</v>
      </c>
      <c r="N51" s="370">
        <f>SUMIFS('caseload data'!O:O,'caseload data'!$D:$D,"DMY",'caseload data'!$A:$A,"South West")</f>
        <v>0</v>
      </c>
      <c r="O51" s="370">
        <f>SUMIFS('caseload data'!P:P,'caseload data'!$D:$D,"DMY",'caseload data'!$A:$A,"South West")</f>
        <v>0</v>
      </c>
      <c r="P51" s="370">
        <f>SUMIFS('caseload data'!Q:Q,'caseload data'!$D:$D,"DMY",'caseload data'!$A:$A,"South West")</f>
        <v>0</v>
      </c>
      <c r="Q51" s="370">
        <f>SUMIFS('caseload data'!R:R,'caseload data'!$D:$D,"DMY",'caseload data'!$A:$A,"South West")</f>
        <v>0</v>
      </c>
      <c r="R51" s="370">
        <f>SUMIFS('caseload data'!S:S,'caseload data'!$D:$D,"DMY",'caseload data'!$A:$A,"South West")</f>
        <v>0</v>
      </c>
      <c r="S51" s="370">
        <f>SUMIFS('caseload data'!T:T,'caseload data'!$D:$D,"DMY",'caseload data'!$A:$A,"South West")</f>
        <v>0</v>
      </c>
      <c r="T51" s="94">
        <f>SUMIFS('caseload data'!V:V,'caseload data'!$D:$D,"DMY",'caseload data'!$A:$A,"South West")</f>
        <v>0</v>
      </c>
      <c r="U51" s="64"/>
      <c r="V51" s="64"/>
      <c r="W51" s="475"/>
      <c r="X51" s="130" t="s">
        <v>1339</v>
      </c>
      <c r="Y51" s="167" t="e">
        <f t="shared" si="36"/>
        <v>#DIV/0!</v>
      </c>
      <c r="Z51" s="167" t="e">
        <f t="shared" si="35"/>
        <v>#DIV/0!</v>
      </c>
      <c r="AA51" s="167" t="e">
        <f t="shared" si="35"/>
        <v>#DIV/0!</v>
      </c>
      <c r="AB51" s="167" t="e">
        <f t="shared" si="35"/>
        <v>#DIV/0!</v>
      </c>
      <c r="AC51" s="167" t="e">
        <f t="shared" si="35"/>
        <v>#DIV/0!</v>
      </c>
      <c r="AD51" s="167" t="e">
        <f t="shared" si="35"/>
        <v>#DIV/0!</v>
      </c>
      <c r="AE51" s="167" t="e">
        <f t="shared" si="35"/>
        <v>#DIV/0!</v>
      </c>
      <c r="AF51" s="167" t="e">
        <f t="shared" si="35"/>
        <v>#DIV/0!</v>
      </c>
      <c r="AG51" s="167" t="e">
        <f t="shared" si="35"/>
        <v>#DIV/0!</v>
      </c>
      <c r="AH51" s="167" t="e">
        <f t="shared" si="35"/>
        <v>#DIV/0!</v>
      </c>
      <c r="AI51" s="167" t="e">
        <f t="shared" si="35"/>
        <v>#DIV/0!</v>
      </c>
      <c r="AJ51" s="167" t="e">
        <f t="shared" si="35"/>
        <v>#DIV/0!</v>
      </c>
      <c r="AK51" s="167" t="e">
        <f t="shared" si="35"/>
        <v>#DIV/0!</v>
      </c>
      <c r="AL51" s="167" t="e">
        <f t="shared" si="35"/>
        <v>#DIV/0!</v>
      </c>
      <c r="AM51" s="167" t="e">
        <f t="shared" si="35"/>
        <v>#DIV/0!</v>
      </c>
      <c r="AN51" s="167" t="e">
        <f t="shared" si="35"/>
        <v>#DIV/0!</v>
      </c>
      <c r="AO51" s="167" t="e">
        <f t="shared" si="35"/>
        <v>#DIV/0!</v>
      </c>
    </row>
    <row r="52" spans="2:41" x14ac:dyDescent="0.15">
      <c r="B52" s="479" t="s">
        <v>26</v>
      </c>
      <c r="C52" s="128" t="s">
        <v>997</v>
      </c>
      <c r="D52" s="370">
        <f>SUMIFS('caseload data'!E:E,'caseload data'!$D:$D,"PO",'caseload data'!$A:$A,$B$52)</f>
        <v>0</v>
      </c>
      <c r="E52" s="94">
        <f>SUMIFS('caseload data'!F:F,'caseload data'!$D:$D,"PO",'caseload data'!$A:$A,$B$52)</f>
        <v>0</v>
      </c>
      <c r="F52" s="94">
        <f>SUMIFS('caseload data'!G:G,'caseload data'!$D:$D,"PO",'caseload data'!$A:$A,$B$52)</f>
        <v>0</v>
      </c>
      <c r="G52" s="94">
        <f>SUMIFS('caseload data'!H:H,'caseload data'!$D:$D,"PO",'caseload data'!$A:$A,$B$52)</f>
        <v>0</v>
      </c>
      <c r="H52" s="94">
        <f>SUMIFS('caseload data'!I:I,'caseload data'!$D:$D,"PO",'caseload data'!$A:$A,$B$52)</f>
        <v>0</v>
      </c>
      <c r="I52" s="94">
        <f>SUMIFS('caseload data'!J:J,'caseload data'!$D:$D,"PO",'caseload data'!$A:$A,$B$52)</f>
        <v>0</v>
      </c>
      <c r="J52" s="94">
        <f>SUMIFS('caseload data'!K:K,'caseload data'!$D:$D,"PO",'caseload data'!$A:$A,$B$52)</f>
        <v>0</v>
      </c>
      <c r="K52" s="94">
        <f>SUMIFS('caseload data'!L:L,'caseload data'!$D:$D,"PO",'caseload data'!$A:$A,$B$52)</f>
        <v>0</v>
      </c>
      <c r="L52" s="94">
        <f>SUMIFS('caseload data'!M:M,'caseload data'!$D:$D,"PO",'caseload data'!$A:$A,$B$52)</f>
        <v>0</v>
      </c>
      <c r="M52" s="94">
        <f>SUMIFS('caseload data'!N:N,'caseload data'!$D:$D,"PO",'caseload data'!$A:$A,$B$52)</f>
        <v>0</v>
      </c>
      <c r="N52" s="94">
        <f>SUMIFS('caseload data'!O:O,'caseload data'!$D:$D,"PO",'caseload data'!$A:$A,$B$52)</f>
        <v>0</v>
      </c>
      <c r="O52" s="94">
        <f>SUMIFS('caseload data'!P:P,'caseload data'!$D:$D,"PO",'caseload data'!$A:$A,$B$52)</f>
        <v>0</v>
      </c>
      <c r="P52" s="94">
        <f>SUMIFS('caseload data'!Q:Q,'caseload data'!$D:$D,"PO",'caseload data'!$A:$A,$B$52)</f>
        <v>0</v>
      </c>
      <c r="Q52" s="94">
        <f>SUMIFS('caseload data'!R:R,'caseload data'!$D:$D,"PO",'caseload data'!$A:$A,$B$52)</f>
        <v>0</v>
      </c>
      <c r="R52" s="94">
        <f>SUMIFS('caseload data'!S:S,'caseload data'!$D:$D,"PO",'caseload data'!$A:$A,$B$52)</f>
        <v>0</v>
      </c>
      <c r="S52" s="94">
        <f>SUMIFS('caseload data'!T:T,'caseload data'!$D:$D,"PO",'caseload data'!$A:$A,$B$52)</f>
        <v>0</v>
      </c>
      <c r="T52" s="94">
        <f>SUMIFS('caseload data'!V:V,'caseload data'!$D:$D,"PO",'caseload data'!$A:$A,B52)</f>
        <v>0</v>
      </c>
      <c r="U52" s="64"/>
      <c r="V52" s="64"/>
      <c r="W52" s="473" t="s">
        <v>26</v>
      </c>
      <c r="X52" s="128" t="s">
        <v>997</v>
      </c>
      <c r="Y52" s="167" t="e">
        <f>SUM(D52)/SUM(D$52:D$56)</f>
        <v>#DIV/0!</v>
      </c>
      <c r="Z52" s="167" t="e">
        <f t="shared" ref="Z52:AO56" si="37">SUM(E52)/SUM(E$52:E$56)</f>
        <v>#DIV/0!</v>
      </c>
      <c r="AA52" s="167" t="e">
        <f t="shared" si="37"/>
        <v>#DIV/0!</v>
      </c>
      <c r="AB52" s="167" t="e">
        <f t="shared" si="37"/>
        <v>#DIV/0!</v>
      </c>
      <c r="AC52" s="167" t="e">
        <f t="shared" si="37"/>
        <v>#DIV/0!</v>
      </c>
      <c r="AD52" s="167" t="e">
        <f t="shared" si="37"/>
        <v>#DIV/0!</v>
      </c>
      <c r="AE52" s="167" t="e">
        <f t="shared" si="37"/>
        <v>#DIV/0!</v>
      </c>
      <c r="AF52" s="167" t="e">
        <f t="shared" si="37"/>
        <v>#DIV/0!</v>
      </c>
      <c r="AG52" s="167" t="e">
        <f t="shared" si="37"/>
        <v>#DIV/0!</v>
      </c>
      <c r="AH52" s="167" t="e">
        <f t="shared" si="37"/>
        <v>#DIV/0!</v>
      </c>
      <c r="AI52" s="167" t="e">
        <f t="shared" si="37"/>
        <v>#DIV/0!</v>
      </c>
      <c r="AJ52" s="167" t="e">
        <f t="shared" si="37"/>
        <v>#DIV/0!</v>
      </c>
      <c r="AK52" s="167" t="e">
        <f t="shared" si="37"/>
        <v>#DIV/0!</v>
      </c>
      <c r="AL52" s="167" t="e">
        <f t="shared" si="37"/>
        <v>#DIV/0!</v>
      </c>
      <c r="AM52" s="167" t="e">
        <f t="shared" si="37"/>
        <v>#DIV/0!</v>
      </c>
      <c r="AN52" s="167" t="e">
        <f t="shared" si="37"/>
        <v>#DIV/0!</v>
      </c>
      <c r="AO52" s="167" t="e">
        <f t="shared" si="37"/>
        <v>#DIV/0!</v>
      </c>
    </row>
    <row r="53" spans="2:41" x14ac:dyDescent="0.15">
      <c r="B53" s="480"/>
      <c r="C53" s="129" t="s">
        <v>1002</v>
      </c>
      <c r="D53" s="370">
        <f>SUMIFS('caseload data'!E:E,'caseload data'!$D:$D,"PSO",'caseload data'!$A:$A,"Wales")</f>
        <v>0</v>
      </c>
      <c r="E53" s="94">
        <f>SUMIFS('caseload data'!F:F,'caseload data'!$D:$D,"PSO",'caseload data'!$A:$A,"Wales")</f>
        <v>0</v>
      </c>
      <c r="F53" s="94">
        <f>SUMIFS('caseload data'!G:G,'caseload data'!$D:$D,"PSO",'caseload data'!$A:$A,"Wales")</f>
        <v>0</v>
      </c>
      <c r="G53" s="94">
        <f>SUMIFS('caseload data'!H:H,'caseload data'!$D:$D,"PSO",'caseload data'!$A:$A,"Wales")</f>
        <v>0</v>
      </c>
      <c r="H53" s="94">
        <f>SUMIFS('caseload data'!I:I,'caseload data'!$D:$D,"PSO",'caseload data'!$A:$A,"Wales")</f>
        <v>0</v>
      </c>
      <c r="I53" s="94">
        <f>SUMIFS('caseload data'!J:J,'caseload data'!$D:$D,"PSO",'caseload data'!$A:$A,"Wales")</f>
        <v>0</v>
      </c>
      <c r="J53" s="94">
        <f>SUMIFS('caseload data'!K:K,'caseload data'!$D:$D,"PSO",'caseload data'!$A:$A,"Wales")</f>
        <v>0</v>
      </c>
      <c r="K53" s="94">
        <f>SUMIFS('caseload data'!L:L,'caseload data'!$D:$D,"PSO",'caseload data'!$A:$A,"Wales")</f>
        <v>0</v>
      </c>
      <c r="L53" s="94">
        <f>SUMIFS('caseload data'!M:M,'caseload data'!$D:$D,"PSO",'caseload data'!$A:$A,"Wales")</f>
        <v>0</v>
      </c>
      <c r="M53" s="94">
        <f>SUMIFS('caseload data'!N:N,'caseload data'!$D:$D,"PSO",'caseload data'!$A:$A,"Wales")</f>
        <v>0</v>
      </c>
      <c r="N53" s="94">
        <f>SUMIFS('caseload data'!O:O,'caseload data'!$D:$D,"PSO",'caseload data'!$A:$A,"Wales")</f>
        <v>0</v>
      </c>
      <c r="O53" s="94">
        <f>SUMIFS('caseload data'!P:P,'caseload data'!$D:$D,"PSO",'caseload data'!$A:$A,"Wales")</f>
        <v>0</v>
      </c>
      <c r="P53" s="94">
        <f>SUMIFS('caseload data'!Q:Q,'caseload data'!$D:$D,"PSO",'caseload data'!$A:$A,"Wales")</f>
        <v>0</v>
      </c>
      <c r="Q53" s="94">
        <f>SUMIFS('caseload data'!R:R,'caseload data'!$D:$D,"PSO",'caseload data'!$A:$A,"Wales")</f>
        <v>0</v>
      </c>
      <c r="R53" s="94">
        <f>SUMIFS('caseload data'!S:S,'caseload data'!$D:$D,"PSO",'caseload data'!$A:$A,"Wales")</f>
        <v>0</v>
      </c>
      <c r="S53" s="94">
        <f>SUMIFS('caseload data'!T:T,'caseload data'!$D:$D,"PSO",'caseload data'!$A:$A,"Wales")</f>
        <v>0</v>
      </c>
      <c r="T53" s="94">
        <f>SUMIFS('caseload data'!V:V,'caseload data'!$D:$D,"PSO",'caseload data'!$A:$A,"Wales")</f>
        <v>0</v>
      </c>
      <c r="U53" s="64"/>
      <c r="V53" s="64"/>
      <c r="W53" s="474"/>
      <c r="X53" s="129" t="s">
        <v>1002</v>
      </c>
      <c r="Y53" s="167" t="e">
        <f t="shared" ref="Y53:Y56" si="38">SUM(D53)/SUM(D$52:D$56)</f>
        <v>#DIV/0!</v>
      </c>
      <c r="Z53" s="167" t="e">
        <f t="shared" si="37"/>
        <v>#DIV/0!</v>
      </c>
      <c r="AA53" s="167" t="e">
        <f t="shared" si="37"/>
        <v>#DIV/0!</v>
      </c>
      <c r="AB53" s="167" t="e">
        <f t="shared" si="37"/>
        <v>#DIV/0!</v>
      </c>
      <c r="AC53" s="167" t="e">
        <f t="shared" si="37"/>
        <v>#DIV/0!</v>
      </c>
      <c r="AD53" s="167" t="e">
        <f t="shared" si="37"/>
        <v>#DIV/0!</v>
      </c>
      <c r="AE53" s="167" t="e">
        <f t="shared" si="37"/>
        <v>#DIV/0!</v>
      </c>
      <c r="AF53" s="167" t="e">
        <f t="shared" si="37"/>
        <v>#DIV/0!</v>
      </c>
      <c r="AG53" s="167" t="e">
        <f t="shared" si="37"/>
        <v>#DIV/0!</v>
      </c>
      <c r="AH53" s="167" t="e">
        <f t="shared" si="37"/>
        <v>#DIV/0!</v>
      </c>
      <c r="AI53" s="167" t="e">
        <f t="shared" si="37"/>
        <v>#DIV/0!</v>
      </c>
      <c r="AJ53" s="167" t="e">
        <f t="shared" si="37"/>
        <v>#DIV/0!</v>
      </c>
      <c r="AK53" s="167" t="e">
        <f t="shared" si="37"/>
        <v>#DIV/0!</v>
      </c>
      <c r="AL53" s="167" t="e">
        <f t="shared" si="37"/>
        <v>#DIV/0!</v>
      </c>
      <c r="AM53" s="167" t="e">
        <f t="shared" si="37"/>
        <v>#DIV/0!</v>
      </c>
      <c r="AN53" s="167" t="e">
        <f t="shared" si="37"/>
        <v>#DIV/0!</v>
      </c>
      <c r="AO53" s="167" t="e">
        <f t="shared" si="37"/>
        <v>#DIV/0!</v>
      </c>
    </row>
    <row r="54" spans="2:41" x14ac:dyDescent="0.15">
      <c r="B54" s="480"/>
      <c r="C54" s="129" t="s">
        <v>1003</v>
      </c>
      <c r="D54" s="370">
        <f>SUMIFS('caseload data'!E:E,'caseload data'!$D:$D,"TPO",'caseload data'!$A:$A,"Wales")</f>
        <v>0</v>
      </c>
      <c r="E54" s="94">
        <f>SUMIFS('caseload data'!F:F,'caseload data'!$D:$D,"TPO",'caseload data'!$A:$A,"Wales")</f>
        <v>0</v>
      </c>
      <c r="F54" s="94">
        <f>SUMIFS('caseload data'!G:G,'caseload data'!$D:$D,"TPO",'caseload data'!$A:$A,"Wales")</f>
        <v>0</v>
      </c>
      <c r="G54" s="94">
        <f>SUMIFS('caseload data'!H:H,'caseload data'!$D:$D,"TPO",'caseload data'!$A:$A,"Wales")</f>
        <v>0</v>
      </c>
      <c r="H54" s="94">
        <f>SUMIFS('caseload data'!I:I,'caseload data'!$D:$D,"TPO",'caseload data'!$A:$A,"Wales")</f>
        <v>0</v>
      </c>
      <c r="I54" s="94">
        <f>SUMIFS('caseload data'!J:J,'caseload data'!$D:$D,"TPO",'caseload data'!$A:$A,"Wales")</f>
        <v>0</v>
      </c>
      <c r="J54" s="94">
        <f>SUMIFS('caseload data'!K:K,'caseload data'!$D:$D,"TPO",'caseload data'!$A:$A,"Wales")</f>
        <v>0</v>
      </c>
      <c r="K54" s="94">
        <f>SUMIFS('caseload data'!L:L,'caseload data'!$D:$D,"TPO",'caseload data'!$A:$A,"Wales")</f>
        <v>0</v>
      </c>
      <c r="L54" s="94">
        <f>SUMIFS('caseload data'!M:M,'caseload data'!$D:$D,"TPO",'caseload data'!$A:$A,"Wales")</f>
        <v>0</v>
      </c>
      <c r="M54" s="94">
        <f>SUMIFS('caseload data'!N:N,'caseload data'!$D:$D,"TPO",'caseload data'!$A:$A,"Wales")</f>
        <v>0</v>
      </c>
      <c r="N54" s="94">
        <f>SUMIFS('caseload data'!O:O,'caseload data'!$D:$D,"TPO",'caseload data'!$A:$A,"Wales")</f>
        <v>0</v>
      </c>
      <c r="O54" s="94">
        <f>SUMIFS('caseload data'!P:P,'caseload data'!$D:$D,"TPO",'caseload data'!$A:$A,"Wales")</f>
        <v>0</v>
      </c>
      <c r="P54" s="94">
        <f>SUMIFS('caseload data'!Q:Q,'caseload data'!$D:$D,"TPO",'caseload data'!$A:$A,"Wales")</f>
        <v>0</v>
      </c>
      <c r="Q54" s="94">
        <f>SUMIFS('caseload data'!R:R,'caseload data'!$D:$D,"TPO",'caseload data'!$A:$A,"Wales")</f>
        <v>0</v>
      </c>
      <c r="R54" s="94">
        <f>SUMIFS('caseload data'!S:S,'caseload data'!$D:$D,"TPO",'caseload data'!$A:$A,"Wales")</f>
        <v>0</v>
      </c>
      <c r="S54" s="94">
        <f>SUMIFS('caseload data'!T:T,'caseload data'!$D:$D,"TPO",'caseload data'!$A:$A,"Wales")</f>
        <v>0</v>
      </c>
      <c r="T54" s="94">
        <f>SUMIFS('caseload data'!V:V,'caseload data'!$D:$D,"TPO",'caseload data'!$A:$A,"Wales")</f>
        <v>0</v>
      </c>
      <c r="U54" s="64"/>
      <c r="V54" s="64"/>
      <c r="W54" s="474"/>
      <c r="X54" s="129" t="s">
        <v>1003</v>
      </c>
      <c r="Y54" s="167" t="e">
        <f t="shared" si="38"/>
        <v>#DIV/0!</v>
      </c>
      <c r="Z54" s="167" t="e">
        <f t="shared" si="37"/>
        <v>#DIV/0!</v>
      </c>
      <c r="AA54" s="167" t="e">
        <f t="shared" si="37"/>
        <v>#DIV/0!</v>
      </c>
      <c r="AB54" s="167" t="e">
        <f t="shared" si="37"/>
        <v>#DIV/0!</v>
      </c>
      <c r="AC54" s="167" t="e">
        <f t="shared" si="37"/>
        <v>#DIV/0!</v>
      </c>
      <c r="AD54" s="167" t="e">
        <f t="shared" si="37"/>
        <v>#DIV/0!</v>
      </c>
      <c r="AE54" s="167" t="e">
        <f t="shared" si="37"/>
        <v>#DIV/0!</v>
      </c>
      <c r="AF54" s="167" t="e">
        <f t="shared" si="37"/>
        <v>#DIV/0!</v>
      </c>
      <c r="AG54" s="167" t="e">
        <f t="shared" si="37"/>
        <v>#DIV/0!</v>
      </c>
      <c r="AH54" s="167" t="e">
        <f t="shared" si="37"/>
        <v>#DIV/0!</v>
      </c>
      <c r="AI54" s="167" t="e">
        <f t="shared" si="37"/>
        <v>#DIV/0!</v>
      </c>
      <c r="AJ54" s="167" t="e">
        <f t="shared" si="37"/>
        <v>#DIV/0!</v>
      </c>
      <c r="AK54" s="167" t="e">
        <f t="shared" si="37"/>
        <v>#DIV/0!</v>
      </c>
      <c r="AL54" s="167" t="e">
        <f t="shared" si="37"/>
        <v>#DIV/0!</v>
      </c>
      <c r="AM54" s="167" t="e">
        <f t="shared" si="37"/>
        <v>#DIV/0!</v>
      </c>
      <c r="AN54" s="167" t="e">
        <f t="shared" si="37"/>
        <v>#DIV/0!</v>
      </c>
      <c r="AO54" s="167" t="e">
        <f t="shared" si="37"/>
        <v>#DIV/0!</v>
      </c>
    </row>
    <row r="55" spans="2:41" x14ac:dyDescent="0.15">
      <c r="B55" s="480"/>
      <c r="C55" s="129" t="s">
        <v>1004</v>
      </c>
      <c r="D55" s="370">
        <f>SUMIFS('caseload data'!E:E,'caseload data'!$D:$D,"SPO",'caseload data'!$A:$A,"Wales")</f>
        <v>0</v>
      </c>
      <c r="E55" s="94">
        <f>SUMIFS('caseload data'!F:F,'caseload data'!$D:$D,"SPO",'caseload data'!$A:$A,"Wales")</f>
        <v>0</v>
      </c>
      <c r="F55" s="94">
        <f>SUMIFS('caseload data'!G:G,'caseload data'!$D:$D,"SPO",'caseload data'!$A:$A,"Wales")</f>
        <v>0</v>
      </c>
      <c r="G55" s="94">
        <f>SUMIFS('caseload data'!H:H,'caseload data'!$D:$D,"SPO",'caseload data'!$A:$A,"Wales")</f>
        <v>0</v>
      </c>
      <c r="H55" s="94">
        <f>SUMIFS('caseload data'!I:I,'caseload data'!$D:$D,"SPO",'caseload data'!$A:$A,"Wales")</f>
        <v>0</v>
      </c>
      <c r="I55" s="94">
        <f>SUMIFS('caseload data'!J:J,'caseload data'!$D:$D,"SPO",'caseload data'!$A:$A,"Wales")</f>
        <v>0</v>
      </c>
      <c r="J55" s="94">
        <f>SUMIFS('caseload data'!K:K,'caseload data'!$D:$D,"SPO",'caseload data'!$A:$A,"Wales")</f>
        <v>0</v>
      </c>
      <c r="K55" s="94">
        <f>SUMIFS('caseload data'!L:L,'caseload data'!$D:$D,"SPO",'caseload data'!$A:$A,"Wales")</f>
        <v>0</v>
      </c>
      <c r="L55" s="94">
        <f>SUMIFS('caseload data'!M:M,'caseload data'!$D:$D,"SPO",'caseload data'!$A:$A,"Wales")</f>
        <v>0</v>
      </c>
      <c r="M55" s="94">
        <f>SUMIFS('caseload data'!N:N,'caseload data'!$D:$D,"SPO",'caseload data'!$A:$A,"Wales")</f>
        <v>0</v>
      </c>
      <c r="N55" s="94">
        <f>SUMIFS('caseload data'!O:O,'caseload data'!$D:$D,"SPO",'caseload data'!$A:$A,"Wales")</f>
        <v>0</v>
      </c>
      <c r="O55" s="94">
        <f>SUMIFS('caseload data'!P:P,'caseload data'!$D:$D,"SPO",'caseload data'!$A:$A,"Wales")</f>
        <v>0</v>
      </c>
      <c r="P55" s="94">
        <f>SUMIFS('caseload data'!Q:Q,'caseload data'!$D:$D,"SPO",'caseload data'!$A:$A,"Wales")</f>
        <v>0</v>
      </c>
      <c r="Q55" s="94">
        <f>SUMIFS('caseload data'!R:R,'caseload data'!$D:$D,"SPO",'caseload data'!$A:$A,"Wales")</f>
        <v>0</v>
      </c>
      <c r="R55" s="94">
        <f>SUMIFS('caseload data'!S:S,'caseload data'!$D:$D,"SPO",'caseload data'!$A:$A,"Wales")</f>
        <v>0</v>
      </c>
      <c r="S55" s="94">
        <f>SUMIFS('caseload data'!T:T,'caseload data'!$D:$D,"SPO",'caseload data'!$A:$A,"Wales")</f>
        <v>0</v>
      </c>
      <c r="T55" s="94">
        <f>SUMIFS('caseload data'!V:V,'caseload data'!$D:$D,"SPO",'caseload data'!$A:$A,"Wales")</f>
        <v>0</v>
      </c>
      <c r="U55" s="64"/>
      <c r="V55" s="64"/>
      <c r="W55" s="474"/>
      <c r="X55" s="129" t="s">
        <v>1004</v>
      </c>
      <c r="Y55" s="167" t="e">
        <f t="shared" si="38"/>
        <v>#DIV/0!</v>
      </c>
      <c r="Z55" s="167" t="e">
        <f t="shared" si="37"/>
        <v>#DIV/0!</v>
      </c>
      <c r="AA55" s="167" t="e">
        <f t="shared" si="37"/>
        <v>#DIV/0!</v>
      </c>
      <c r="AB55" s="167" t="e">
        <f t="shared" si="37"/>
        <v>#DIV/0!</v>
      </c>
      <c r="AC55" s="167" t="e">
        <f t="shared" si="37"/>
        <v>#DIV/0!</v>
      </c>
      <c r="AD55" s="167" t="e">
        <f t="shared" si="37"/>
        <v>#DIV/0!</v>
      </c>
      <c r="AE55" s="167" t="e">
        <f t="shared" si="37"/>
        <v>#DIV/0!</v>
      </c>
      <c r="AF55" s="167" t="e">
        <f t="shared" si="37"/>
        <v>#DIV/0!</v>
      </c>
      <c r="AG55" s="167" t="e">
        <f t="shared" si="37"/>
        <v>#DIV/0!</v>
      </c>
      <c r="AH55" s="167" t="e">
        <f t="shared" si="37"/>
        <v>#DIV/0!</v>
      </c>
      <c r="AI55" s="167" t="e">
        <f t="shared" si="37"/>
        <v>#DIV/0!</v>
      </c>
      <c r="AJ55" s="167" t="e">
        <f t="shared" si="37"/>
        <v>#DIV/0!</v>
      </c>
      <c r="AK55" s="167" t="e">
        <f t="shared" si="37"/>
        <v>#DIV/0!</v>
      </c>
      <c r="AL55" s="167" t="e">
        <f t="shared" si="37"/>
        <v>#DIV/0!</v>
      </c>
      <c r="AM55" s="167" t="e">
        <f t="shared" si="37"/>
        <v>#DIV/0!</v>
      </c>
      <c r="AN55" s="167" t="e">
        <f t="shared" si="37"/>
        <v>#DIV/0!</v>
      </c>
      <c r="AO55" s="167" t="e">
        <f t="shared" si="37"/>
        <v>#DIV/0!</v>
      </c>
    </row>
    <row r="56" spans="2:41" x14ac:dyDescent="0.15">
      <c r="B56" s="481"/>
      <c r="C56" s="129" t="s">
        <v>1339</v>
      </c>
      <c r="D56" s="370">
        <f>SUMIFS('caseload data'!E:E,'caseload data'!$D:$D,"DMY",'caseload data'!$A:$A,"Wales")</f>
        <v>0</v>
      </c>
      <c r="E56" s="370">
        <f>SUMIFS('caseload data'!F:F,'caseload data'!$D:$D,"DMY",'caseload data'!$A:$A,"Wales")</f>
        <v>0</v>
      </c>
      <c r="F56" s="370">
        <f>SUMIFS('caseload data'!G:G,'caseload data'!$D:$D,"DMY",'caseload data'!$A:$A,"Wales")</f>
        <v>0</v>
      </c>
      <c r="G56" s="370">
        <f>SUMIFS('caseload data'!H:H,'caseload data'!$D:$D,"DMY",'caseload data'!$A:$A,"Wales")</f>
        <v>0</v>
      </c>
      <c r="H56" s="370">
        <f>SUMIFS('caseload data'!I:I,'caseload data'!$D:$D,"DMY",'caseload data'!$A:$A,"Wales")</f>
        <v>0</v>
      </c>
      <c r="I56" s="370">
        <f>SUMIFS('caseload data'!J:J,'caseload data'!$D:$D,"DMY",'caseload data'!$A:$A,"Wales")</f>
        <v>0</v>
      </c>
      <c r="J56" s="370">
        <f>SUMIFS('caseload data'!K:K,'caseload data'!$D:$D,"DMY",'caseload data'!$A:$A,"Wales")</f>
        <v>0</v>
      </c>
      <c r="K56" s="370">
        <f>SUMIFS('caseload data'!L:L,'caseload data'!$D:$D,"DMY",'caseload data'!$A:$A,"Wales")</f>
        <v>0</v>
      </c>
      <c r="L56" s="370">
        <f>SUMIFS('caseload data'!M:M,'caseload data'!$D:$D,"DMY",'caseload data'!$A:$A,"Wales")</f>
        <v>0</v>
      </c>
      <c r="M56" s="370">
        <f>SUMIFS('caseload data'!N:N,'caseload data'!$D:$D,"DMY",'caseload data'!$A:$A,"Wales")</f>
        <v>0</v>
      </c>
      <c r="N56" s="370">
        <f>SUMIFS('caseload data'!O:O,'caseload data'!$D:$D,"DMY",'caseload data'!$A:$A,"Wales")</f>
        <v>0</v>
      </c>
      <c r="O56" s="370">
        <f>SUMIFS('caseload data'!P:P,'caseload data'!$D:$D,"DMY",'caseload data'!$A:$A,"Wales")</f>
        <v>0</v>
      </c>
      <c r="P56" s="370">
        <f>SUMIFS('caseload data'!Q:Q,'caseload data'!$D:$D,"DMY",'caseload data'!$A:$A,"Wales")</f>
        <v>0</v>
      </c>
      <c r="Q56" s="370">
        <f>SUMIFS('caseload data'!R:R,'caseload data'!$D:$D,"DMY",'caseload data'!$A:$A,"Wales")</f>
        <v>0</v>
      </c>
      <c r="R56" s="370">
        <f>SUMIFS('caseload data'!S:S,'caseload data'!$D:$D,"DMY",'caseload data'!$A:$A,"Wales")</f>
        <v>0</v>
      </c>
      <c r="S56" s="370">
        <f>SUMIFS('caseload data'!T:T,'caseload data'!$D:$D,"DMY",'caseload data'!$A:$A,"Wales")</f>
        <v>0</v>
      </c>
      <c r="T56" s="94">
        <f>SUMIFS('caseload data'!V:V,'caseload data'!$D:$D,"DMY",'caseload data'!$A:$A,"Wales")</f>
        <v>0</v>
      </c>
      <c r="U56" s="64"/>
      <c r="V56" s="64"/>
      <c r="W56" s="475"/>
      <c r="X56" s="130" t="s">
        <v>1339</v>
      </c>
      <c r="Y56" s="167" t="e">
        <f t="shared" si="38"/>
        <v>#DIV/0!</v>
      </c>
      <c r="Z56" s="167" t="e">
        <f t="shared" si="37"/>
        <v>#DIV/0!</v>
      </c>
      <c r="AA56" s="167" t="e">
        <f t="shared" si="37"/>
        <v>#DIV/0!</v>
      </c>
      <c r="AB56" s="167" t="e">
        <f t="shared" si="37"/>
        <v>#DIV/0!</v>
      </c>
      <c r="AC56" s="167" t="e">
        <f t="shared" si="37"/>
        <v>#DIV/0!</v>
      </c>
      <c r="AD56" s="167" t="e">
        <f t="shared" si="37"/>
        <v>#DIV/0!</v>
      </c>
      <c r="AE56" s="167" t="e">
        <f t="shared" si="37"/>
        <v>#DIV/0!</v>
      </c>
      <c r="AF56" s="167" t="e">
        <f t="shared" si="37"/>
        <v>#DIV/0!</v>
      </c>
      <c r="AG56" s="167" t="e">
        <f t="shared" si="37"/>
        <v>#DIV/0!</v>
      </c>
      <c r="AH56" s="167" t="e">
        <f t="shared" si="37"/>
        <v>#DIV/0!</v>
      </c>
      <c r="AI56" s="167" t="e">
        <f t="shared" si="37"/>
        <v>#DIV/0!</v>
      </c>
      <c r="AJ56" s="167" t="e">
        <f t="shared" si="37"/>
        <v>#DIV/0!</v>
      </c>
      <c r="AK56" s="167" t="e">
        <f t="shared" si="37"/>
        <v>#DIV/0!</v>
      </c>
      <c r="AL56" s="167" t="e">
        <f t="shared" si="37"/>
        <v>#DIV/0!</v>
      </c>
      <c r="AM56" s="167" t="e">
        <f t="shared" si="37"/>
        <v>#DIV/0!</v>
      </c>
      <c r="AN56" s="167" t="e">
        <f t="shared" si="37"/>
        <v>#DIV/0!</v>
      </c>
      <c r="AO56" s="167" t="e">
        <f t="shared" si="37"/>
        <v>#DIV/0!</v>
      </c>
    </row>
    <row r="57" spans="2:41" x14ac:dyDescent="0.15">
      <c r="B57" s="479" t="s">
        <v>27</v>
      </c>
      <c r="C57" s="128" t="s">
        <v>997</v>
      </c>
      <c r="D57" s="370">
        <f>SUMIFS('caseload data'!E:E,'caseload data'!$D:$D,"PO",'caseload data'!$A:$A,$B$57)</f>
        <v>0</v>
      </c>
      <c r="E57" s="94">
        <f>SUMIFS('caseload data'!F:F,'caseload data'!$D:$D,"PO",'caseload data'!$A:$A,$B$57)</f>
        <v>0</v>
      </c>
      <c r="F57" s="94">
        <f>SUMIFS('caseload data'!G:G,'caseload data'!$D:$D,"PO",'caseload data'!$A:$A,$B$57)</f>
        <v>0</v>
      </c>
      <c r="G57" s="94">
        <f>SUMIFS('caseload data'!H:H,'caseload data'!$D:$D,"PO",'caseload data'!$A:$A,$B$57)</f>
        <v>0</v>
      </c>
      <c r="H57" s="94">
        <f>SUMIFS('caseload data'!I:I,'caseload data'!$D:$D,"PO",'caseload data'!$A:$A,$B$57)</f>
        <v>0</v>
      </c>
      <c r="I57" s="94">
        <f>SUMIFS('caseload data'!J:J,'caseload data'!$D:$D,"PO",'caseload data'!$A:$A,$B$57)</f>
        <v>0</v>
      </c>
      <c r="J57" s="94">
        <f>SUMIFS('caseload data'!K:K,'caseload data'!$D:$D,"PO",'caseload data'!$A:$A,$B$57)</f>
        <v>0</v>
      </c>
      <c r="K57" s="94">
        <f>SUMIFS('caseload data'!L:L,'caseload data'!$D:$D,"PO",'caseload data'!$A:$A,$B$57)</f>
        <v>0</v>
      </c>
      <c r="L57" s="94">
        <f>SUMIFS('caseload data'!M:M,'caseload data'!$D:$D,"PO",'caseload data'!$A:$A,$B$57)</f>
        <v>0</v>
      </c>
      <c r="M57" s="94">
        <f>SUMIFS('caseload data'!N:N,'caseload data'!$D:$D,"PO",'caseload data'!$A:$A,$B$57)</f>
        <v>0</v>
      </c>
      <c r="N57" s="94">
        <f>SUMIFS('caseload data'!O:O,'caseload data'!$D:$D,"PO",'caseload data'!$A:$A,$B$57)</f>
        <v>0</v>
      </c>
      <c r="O57" s="94">
        <f>SUMIFS('caseload data'!P:P,'caseload data'!$D:$D,"PO",'caseload data'!$A:$A,$B$57)</f>
        <v>0</v>
      </c>
      <c r="P57" s="94">
        <f>SUMIFS('caseload data'!Q:Q,'caseload data'!$D:$D,"PO",'caseload data'!$A:$A,$B$57)</f>
        <v>0</v>
      </c>
      <c r="Q57" s="94">
        <f>SUMIFS('caseload data'!R:R,'caseload data'!$D:$D,"PO",'caseload data'!$A:$A,$B$57)</f>
        <v>0</v>
      </c>
      <c r="R57" s="94">
        <f>SUMIFS('caseload data'!S:S,'caseload data'!$D:$D,"PO",'caseload data'!$A:$A,$B$57)</f>
        <v>0</v>
      </c>
      <c r="S57" s="94">
        <f>SUMIFS('caseload data'!T:T,'caseload data'!$D:$D,"PO",'caseload data'!$A:$A,$B$57)</f>
        <v>0</v>
      </c>
      <c r="T57" s="94">
        <f>SUMIFS('caseload data'!V:V,'caseload data'!$D:$D,"PO",'caseload data'!$A:$A,B57)</f>
        <v>0</v>
      </c>
      <c r="U57" s="64"/>
      <c r="V57" s="64"/>
      <c r="W57" s="473" t="s">
        <v>27</v>
      </c>
      <c r="X57" s="128" t="s">
        <v>997</v>
      </c>
      <c r="Y57" s="167" t="e">
        <f>SUM(D57)/SUM(D$57:D$61)</f>
        <v>#DIV/0!</v>
      </c>
      <c r="Z57" s="167" t="e">
        <f t="shared" ref="Z57:AO61" si="39">SUM(E57)/SUM(E$57:E$61)</f>
        <v>#DIV/0!</v>
      </c>
      <c r="AA57" s="167" t="e">
        <f t="shared" si="39"/>
        <v>#DIV/0!</v>
      </c>
      <c r="AB57" s="167" t="e">
        <f t="shared" si="39"/>
        <v>#DIV/0!</v>
      </c>
      <c r="AC57" s="167" t="e">
        <f t="shared" si="39"/>
        <v>#DIV/0!</v>
      </c>
      <c r="AD57" s="167" t="e">
        <f t="shared" si="39"/>
        <v>#DIV/0!</v>
      </c>
      <c r="AE57" s="167" t="e">
        <f t="shared" si="39"/>
        <v>#DIV/0!</v>
      </c>
      <c r="AF57" s="167" t="e">
        <f t="shared" si="39"/>
        <v>#DIV/0!</v>
      </c>
      <c r="AG57" s="167" t="e">
        <f t="shared" si="39"/>
        <v>#DIV/0!</v>
      </c>
      <c r="AH57" s="167" t="e">
        <f t="shared" si="39"/>
        <v>#DIV/0!</v>
      </c>
      <c r="AI57" s="167" t="e">
        <f t="shared" si="39"/>
        <v>#DIV/0!</v>
      </c>
      <c r="AJ57" s="167" t="e">
        <f t="shared" si="39"/>
        <v>#DIV/0!</v>
      </c>
      <c r="AK57" s="167" t="e">
        <f t="shared" si="39"/>
        <v>#DIV/0!</v>
      </c>
      <c r="AL57" s="167" t="e">
        <f t="shared" si="39"/>
        <v>#DIV/0!</v>
      </c>
      <c r="AM57" s="167" t="e">
        <f t="shared" si="39"/>
        <v>#DIV/0!</v>
      </c>
      <c r="AN57" s="167" t="e">
        <f t="shared" si="39"/>
        <v>#DIV/0!</v>
      </c>
      <c r="AO57" s="167" t="e">
        <f t="shared" si="39"/>
        <v>#DIV/0!</v>
      </c>
    </row>
    <row r="58" spans="2:41" x14ac:dyDescent="0.15">
      <c r="B58" s="480"/>
      <c r="C58" s="129" t="s">
        <v>1002</v>
      </c>
      <c r="D58" s="370">
        <f>SUMIFS('caseload data'!E:E,'caseload data'!$D:$D,"PSO",'caseload data'!$A:$A,"West Midlands Region")</f>
        <v>0</v>
      </c>
      <c r="E58" s="94">
        <f>SUMIFS('caseload data'!F:F,'caseload data'!$D:$D,"PSO",'caseload data'!$A:$A,"West Midlands Region")</f>
        <v>0</v>
      </c>
      <c r="F58" s="94">
        <f>SUMIFS('caseload data'!G:G,'caseload data'!$D:$D,"PSO",'caseload data'!$A:$A,"West Midlands Region")</f>
        <v>0</v>
      </c>
      <c r="G58" s="94">
        <f>SUMIFS('caseload data'!H:H,'caseload data'!$D:$D,"PSO",'caseload data'!$A:$A,"West Midlands Region")</f>
        <v>0</v>
      </c>
      <c r="H58" s="94">
        <f>SUMIFS('caseload data'!I:I,'caseload data'!$D:$D,"PSO",'caseload data'!$A:$A,"West Midlands Region")</f>
        <v>0</v>
      </c>
      <c r="I58" s="94">
        <f>SUMIFS('caseload data'!J:J,'caseload data'!$D:$D,"PSO",'caseload data'!$A:$A,"West Midlands Region")</f>
        <v>0</v>
      </c>
      <c r="J58" s="94">
        <f>SUMIFS('caseload data'!K:K,'caseload data'!$D:$D,"PSO",'caseload data'!$A:$A,"West Midlands Region")</f>
        <v>0</v>
      </c>
      <c r="K58" s="94">
        <f>SUMIFS('caseload data'!L:L,'caseload data'!$D:$D,"PSO",'caseload data'!$A:$A,"West Midlands Region")</f>
        <v>0</v>
      </c>
      <c r="L58" s="94">
        <f>SUMIFS('caseload data'!M:M,'caseload data'!$D:$D,"PSO",'caseload data'!$A:$A,"West Midlands Region")</f>
        <v>0</v>
      </c>
      <c r="M58" s="94">
        <f>SUMIFS('caseload data'!N:N,'caseload data'!$D:$D,"PSO",'caseload data'!$A:$A,"West Midlands Region")</f>
        <v>0</v>
      </c>
      <c r="N58" s="94">
        <f>SUMIFS('caseload data'!O:O,'caseload data'!$D:$D,"PSO",'caseload data'!$A:$A,"West Midlands Region")</f>
        <v>0</v>
      </c>
      <c r="O58" s="94">
        <f>SUMIFS('caseload data'!P:P,'caseload data'!$D:$D,"PSO",'caseload data'!$A:$A,"West Midlands Region")</f>
        <v>0</v>
      </c>
      <c r="P58" s="94">
        <f>SUMIFS('caseload data'!Q:Q,'caseload data'!$D:$D,"PSO",'caseload data'!$A:$A,"West Midlands Region")</f>
        <v>0</v>
      </c>
      <c r="Q58" s="94">
        <f>SUMIFS('caseload data'!R:R,'caseload data'!$D:$D,"PSO",'caseload data'!$A:$A,"West Midlands Region")</f>
        <v>0</v>
      </c>
      <c r="R58" s="94">
        <f>SUMIFS('caseload data'!S:S,'caseload data'!$D:$D,"PSO",'caseload data'!$A:$A,"West Midlands Region")</f>
        <v>0</v>
      </c>
      <c r="S58" s="94">
        <f>SUMIFS('caseload data'!T:T,'caseload data'!$D:$D,"PSO",'caseload data'!$A:$A,"West Midlands Region")</f>
        <v>0</v>
      </c>
      <c r="T58" s="94">
        <f>SUMIFS('caseload data'!V:V,'caseload data'!$D:$D,"PSO",'caseload data'!$A:$A,"West Midlands Region")</f>
        <v>0</v>
      </c>
      <c r="U58" s="64"/>
      <c r="V58" s="64"/>
      <c r="W58" s="474"/>
      <c r="X58" s="129" t="s">
        <v>1002</v>
      </c>
      <c r="Y58" s="167" t="e">
        <f t="shared" ref="Y58:Y61" si="40">SUM(D58)/SUM(D$57:D$61)</f>
        <v>#DIV/0!</v>
      </c>
      <c r="Z58" s="167" t="e">
        <f t="shared" si="39"/>
        <v>#DIV/0!</v>
      </c>
      <c r="AA58" s="167" t="e">
        <f t="shared" si="39"/>
        <v>#DIV/0!</v>
      </c>
      <c r="AB58" s="167" t="e">
        <f t="shared" si="39"/>
        <v>#DIV/0!</v>
      </c>
      <c r="AC58" s="167" t="e">
        <f t="shared" si="39"/>
        <v>#DIV/0!</v>
      </c>
      <c r="AD58" s="167" t="e">
        <f t="shared" si="39"/>
        <v>#DIV/0!</v>
      </c>
      <c r="AE58" s="167" t="e">
        <f t="shared" si="39"/>
        <v>#DIV/0!</v>
      </c>
      <c r="AF58" s="167" t="e">
        <f t="shared" si="39"/>
        <v>#DIV/0!</v>
      </c>
      <c r="AG58" s="167" t="e">
        <f t="shared" si="39"/>
        <v>#DIV/0!</v>
      </c>
      <c r="AH58" s="167" t="e">
        <f t="shared" si="39"/>
        <v>#DIV/0!</v>
      </c>
      <c r="AI58" s="167" t="e">
        <f t="shared" si="39"/>
        <v>#DIV/0!</v>
      </c>
      <c r="AJ58" s="167" t="e">
        <f t="shared" si="39"/>
        <v>#DIV/0!</v>
      </c>
      <c r="AK58" s="167" t="e">
        <f t="shared" si="39"/>
        <v>#DIV/0!</v>
      </c>
      <c r="AL58" s="167" t="e">
        <f t="shared" si="39"/>
        <v>#DIV/0!</v>
      </c>
      <c r="AM58" s="167" t="e">
        <f t="shared" si="39"/>
        <v>#DIV/0!</v>
      </c>
      <c r="AN58" s="167" t="e">
        <f t="shared" si="39"/>
        <v>#DIV/0!</v>
      </c>
      <c r="AO58" s="167" t="e">
        <f t="shared" si="39"/>
        <v>#DIV/0!</v>
      </c>
    </row>
    <row r="59" spans="2:41" x14ac:dyDescent="0.15">
      <c r="B59" s="480"/>
      <c r="C59" s="129" t="s">
        <v>1003</v>
      </c>
      <c r="D59" s="370">
        <f>SUMIFS('caseload data'!E:E,'caseload data'!$D:$D,"TPO",'caseload data'!$A:$A,"West Midlands Region")</f>
        <v>0</v>
      </c>
      <c r="E59" s="94">
        <f>SUMIFS('caseload data'!F:F,'caseload data'!$D:$D,"TPO",'caseload data'!$A:$A,"West Midlands Region")</f>
        <v>0</v>
      </c>
      <c r="F59" s="94">
        <f>SUMIFS('caseload data'!G:G,'caseload data'!$D:$D,"TPO",'caseload data'!$A:$A,"West Midlands Region")</f>
        <v>0</v>
      </c>
      <c r="G59" s="94">
        <f>SUMIFS('caseload data'!H:H,'caseload data'!$D:$D,"TPO",'caseload data'!$A:$A,"West Midlands Region")</f>
        <v>0</v>
      </c>
      <c r="H59" s="94">
        <f>SUMIFS('caseload data'!I:I,'caseload data'!$D:$D,"TPO",'caseload data'!$A:$A,"West Midlands Region")</f>
        <v>0</v>
      </c>
      <c r="I59" s="94">
        <f>SUMIFS('caseload data'!J:J,'caseload data'!$D:$D,"TPO",'caseload data'!$A:$A,"West Midlands Region")</f>
        <v>0</v>
      </c>
      <c r="J59" s="94">
        <f>SUMIFS('caseload data'!K:K,'caseload data'!$D:$D,"TPO",'caseload data'!$A:$A,"West Midlands Region")</f>
        <v>0</v>
      </c>
      <c r="K59" s="94">
        <f>SUMIFS('caseload data'!L:L,'caseload data'!$D:$D,"TPO",'caseload data'!$A:$A,"West Midlands Region")</f>
        <v>0</v>
      </c>
      <c r="L59" s="94">
        <f>SUMIFS('caseload data'!M:M,'caseload data'!$D:$D,"TPO",'caseload data'!$A:$A,"West Midlands Region")</f>
        <v>0</v>
      </c>
      <c r="M59" s="94">
        <f>SUMIFS('caseload data'!N:N,'caseload data'!$D:$D,"TPO",'caseload data'!$A:$A,"West Midlands Region")</f>
        <v>0</v>
      </c>
      <c r="N59" s="94">
        <f>SUMIFS('caseload data'!O:O,'caseload data'!$D:$D,"TPO",'caseload data'!$A:$A,"West Midlands Region")</f>
        <v>0</v>
      </c>
      <c r="O59" s="94">
        <f>SUMIFS('caseload data'!P:P,'caseload data'!$D:$D,"TPO",'caseload data'!$A:$A,"West Midlands Region")</f>
        <v>0</v>
      </c>
      <c r="P59" s="94">
        <f>SUMIFS('caseload data'!Q:Q,'caseload data'!$D:$D,"TPO",'caseload data'!$A:$A,"West Midlands Region")</f>
        <v>0</v>
      </c>
      <c r="Q59" s="94">
        <f>SUMIFS('caseload data'!R:R,'caseload data'!$D:$D,"TPO",'caseload data'!$A:$A,"West Midlands Region")</f>
        <v>0</v>
      </c>
      <c r="R59" s="94">
        <f>SUMIFS('caseload data'!S:S,'caseload data'!$D:$D,"TPO",'caseload data'!$A:$A,"West Midlands Region")</f>
        <v>0</v>
      </c>
      <c r="S59" s="94">
        <f>SUMIFS('caseload data'!T:T,'caseload data'!$D:$D,"TPO",'caseload data'!$A:$A,"West Midlands Region")</f>
        <v>0</v>
      </c>
      <c r="T59" s="94">
        <f>SUMIFS('caseload data'!V:V,'caseload data'!$D:$D,"TPO",'caseload data'!$A:$A,"West Midlands Region")</f>
        <v>0</v>
      </c>
      <c r="U59" s="64"/>
      <c r="V59" s="64"/>
      <c r="W59" s="474"/>
      <c r="X59" s="129" t="s">
        <v>1003</v>
      </c>
      <c r="Y59" s="167" t="e">
        <f t="shared" si="40"/>
        <v>#DIV/0!</v>
      </c>
      <c r="Z59" s="167" t="e">
        <f t="shared" si="39"/>
        <v>#DIV/0!</v>
      </c>
      <c r="AA59" s="167" t="e">
        <f t="shared" si="39"/>
        <v>#DIV/0!</v>
      </c>
      <c r="AB59" s="167" t="e">
        <f t="shared" si="39"/>
        <v>#DIV/0!</v>
      </c>
      <c r="AC59" s="167" t="e">
        <f t="shared" si="39"/>
        <v>#DIV/0!</v>
      </c>
      <c r="AD59" s="167" t="e">
        <f t="shared" si="39"/>
        <v>#DIV/0!</v>
      </c>
      <c r="AE59" s="167" t="e">
        <f t="shared" si="39"/>
        <v>#DIV/0!</v>
      </c>
      <c r="AF59" s="167" t="e">
        <f t="shared" si="39"/>
        <v>#DIV/0!</v>
      </c>
      <c r="AG59" s="167" t="e">
        <f t="shared" si="39"/>
        <v>#DIV/0!</v>
      </c>
      <c r="AH59" s="167" t="e">
        <f t="shared" si="39"/>
        <v>#DIV/0!</v>
      </c>
      <c r="AI59" s="167" t="e">
        <f t="shared" si="39"/>
        <v>#DIV/0!</v>
      </c>
      <c r="AJ59" s="167" t="e">
        <f t="shared" si="39"/>
        <v>#DIV/0!</v>
      </c>
      <c r="AK59" s="167" t="e">
        <f t="shared" si="39"/>
        <v>#DIV/0!</v>
      </c>
      <c r="AL59" s="167" t="e">
        <f t="shared" si="39"/>
        <v>#DIV/0!</v>
      </c>
      <c r="AM59" s="167" t="e">
        <f t="shared" si="39"/>
        <v>#DIV/0!</v>
      </c>
      <c r="AN59" s="167" t="e">
        <f t="shared" si="39"/>
        <v>#DIV/0!</v>
      </c>
      <c r="AO59" s="167" t="e">
        <f t="shared" si="39"/>
        <v>#DIV/0!</v>
      </c>
    </row>
    <row r="60" spans="2:41" x14ac:dyDescent="0.15">
      <c r="B60" s="480"/>
      <c r="C60" s="129" t="s">
        <v>1004</v>
      </c>
      <c r="D60" s="370">
        <f>SUMIFS('caseload data'!E:E,'caseload data'!$D:$D,"SPO",'caseload data'!$A:$A,"West Midlands Region")</f>
        <v>0</v>
      </c>
      <c r="E60" s="94">
        <f>SUMIFS('caseload data'!F:F,'caseload data'!$D:$D,"SPO",'caseload data'!$A:$A,"West Midlands Region")</f>
        <v>0</v>
      </c>
      <c r="F60" s="94">
        <f>SUMIFS('caseload data'!G:G,'caseload data'!$D:$D,"SPO",'caseload data'!$A:$A,"West Midlands Region")</f>
        <v>0</v>
      </c>
      <c r="G60" s="94">
        <f>SUMIFS('caseload data'!H:H,'caseload data'!$D:$D,"SPO",'caseload data'!$A:$A,"West Midlands Region")</f>
        <v>0</v>
      </c>
      <c r="H60" s="94">
        <f>SUMIFS('caseload data'!I:I,'caseload data'!$D:$D,"SPO",'caseload data'!$A:$A,"West Midlands Region")</f>
        <v>0</v>
      </c>
      <c r="I60" s="94">
        <f>SUMIFS('caseload data'!J:J,'caseload data'!$D:$D,"SPO",'caseload data'!$A:$A,"West Midlands Region")</f>
        <v>0</v>
      </c>
      <c r="J60" s="94">
        <f>SUMIFS('caseload data'!K:K,'caseload data'!$D:$D,"SPO",'caseload data'!$A:$A,"West Midlands Region")</f>
        <v>0</v>
      </c>
      <c r="K60" s="94">
        <f>SUMIFS('caseload data'!L:L,'caseload data'!$D:$D,"SPO",'caseload data'!$A:$A,"West Midlands Region")</f>
        <v>0</v>
      </c>
      <c r="L60" s="94">
        <f>SUMIFS('caseload data'!M:M,'caseload data'!$D:$D,"SPO",'caseload data'!$A:$A,"West Midlands Region")</f>
        <v>0</v>
      </c>
      <c r="M60" s="94">
        <f>SUMIFS('caseload data'!N:N,'caseload data'!$D:$D,"SPO",'caseload data'!$A:$A,"West Midlands Region")</f>
        <v>0</v>
      </c>
      <c r="N60" s="94">
        <f>SUMIFS('caseload data'!O:O,'caseload data'!$D:$D,"SPO",'caseload data'!$A:$A,"West Midlands Region")</f>
        <v>0</v>
      </c>
      <c r="O60" s="94">
        <f>SUMIFS('caseload data'!P:P,'caseload data'!$D:$D,"SPO",'caseload data'!$A:$A,"West Midlands Region")</f>
        <v>0</v>
      </c>
      <c r="P60" s="94">
        <f>SUMIFS('caseload data'!Q:Q,'caseload data'!$D:$D,"SPO",'caseload data'!$A:$A,"West Midlands Region")</f>
        <v>0</v>
      </c>
      <c r="Q60" s="94">
        <f>SUMIFS('caseload data'!R:R,'caseload data'!$D:$D,"SPO",'caseload data'!$A:$A,"West Midlands Region")</f>
        <v>0</v>
      </c>
      <c r="R60" s="94">
        <f>SUMIFS('caseload data'!S:S,'caseload data'!$D:$D,"SPO",'caseload data'!$A:$A,"West Midlands Region")</f>
        <v>0</v>
      </c>
      <c r="S60" s="94">
        <f>SUMIFS('caseload data'!T:T,'caseload data'!$D:$D,"SPO",'caseload data'!$A:$A,"West Midlands Region")</f>
        <v>0</v>
      </c>
      <c r="T60" s="94">
        <f>SUMIFS('caseload data'!V:V,'caseload data'!$D:$D,"SPO",'caseload data'!$A:$A,"West Midlands Region")</f>
        <v>0</v>
      </c>
      <c r="U60" s="64"/>
      <c r="V60" s="64"/>
      <c r="W60" s="474"/>
      <c r="X60" s="129" t="s">
        <v>1004</v>
      </c>
      <c r="Y60" s="167" t="e">
        <f t="shared" si="40"/>
        <v>#DIV/0!</v>
      </c>
      <c r="Z60" s="167" t="e">
        <f t="shared" si="39"/>
        <v>#DIV/0!</v>
      </c>
      <c r="AA60" s="167" t="e">
        <f t="shared" si="39"/>
        <v>#DIV/0!</v>
      </c>
      <c r="AB60" s="167" t="e">
        <f t="shared" si="39"/>
        <v>#DIV/0!</v>
      </c>
      <c r="AC60" s="167" t="e">
        <f t="shared" si="39"/>
        <v>#DIV/0!</v>
      </c>
      <c r="AD60" s="167" t="e">
        <f t="shared" si="39"/>
        <v>#DIV/0!</v>
      </c>
      <c r="AE60" s="167" t="e">
        <f t="shared" si="39"/>
        <v>#DIV/0!</v>
      </c>
      <c r="AF60" s="167" t="e">
        <f t="shared" si="39"/>
        <v>#DIV/0!</v>
      </c>
      <c r="AG60" s="167" t="e">
        <f t="shared" si="39"/>
        <v>#DIV/0!</v>
      </c>
      <c r="AH60" s="167" t="e">
        <f t="shared" si="39"/>
        <v>#DIV/0!</v>
      </c>
      <c r="AI60" s="167" t="e">
        <f t="shared" si="39"/>
        <v>#DIV/0!</v>
      </c>
      <c r="AJ60" s="167" t="e">
        <f t="shared" si="39"/>
        <v>#DIV/0!</v>
      </c>
      <c r="AK60" s="167" t="e">
        <f t="shared" si="39"/>
        <v>#DIV/0!</v>
      </c>
      <c r="AL60" s="167" t="e">
        <f t="shared" si="39"/>
        <v>#DIV/0!</v>
      </c>
      <c r="AM60" s="167" t="e">
        <f t="shared" si="39"/>
        <v>#DIV/0!</v>
      </c>
      <c r="AN60" s="167" t="e">
        <f t="shared" si="39"/>
        <v>#DIV/0!</v>
      </c>
      <c r="AO60" s="167" t="e">
        <f t="shared" si="39"/>
        <v>#DIV/0!</v>
      </c>
    </row>
    <row r="61" spans="2:41" x14ac:dyDescent="0.15">
      <c r="B61" s="481"/>
      <c r="C61" s="130" t="s">
        <v>1339</v>
      </c>
      <c r="D61" s="370">
        <f>SUMIFS('caseload data'!E:E,'caseload data'!$D:$D,"DMY",'caseload data'!$A:$A,"West Midlands Region")</f>
        <v>0</v>
      </c>
      <c r="E61" s="370">
        <f>SUMIFS('caseload data'!F:F,'caseload data'!$D:$D,"DMY",'caseload data'!$A:$A,"West Midlands Region")</f>
        <v>0</v>
      </c>
      <c r="F61" s="370">
        <f>SUMIFS('caseload data'!G:G,'caseload data'!$D:$D,"DMY",'caseload data'!$A:$A,"West Midlands Region")</f>
        <v>0</v>
      </c>
      <c r="G61" s="370">
        <f>SUMIFS('caseload data'!H:H,'caseload data'!$D:$D,"DMY",'caseload data'!$A:$A,"West Midlands Region")</f>
        <v>0</v>
      </c>
      <c r="H61" s="370">
        <f>SUMIFS('caseload data'!I:I,'caseload data'!$D:$D,"DMY",'caseload data'!$A:$A,"West Midlands Region")</f>
        <v>0</v>
      </c>
      <c r="I61" s="370">
        <f>SUMIFS('caseload data'!J:J,'caseload data'!$D:$D,"DMY",'caseload data'!$A:$A,"West Midlands Region")</f>
        <v>0</v>
      </c>
      <c r="J61" s="370">
        <f>SUMIFS('caseload data'!K:K,'caseload data'!$D:$D,"DMY",'caseload data'!$A:$A,"West Midlands Region")</f>
        <v>0</v>
      </c>
      <c r="K61" s="370">
        <f>SUMIFS('caseload data'!L:L,'caseload data'!$D:$D,"DMY",'caseload data'!$A:$A,"West Midlands Region")</f>
        <v>0</v>
      </c>
      <c r="L61" s="370">
        <f>SUMIFS('caseload data'!M:M,'caseload data'!$D:$D,"DMY",'caseload data'!$A:$A,"West Midlands Region")</f>
        <v>0</v>
      </c>
      <c r="M61" s="370">
        <f>SUMIFS('caseload data'!N:N,'caseload data'!$D:$D,"DMY",'caseload data'!$A:$A,"West Midlands Region")</f>
        <v>0</v>
      </c>
      <c r="N61" s="370">
        <f>SUMIFS('caseload data'!O:O,'caseload data'!$D:$D,"DMY",'caseload data'!$A:$A,"West Midlands Region")</f>
        <v>0</v>
      </c>
      <c r="O61" s="370">
        <f>SUMIFS('caseload data'!P:P,'caseload data'!$D:$D,"DMY",'caseload data'!$A:$A,"West Midlands Region")</f>
        <v>0</v>
      </c>
      <c r="P61" s="370">
        <f>SUMIFS('caseload data'!Q:Q,'caseload data'!$D:$D,"DMY",'caseload data'!$A:$A,"West Midlands Region")</f>
        <v>0</v>
      </c>
      <c r="Q61" s="370">
        <f>SUMIFS('caseload data'!R:R,'caseload data'!$D:$D,"DMY",'caseload data'!$A:$A,"West Midlands Region")</f>
        <v>0</v>
      </c>
      <c r="R61" s="370">
        <f>SUMIFS('caseload data'!S:S,'caseload data'!$D:$D,"DMY",'caseload data'!$A:$A,"West Midlands Region")</f>
        <v>0</v>
      </c>
      <c r="S61" s="370">
        <f>SUMIFS('caseload data'!T:T,'caseload data'!$D:$D,"DMY",'caseload data'!$A:$A,"West Midlands Region")</f>
        <v>0</v>
      </c>
      <c r="T61" s="94">
        <f>SUMIFS('caseload data'!V:V,'caseload data'!$D:$D,"DMY",'caseload data'!$A:$A,"West Midlands Region")</f>
        <v>0</v>
      </c>
      <c r="U61" s="64"/>
      <c r="V61" s="64"/>
      <c r="W61" s="475"/>
      <c r="X61" s="130" t="s">
        <v>1339</v>
      </c>
      <c r="Y61" s="167" t="e">
        <f t="shared" si="40"/>
        <v>#DIV/0!</v>
      </c>
      <c r="Z61" s="167" t="e">
        <f t="shared" si="39"/>
        <v>#DIV/0!</v>
      </c>
      <c r="AA61" s="167" t="e">
        <f t="shared" si="39"/>
        <v>#DIV/0!</v>
      </c>
      <c r="AB61" s="167" t="e">
        <f t="shared" si="39"/>
        <v>#DIV/0!</v>
      </c>
      <c r="AC61" s="167" t="e">
        <f t="shared" si="39"/>
        <v>#DIV/0!</v>
      </c>
      <c r="AD61" s="167" t="e">
        <f t="shared" si="39"/>
        <v>#DIV/0!</v>
      </c>
      <c r="AE61" s="167" t="e">
        <f t="shared" si="39"/>
        <v>#DIV/0!</v>
      </c>
      <c r="AF61" s="167" t="e">
        <f t="shared" si="39"/>
        <v>#DIV/0!</v>
      </c>
      <c r="AG61" s="167" t="e">
        <f t="shared" si="39"/>
        <v>#DIV/0!</v>
      </c>
      <c r="AH61" s="167" t="e">
        <f t="shared" si="39"/>
        <v>#DIV/0!</v>
      </c>
      <c r="AI61" s="167" t="e">
        <f t="shared" si="39"/>
        <v>#DIV/0!</v>
      </c>
      <c r="AJ61" s="167" t="e">
        <f t="shared" si="39"/>
        <v>#DIV/0!</v>
      </c>
      <c r="AK61" s="167" t="e">
        <f t="shared" si="39"/>
        <v>#DIV/0!</v>
      </c>
      <c r="AL61" s="167" t="e">
        <f t="shared" si="39"/>
        <v>#DIV/0!</v>
      </c>
      <c r="AM61" s="167" t="e">
        <f t="shared" si="39"/>
        <v>#DIV/0!</v>
      </c>
      <c r="AN61" s="167" t="e">
        <f t="shared" si="39"/>
        <v>#DIV/0!</v>
      </c>
      <c r="AO61" s="167" t="e">
        <f t="shared" si="39"/>
        <v>#DIV/0!</v>
      </c>
    </row>
    <row r="62" spans="2:41" x14ac:dyDescent="0.15">
      <c r="B62" s="473" t="s">
        <v>28</v>
      </c>
      <c r="C62" s="129" t="s">
        <v>997</v>
      </c>
      <c r="D62" s="94">
        <f>SUMIFS('caseload data'!E:E,'caseload data'!$D:$D,"PO",'caseload data'!$A:$A,$B$62)</f>
        <v>0</v>
      </c>
      <c r="E62" s="94">
        <f>SUMIFS('caseload data'!F:F,'caseload data'!$D:$D,"PO",'caseload data'!$A:$A,$B$62)</f>
        <v>0</v>
      </c>
      <c r="F62" s="94">
        <f>SUMIFS('caseload data'!G:G,'caseload data'!$D:$D,"PO",'caseload data'!$A:$A,$B$62)</f>
        <v>0</v>
      </c>
      <c r="G62" s="94">
        <f>SUMIFS('caseload data'!H:H,'caseload data'!$D:$D,"PO",'caseload data'!$A:$A,$B$62)</f>
        <v>0</v>
      </c>
      <c r="H62" s="94">
        <f>SUMIFS('caseload data'!I:I,'caseload data'!$D:$D,"PO",'caseload data'!$A:$A,$B$62)</f>
        <v>0</v>
      </c>
      <c r="I62" s="94">
        <f>SUMIFS('caseload data'!J:J,'caseload data'!$D:$D,"PO",'caseload data'!$A:$A,$B$62)</f>
        <v>0</v>
      </c>
      <c r="J62" s="94">
        <f>SUMIFS('caseload data'!K:K,'caseload data'!$D:$D,"PO",'caseload data'!$A:$A,$B$62)</f>
        <v>0</v>
      </c>
      <c r="K62" s="94">
        <f>SUMIFS('caseload data'!L:L,'caseload data'!$D:$D,"PO",'caseload data'!$A:$A,$B$62)</f>
        <v>0</v>
      </c>
      <c r="L62" s="94">
        <f>SUMIFS('caseload data'!M:M,'caseload data'!$D:$D,"PO",'caseload data'!$A:$A,$B$62)</f>
        <v>0</v>
      </c>
      <c r="M62" s="94">
        <f>SUMIFS('caseload data'!N:N,'caseload data'!$D:$D,"PO",'caseload data'!$A:$A,$B$62)</f>
        <v>0</v>
      </c>
      <c r="N62" s="94">
        <f>SUMIFS('caseload data'!O:O,'caseload data'!$D:$D,"PO",'caseload data'!$A:$A,$B$62)</f>
        <v>0</v>
      </c>
      <c r="O62" s="94">
        <f>SUMIFS('caseload data'!P:P,'caseload data'!$D:$D,"PO",'caseload data'!$A:$A,$B$62)</f>
        <v>0</v>
      </c>
      <c r="P62" s="94">
        <f>SUMIFS('caseload data'!Q:Q,'caseload data'!$D:$D,"PO",'caseload data'!$A:$A,$B$62)</f>
        <v>0</v>
      </c>
      <c r="Q62" s="94">
        <f>SUMIFS('caseload data'!R:R,'caseload data'!$D:$D,"PO",'caseload data'!$A:$A,$B$62)</f>
        <v>0</v>
      </c>
      <c r="R62" s="94">
        <f>SUMIFS('caseload data'!S:S,'caseload data'!$D:$D,"PO",'caseload data'!$A:$A,$B$62)</f>
        <v>0</v>
      </c>
      <c r="S62" s="94">
        <f>SUMIFS('caseload data'!T:T,'caseload data'!$D:$D,"PO",'caseload data'!$A:$A,$B$62)</f>
        <v>0</v>
      </c>
      <c r="T62" s="94">
        <f>SUMIFS('caseload data'!V:V,'caseload data'!$D:$D,"PO",'caseload data'!$A:$A,B62)</f>
        <v>0</v>
      </c>
      <c r="U62" s="64"/>
      <c r="V62" s="64"/>
      <c r="W62" s="479" t="s">
        <v>28</v>
      </c>
      <c r="X62" s="129" t="s">
        <v>997</v>
      </c>
      <c r="Y62" s="167" t="e">
        <f>SUM(D62)/SUM(D$62:D$66)</f>
        <v>#DIV/0!</v>
      </c>
      <c r="Z62" s="167" t="e">
        <f t="shared" ref="Z62:AO66" si="41">SUM(E62)/SUM(E$62:E$66)</f>
        <v>#DIV/0!</v>
      </c>
      <c r="AA62" s="167" t="e">
        <f t="shared" si="41"/>
        <v>#DIV/0!</v>
      </c>
      <c r="AB62" s="167" t="e">
        <f t="shared" si="41"/>
        <v>#DIV/0!</v>
      </c>
      <c r="AC62" s="167" t="e">
        <f t="shared" si="41"/>
        <v>#DIV/0!</v>
      </c>
      <c r="AD62" s="167" t="e">
        <f t="shared" si="41"/>
        <v>#DIV/0!</v>
      </c>
      <c r="AE62" s="167" t="e">
        <f t="shared" si="41"/>
        <v>#DIV/0!</v>
      </c>
      <c r="AF62" s="167" t="e">
        <f t="shared" si="41"/>
        <v>#DIV/0!</v>
      </c>
      <c r="AG62" s="167" t="e">
        <f t="shared" si="41"/>
        <v>#DIV/0!</v>
      </c>
      <c r="AH62" s="167" t="e">
        <f t="shared" si="41"/>
        <v>#DIV/0!</v>
      </c>
      <c r="AI62" s="167" t="e">
        <f t="shared" si="41"/>
        <v>#DIV/0!</v>
      </c>
      <c r="AJ62" s="167" t="e">
        <f t="shared" si="41"/>
        <v>#DIV/0!</v>
      </c>
      <c r="AK62" s="167" t="e">
        <f t="shared" si="41"/>
        <v>#DIV/0!</v>
      </c>
      <c r="AL62" s="167" t="e">
        <f t="shared" si="41"/>
        <v>#DIV/0!</v>
      </c>
      <c r="AM62" s="167" t="e">
        <f t="shared" si="41"/>
        <v>#DIV/0!</v>
      </c>
      <c r="AN62" s="167" t="e">
        <f t="shared" si="41"/>
        <v>#DIV/0!</v>
      </c>
      <c r="AO62" s="167" t="e">
        <f t="shared" si="41"/>
        <v>#DIV/0!</v>
      </c>
    </row>
    <row r="63" spans="2:41" x14ac:dyDescent="0.15">
      <c r="B63" s="474"/>
      <c r="C63" s="129" t="s">
        <v>1002</v>
      </c>
      <c r="D63" s="94">
        <f>SUMIFS('caseload data'!E:E,'caseload data'!$D:$D,"PSO",'caseload data'!$A:$A,"Yorkshire and The Humber")</f>
        <v>0</v>
      </c>
      <c r="E63" s="94">
        <f>SUMIFS('caseload data'!F:F,'caseload data'!$D:$D,"PSO",'caseload data'!$A:$A,"Yorkshire and The Humber")</f>
        <v>0</v>
      </c>
      <c r="F63" s="94">
        <f>SUMIFS('caseload data'!G:G,'caseload data'!$D:$D,"PSO",'caseload data'!$A:$A,"Yorkshire and The Humber")</f>
        <v>0</v>
      </c>
      <c r="G63" s="94">
        <f>SUMIFS('caseload data'!H:H,'caseload data'!$D:$D,"PSO",'caseload data'!$A:$A,"Yorkshire and The Humber")</f>
        <v>0</v>
      </c>
      <c r="H63" s="94">
        <f>SUMIFS('caseload data'!I:I,'caseload data'!$D:$D,"PSO",'caseload data'!$A:$A,"Yorkshire and The Humber")</f>
        <v>0</v>
      </c>
      <c r="I63" s="94">
        <f>SUMIFS('caseload data'!J:J,'caseload data'!$D:$D,"PSO",'caseload data'!$A:$A,"Yorkshire and The Humber")</f>
        <v>0</v>
      </c>
      <c r="J63" s="94">
        <f>SUMIFS('caseload data'!K:K,'caseload data'!$D:$D,"PSO",'caseload data'!$A:$A,"Yorkshire and The Humber")</f>
        <v>0</v>
      </c>
      <c r="K63" s="94">
        <f>SUMIFS('caseload data'!L:L,'caseload data'!$D:$D,"PSO",'caseload data'!$A:$A,"Yorkshire and The Humber")</f>
        <v>0</v>
      </c>
      <c r="L63" s="94">
        <f>SUMIFS('caseload data'!M:M,'caseload data'!$D:$D,"PSO",'caseload data'!$A:$A,"Yorkshire and The Humber")</f>
        <v>0</v>
      </c>
      <c r="M63" s="94">
        <f>SUMIFS('caseload data'!N:N,'caseload data'!$D:$D,"PSO",'caseload data'!$A:$A,"Yorkshire and The Humber")</f>
        <v>0</v>
      </c>
      <c r="N63" s="94">
        <f>SUMIFS('caseload data'!O:O,'caseload data'!$D:$D,"PSO",'caseload data'!$A:$A,"Yorkshire and The Humber")</f>
        <v>0</v>
      </c>
      <c r="O63" s="94">
        <f>SUMIFS('caseload data'!P:P,'caseload data'!$D:$D,"PSO",'caseload data'!$A:$A,"Yorkshire and The Humber")</f>
        <v>0</v>
      </c>
      <c r="P63" s="94">
        <f>SUMIFS('caseload data'!Q:Q,'caseload data'!$D:$D,"PSO",'caseload data'!$A:$A,"Yorkshire and The Humber")</f>
        <v>0</v>
      </c>
      <c r="Q63" s="94">
        <f>SUMIFS('caseload data'!R:R,'caseload data'!$D:$D,"PSO",'caseload data'!$A:$A,"Yorkshire and The Humber")</f>
        <v>0</v>
      </c>
      <c r="R63" s="94">
        <f>SUMIFS('caseload data'!S:S,'caseload data'!$D:$D,"PSO",'caseload data'!$A:$A,"Yorkshire and The Humber")</f>
        <v>0</v>
      </c>
      <c r="S63" s="94">
        <f>SUMIFS('caseload data'!T:T,'caseload data'!$D:$D,"PSO",'caseload data'!$A:$A,"Yorkshire and The Humber")</f>
        <v>0</v>
      </c>
      <c r="T63" s="94">
        <f>SUMIFS('caseload data'!V:V,'caseload data'!$D:$D,"PSO",'caseload data'!$A:$A,"Yorkshire and The Humber")</f>
        <v>0</v>
      </c>
      <c r="U63" s="64"/>
      <c r="V63" s="64"/>
      <c r="W63" s="480"/>
      <c r="X63" s="129" t="s">
        <v>1002</v>
      </c>
      <c r="Y63" s="167" t="e">
        <f t="shared" ref="Y63:Y66" si="42">SUM(D63)/SUM(D$62:D$66)</f>
        <v>#DIV/0!</v>
      </c>
      <c r="Z63" s="167" t="e">
        <f t="shared" si="41"/>
        <v>#DIV/0!</v>
      </c>
      <c r="AA63" s="167" t="e">
        <f t="shared" si="41"/>
        <v>#DIV/0!</v>
      </c>
      <c r="AB63" s="167" t="e">
        <f t="shared" si="41"/>
        <v>#DIV/0!</v>
      </c>
      <c r="AC63" s="167" t="e">
        <f t="shared" si="41"/>
        <v>#DIV/0!</v>
      </c>
      <c r="AD63" s="167" t="e">
        <f t="shared" si="41"/>
        <v>#DIV/0!</v>
      </c>
      <c r="AE63" s="167" t="e">
        <f t="shared" si="41"/>
        <v>#DIV/0!</v>
      </c>
      <c r="AF63" s="167" t="e">
        <f t="shared" si="41"/>
        <v>#DIV/0!</v>
      </c>
      <c r="AG63" s="167" t="e">
        <f t="shared" si="41"/>
        <v>#DIV/0!</v>
      </c>
      <c r="AH63" s="167" t="e">
        <f t="shared" si="41"/>
        <v>#DIV/0!</v>
      </c>
      <c r="AI63" s="167" t="e">
        <f t="shared" si="41"/>
        <v>#DIV/0!</v>
      </c>
      <c r="AJ63" s="167" t="e">
        <f t="shared" si="41"/>
        <v>#DIV/0!</v>
      </c>
      <c r="AK63" s="167" t="e">
        <f t="shared" si="41"/>
        <v>#DIV/0!</v>
      </c>
      <c r="AL63" s="167" t="e">
        <f t="shared" si="41"/>
        <v>#DIV/0!</v>
      </c>
      <c r="AM63" s="167" t="e">
        <f t="shared" si="41"/>
        <v>#DIV/0!</v>
      </c>
      <c r="AN63" s="167" t="e">
        <f t="shared" si="41"/>
        <v>#DIV/0!</v>
      </c>
      <c r="AO63" s="167" t="e">
        <f t="shared" si="41"/>
        <v>#DIV/0!</v>
      </c>
    </row>
    <row r="64" spans="2:41" x14ac:dyDescent="0.15">
      <c r="B64" s="474"/>
      <c r="C64" s="129" t="s">
        <v>1003</v>
      </c>
      <c r="D64" s="94">
        <f>SUMIFS('caseload data'!E:E,'caseload data'!$D:$D,"TPO",'caseload data'!$A:$A,"Yorkshire and The Humber")</f>
        <v>0</v>
      </c>
      <c r="E64" s="94">
        <f>SUMIFS('caseload data'!F:F,'caseload data'!$D:$D,"TPO",'caseload data'!$A:$A,"Yorkshire and The Humber")</f>
        <v>0</v>
      </c>
      <c r="F64" s="94">
        <f>SUMIFS('caseload data'!G:G,'caseload data'!$D:$D,"TPO",'caseload data'!$A:$A,"Yorkshire and The Humber")</f>
        <v>0</v>
      </c>
      <c r="G64" s="94">
        <f>SUMIFS('caseload data'!H:H,'caseload data'!$D:$D,"TPO",'caseload data'!$A:$A,"Yorkshire and The Humber")</f>
        <v>0</v>
      </c>
      <c r="H64" s="94">
        <f>SUMIFS('caseload data'!I:I,'caseload data'!$D:$D,"TPO",'caseload data'!$A:$A,"Yorkshire and The Humber")</f>
        <v>0</v>
      </c>
      <c r="I64" s="94">
        <f>SUMIFS('caseload data'!J:J,'caseload data'!$D:$D,"TPO",'caseload data'!$A:$A,"Yorkshire and The Humber")</f>
        <v>0</v>
      </c>
      <c r="J64" s="94">
        <f>SUMIFS('caseload data'!K:K,'caseload data'!$D:$D,"TPO",'caseload data'!$A:$A,"Yorkshire and The Humber")</f>
        <v>0</v>
      </c>
      <c r="K64" s="94">
        <f>SUMIFS('caseload data'!L:L,'caseload data'!$D:$D,"TPO",'caseload data'!$A:$A,"Yorkshire and The Humber")</f>
        <v>0</v>
      </c>
      <c r="L64" s="94">
        <f>SUMIFS('caseload data'!M:M,'caseload data'!$D:$D,"TPO",'caseload data'!$A:$A,"Yorkshire and The Humber")</f>
        <v>0</v>
      </c>
      <c r="M64" s="94">
        <f>SUMIFS('caseload data'!N:N,'caseload data'!$D:$D,"TPO",'caseload data'!$A:$A,"Yorkshire and The Humber")</f>
        <v>0</v>
      </c>
      <c r="N64" s="94">
        <f>SUMIFS('caseload data'!O:O,'caseload data'!$D:$D,"TPO",'caseload data'!$A:$A,"Yorkshire and The Humber")</f>
        <v>0</v>
      </c>
      <c r="O64" s="94">
        <f>SUMIFS('caseload data'!P:P,'caseload data'!$D:$D,"TPO",'caseload data'!$A:$A,"Yorkshire and The Humber")</f>
        <v>0</v>
      </c>
      <c r="P64" s="94">
        <f>SUMIFS('caseload data'!Q:Q,'caseload data'!$D:$D,"TPO",'caseload data'!$A:$A,"Yorkshire and The Humber")</f>
        <v>0</v>
      </c>
      <c r="Q64" s="94">
        <f>SUMIFS('caseload data'!R:R,'caseload data'!$D:$D,"TPO",'caseload data'!$A:$A,"Yorkshire and The Humber")</f>
        <v>0</v>
      </c>
      <c r="R64" s="94">
        <f>SUMIFS('caseload data'!S:S,'caseload data'!$D:$D,"TPO",'caseload data'!$A:$A,"Yorkshire and The Humber")</f>
        <v>0</v>
      </c>
      <c r="S64" s="94">
        <f>SUMIFS('caseload data'!T:T,'caseload data'!$D:$D,"TPO",'caseload data'!$A:$A,"Yorkshire and The Humber")</f>
        <v>0</v>
      </c>
      <c r="T64" s="94">
        <f>SUMIFS('caseload data'!V:V,'caseload data'!$D:$D,"TPO",'caseload data'!$A:$A,"Yorkshire and The Humber")</f>
        <v>0</v>
      </c>
      <c r="U64" s="64"/>
      <c r="V64" s="64"/>
      <c r="W64" s="480"/>
      <c r="X64" s="129" t="s">
        <v>1003</v>
      </c>
      <c r="Y64" s="167" t="e">
        <f t="shared" si="42"/>
        <v>#DIV/0!</v>
      </c>
      <c r="Z64" s="167" t="e">
        <f t="shared" si="41"/>
        <v>#DIV/0!</v>
      </c>
      <c r="AA64" s="167" t="e">
        <f t="shared" si="41"/>
        <v>#DIV/0!</v>
      </c>
      <c r="AB64" s="167" t="e">
        <f t="shared" si="41"/>
        <v>#DIV/0!</v>
      </c>
      <c r="AC64" s="167" t="e">
        <f t="shared" si="41"/>
        <v>#DIV/0!</v>
      </c>
      <c r="AD64" s="167" t="e">
        <f t="shared" si="41"/>
        <v>#DIV/0!</v>
      </c>
      <c r="AE64" s="167" t="e">
        <f t="shared" si="41"/>
        <v>#DIV/0!</v>
      </c>
      <c r="AF64" s="167" t="e">
        <f t="shared" si="41"/>
        <v>#DIV/0!</v>
      </c>
      <c r="AG64" s="167" t="e">
        <f t="shared" si="41"/>
        <v>#DIV/0!</v>
      </c>
      <c r="AH64" s="167" t="e">
        <f t="shared" si="41"/>
        <v>#DIV/0!</v>
      </c>
      <c r="AI64" s="167" t="e">
        <f t="shared" si="41"/>
        <v>#DIV/0!</v>
      </c>
      <c r="AJ64" s="167" t="e">
        <f t="shared" si="41"/>
        <v>#DIV/0!</v>
      </c>
      <c r="AK64" s="167" t="e">
        <f t="shared" si="41"/>
        <v>#DIV/0!</v>
      </c>
      <c r="AL64" s="167" t="e">
        <f t="shared" si="41"/>
        <v>#DIV/0!</v>
      </c>
      <c r="AM64" s="167" t="e">
        <f t="shared" si="41"/>
        <v>#DIV/0!</v>
      </c>
      <c r="AN64" s="167" t="e">
        <f t="shared" si="41"/>
        <v>#DIV/0!</v>
      </c>
      <c r="AO64" s="167" t="e">
        <f t="shared" si="41"/>
        <v>#DIV/0!</v>
      </c>
    </row>
    <row r="65" spans="2:41" x14ac:dyDescent="0.15">
      <c r="B65" s="474"/>
      <c r="C65" s="129" t="s">
        <v>1004</v>
      </c>
      <c r="D65" s="94">
        <f>SUMIFS('caseload data'!E:E,'caseload data'!$D:$D,"SPO",'caseload data'!$A:$A,"Yorkshire and The Humber")</f>
        <v>0</v>
      </c>
      <c r="E65" s="94">
        <f>SUMIFS('caseload data'!F:F,'caseload data'!$D:$D,"SPO",'caseload data'!$A:$A,"Yorkshire and The Humber")</f>
        <v>0</v>
      </c>
      <c r="F65" s="94">
        <f>SUMIFS('caseload data'!G:G,'caseload data'!$D:$D,"SPO",'caseload data'!$A:$A,"Yorkshire and The Humber")</f>
        <v>0</v>
      </c>
      <c r="G65" s="94">
        <f>SUMIFS('caseload data'!H:H,'caseload data'!$D:$D,"SPO",'caseload data'!$A:$A,"Yorkshire and The Humber")</f>
        <v>0</v>
      </c>
      <c r="H65" s="94">
        <f>SUMIFS('caseload data'!I:I,'caseload data'!$D:$D,"SPO",'caseload data'!$A:$A,"Yorkshire and The Humber")</f>
        <v>0</v>
      </c>
      <c r="I65" s="94">
        <f>SUMIFS('caseload data'!J:J,'caseload data'!$D:$D,"SPO",'caseload data'!$A:$A,"Yorkshire and The Humber")</f>
        <v>0</v>
      </c>
      <c r="J65" s="94">
        <f>SUMIFS('caseload data'!K:K,'caseload data'!$D:$D,"SPO",'caseload data'!$A:$A,"Yorkshire and The Humber")</f>
        <v>0</v>
      </c>
      <c r="K65" s="94">
        <f>SUMIFS('caseload data'!L:L,'caseload data'!$D:$D,"SPO",'caseload data'!$A:$A,"Yorkshire and The Humber")</f>
        <v>0</v>
      </c>
      <c r="L65" s="94">
        <f>SUMIFS('caseload data'!M:M,'caseload data'!$D:$D,"SPO",'caseload data'!$A:$A,"Yorkshire and The Humber")</f>
        <v>0</v>
      </c>
      <c r="M65" s="94">
        <f>SUMIFS('caseload data'!N:N,'caseload data'!$D:$D,"SPO",'caseload data'!$A:$A,"Yorkshire and The Humber")</f>
        <v>0</v>
      </c>
      <c r="N65" s="94">
        <f>SUMIFS('caseload data'!O:O,'caseload data'!$D:$D,"SPO",'caseload data'!$A:$A,"Yorkshire and The Humber")</f>
        <v>0</v>
      </c>
      <c r="O65" s="94">
        <f>SUMIFS('caseload data'!P:P,'caseload data'!$D:$D,"SPO",'caseload data'!$A:$A,"Yorkshire and The Humber")</f>
        <v>0</v>
      </c>
      <c r="P65" s="94">
        <f>SUMIFS('caseload data'!Q:Q,'caseload data'!$D:$D,"SPO",'caseload data'!$A:$A,"Yorkshire and The Humber")</f>
        <v>0</v>
      </c>
      <c r="Q65" s="94">
        <f>SUMIFS('caseload data'!R:R,'caseload data'!$D:$D,"SPO",'caseload data'!$A:$A,"Yorkshire and The Humber")</f>
        <v>0</v>
      </c>
      <c r="R65" s="94">
        <f>SUMIFS('caseload data'!S:S,'caseload data'!$D:$D,"SPO",'caseload data'!$A:$A,"Yorkshire and The Humber")</f>
        <v>0</v>
      </c>
      <c r="S65" s="94">
        <f>SUMIFS('caseload data'!T:T,'caseload data'!$D:$D,"SPO",'caseload data'!$A:$A,"Yorkshire and The Humber")</f>
        <v>0</v>
      </c>
      <c r="T65" s="94">
        <f>SUMIFS('caseload data'!V:V,'caseload data'!$D:$D,"SPO",'caseload data'!$A:$A,"Yorkshire and The Humber")</f>
        <v>0</v>
      </c>
      <c r="U65" s="64"/>
      <c r="V65" s="64"/>
      <c r="W65" s="480"/>
      <c r="X65" s="129" t="s">
        <v>1004</v>
      </c>
      <c r="Y65" s="167" t="e">
        <f t="shared" si="42"/>
        <v>#DIV/0!</v>
      </c>
      <c r="Z65" s="167" t="e">
        <f t="shared" si="41"/>
        <v>#DIV/0!</v>
      </c>
      <c r="AA65" s="167" t="e">
        <f t="shared" si="41"/>
        <v>#DIV/0!</v>
      </c>
      <c r="AB65" s="167" t="e">
        <f t="shared" si="41"/>
        <v>#DIV/0!</v>
      </c>
      <c r="AC65" s="167" t="e">
        <f t="shared" si="41"/>
        <v>#DIV/0!</v>
      </c>
      <c r="AD65" s="167" t="e">
        <f t="shared" si="41"/>
        <v>#DIV/0!</v>
      </c>
      <c r="AE65" s="167" t="e">
        <f t="shared" si="41"/>
        <v>#DIV/0!</v>
      </c>
      <c r="AF65" s="167" t="e">
        <f t="shared" si="41"/>
        <v>#DIV/0!</v>
      </c>
      <c r="AG65" s="167" t="e">
        <f t="shared" si="41"/>
        <v>#DIV/0!</v>
      </c>
      <c r="AH65" s="167" t="e">
        <f t="shared" si="41"/>
        <v>#DIV/0!</v>
      </c>
      <c r="AI65" s="167" t="e">
        <f t="shared" si="41"/>
        <v>#DIV/0!</v>
      </c>
      <c r="AJ65" s="167" t="e">
        <f t="shared" si="41"/>
        <v>#DIV/0!</v>
      </c>
      <c r="AK65" s="167" t="e">
        <f t="shared" si="41"/>
        <v>#DIV/0!</v>
      </c>
      <c r="AL65" s="167" t="e">
        <f t="shared" si="41"/>
        <v>#DIV/0!</v>
      </c>
      <c r="AM65" s="167" t="e">
        <f t="shared" si="41"/>
        <v>#DIV/0!</v>
      </c>
      <c r="AN65" s="167" t="e">
        <f t="shared" si="41"/>
        <v>#DIV/0!</v>
      </c>
      <c r="AO65" s="167" t="e">
        <f t="shared" si="41"/>
        <v>#DIV/0!</v>
      </c>
    </row>
    <row r="66" spans="2:41" ht="15" thickBot="1" x14ac:dyDescent="0.2">
      <c r="B66" s="474"/>
      <c r="C66" s="129" t="s">
        <v>1339</v>
      </c>
      <c r="D66" s="377">
        <f>SUMIFS('caseload data'!E:E,'caseload data'!$D:$D,"DMY",'caseload data'!$A:$A,"Yorkshire and The Humber")</f>
        <v>0</v>
      </c>
      <c r="E66" s="377">
        <f>SUMIFS('caseload data'!F:F,'caseload data'!$D:$D,"DMY",'caseload data'!$A:$A,"Yorkshire and The Humber")</f>
        <v>0</v>
      </c>
      <c r="F66" s="377">
        <f>SUMIFS('caseload data'!G:G,'caseload data'!$D:$D,"DMY",'caseload data'!$A:$A,"Yorkshire and The Humber")</f>
        <v>0</v>
      </c>
      <c r="G66" s="377">
        <f>SUMIFS('caseload data'!H:H,'caseload data'!$D:$D,"DMY",'caseload data'!$A:$A,"Yorkshire and The Humber")</f>
        <v>0</v>
      </c>
      <c r="H66" s="377">
        <f>SUMIFS('caseload data'!I:I,'caseload data'!$D:$D,"DMY",'caseload data'!$A:$A,"Yorkshire and The Humber")</f>
        <v>0</v>
      </c>
      <c r="I66" s="377">
        <f>SUMIFS('caseload data'!J:J,'caseload data'!$D:$D,"DMY",'caseload data'!$A:$A,"Yorkshire and The Humber")</f>
        <v>0</v>
      </c>
      <c r="J66" s="377">
        <f>SUMIFS('caseload data'!K:K,'caseload data'!$D:$D,"DMY",'caseload data'!$A:$A,"Yorkshire and The Humber")</f>
        <v>0</v>
      </c>
      <c r="K66" s="377">
        <f>SUMIFS('caseload data'!L:L,'caseload data'!$D:$D,"DMY",'caseload data'!$A:$A,"Yorkshire and The Humber")</f>
        <v>0</v>
      </c>
      <c r="L66" s="377">
        <f>SUMIFS('caseload data'!M:M,'caseload data'!$D:$D,"DMY",'caseload data'!$A:$A,"Yorkshire and The Humber")</f>
        <v>0</v>
      </c>
      <c r="M66" s="377">
        <f>SUMIFS('caseload data'!N:N,'caseload data'!$D:$D,"DMY",'caseload data'!$A:$A,"Yorkshire and The Humber")</f>
        <v>0</v>
      </c>
      <c r="N66" s="377">
        <f>SUMIFS('caseload data'!O:O,'caseload data'!$D:$D,"DMY",'caseload data'!$A:$A,"Yorkshire and The Humber")</f>
        <v>0</v>
      </c>
      <c r="O66" s="377">
        <f>SUMIFS('caseload data'!P:P,'caseload data'!$D:$D,"DMY",'caseload data'!$A:$A,"Yorkshire and The Humber")</f>
        <v>0</v>
      </c>
      <c r="P66" s="377">
        <f>SUMIFS('caseload data'!Q:Q,'caseload data'!$D:$D,"DMY",'caseload data'!$A:$A,"Yorkshire and The Humber")</f>
        <v>0</v>
      </c>
      <c r="Q66" s="377">
        <f>SUMIFS('caseload data'!R:R,'caseload data'!$D:$D,"DMY",'caseload data'!$A:$A,"Yorkshire and The Humber")</f>
        <v>0</v>
      </c>
      <c r="R66" s="377">
        <f>SUMIFS('caseload data'!S:S,'caseload data'!$D:$D,"DMY",'caseload data'!$A:$A,"Yorkshire and The Humber")</f>
        <v>0</v>
      </c>
      <c r="S66" s="377">
        <f>SUMIFS('caseload data'!T:T,'caseload data'!$D:$D,"DMY",'caseload data'!$A:$A,"Yorkshire and The Humber")</f>
        <v>0</v>
      </c>
      <c r="T66" s="377">
        <f>SUMIFS('caseload data'!V:V,'caseload data'!$D:$D,"DMY",'caseload data'!$A:$A,"Yorkshire and The Humber")</f>
        <v>0</v>
      </c>
      <c r="U66" s="64"/>
      <c r="V66" s="64"/>
      <c r="W66" s="480"/>
      <c r="X66" s="129" t="s">
        <v>1339</v>
      </c>
      <c r="Y66" s="373" t="e">
        <f t="shared" si="42"/>
        <v>#DIV/0!</v>
      </c>
      <c r="Z66" s="373" t="e">
        <f t="shared" si="41"/>
        <v>#DIV/0!</v>
      </c>
      <c r="AA66" s="373" t="e">
        <f t="shared" si="41"/>
        <v>#DIV/0!</v>
      </c>
      <c r="AB66" s="373" t="e">
        <f t="shared" si="41"/>
        <v>#DIV/0!</v>
      </c>
      <c r="AC66" s="373" t="e">
        <f t="shared" si="41"/>
        <v>#DIV/0!</v>
      </c>
      <c r="AD66" s="373" t="e">
        <f t="shared" si="41"/>
        <v>#DIV/0!</v>
      </c>
      <c r="AE66" s="373" t="e">
        <f t="shared" si="41"/>
        <v>#DIV/0!</v>
      </c>
      <c r="AF66" s="373" t="e">
        <f t="shared" si="41"/>
        <v>#DIV/0!</v>
      </c>
      <c r="AG66" s="373" t="e">
        <f t="shared" si="41"/>
        <v>#DIV/0!</v>
      </c>
      <c r="AH66" s="373" t="e">
        <f t="shared" si="41"/>
        <v>#DIV/0!</v>
      </c>
      <c r="AI66" s="373" t="e">
        <f t="shared" si="41"/>
        <v>#DIV/0!</v>
      </c>
      <c r="AJ66" s="373" t="e">
        <f t="shared" si="41"/>
        <v>#DIV/0!</v>
      </c>
      <c r="AK66" s="373" t="e">
        <f t="shared" si="41"/>
        <v>#DIV/0!</v>
      </c>
      <c r="AL66" s="373" t="e">
        <f t="shared" si="41"/>
        <v>#DIV/0!</v>
      </c>
      <c r="AM66" s="373" t="e">
        <f t="shared" si="41"/>
        <v>#DIV/0!</v>
      </c>
      <c r="AN66" s="373" t="e">
        <f t="shared" si="41"/>
        <v>#DIV/0!</v>
      </c>
      <c r="AO66" s="373" t="e">
        <f t="shared" si="41"/>
        <v>#DIV/0!</v>
      </c>
    </row>
    <row r="67" spans="2:41" x14ac:dyDescent="0.15">
      <c r="B67" s="476" t="s">
        <v>959</v>
      </c>
      <c r="C67" s="378" t="s">
        <v>997</v>
      </c>
      <c r="D67" s="379">
        <f>SUMIF('caseload data'!$D:$D,"PO",'caseload data'!E:E)</f>
        <v>0</v>
      </c>
      <c r="E67" s="379">
        <f>SUMIF('caseload data'!$D:$D,"PO",'caseload data'!F:F)</f>
        <v>0</v>
      </c>
      <c r="F67" s="379">
        <f>SUMIF('caseload data'!$D:$D,"PO",'caseload data'!G:G)</f>
        <v>0</v>
      </c>
      <c r="G67" s="379">
        <f>SUMIF('caseload data'!$D:$D,"PO",'caseload data'!H:H)</f>
        <v>0</v>
      </c>
      <c r="H67" s="379">
        <f>SUMIF('caseload data'!$D:$D,"PO",'caseload data'!I:I)</f>
        <v>0</v>
      </c>
      <c r="I67" s="379">
        <f>SUMIF('caseload data'!$D:$D,"PO",'caseload data'!J:J)</f>
        <v>0</v>
      </c>
      <c r="J67" s="379">
        <f>SUMIF('caseload data'!$D:$D,"PO",'caseload data'!K:K)</f>
        <v>0</v>
      </c>
      <c r="K67" s="379">
        <f>SUMIF('caseload data'!$D:$D,"PO",'caseload data'!L:L)</f>
        <v>0</v>
      </c>
      <c r="L67" s="379">
        <f>SUMIF('caseload data'!$D:$D,"PO",'caseload data'!M:M)</f>
        <v>0</v>
      </c>
      <c r="M67" s="379">
        <f>SUMIF('caseload data'!$D:$D,"PO",'caseload data'!N:N)</f>
        <v>0</v>
      </c>
      <c r="N67" s="379">
        <f>SUMIF('caseload data'!$D:$D,"PO",'caseload data'!O:O)</f>
        <v>0</v>
      </c>
      <c r="O67" s="379">
        <f>SUMIF('caseload data'!$D:$D,"PO",'caseload data'!P:P)</f>
        <v>0</v>
      </c>
      <c r="P67" s="379">
        <f>SUMIF('caseload data'!$D:$D,"PO",'caseload data'!Q:Q)</f>
        <v>0</v>
      </c>
      <c r="Q67" s="379">
        <f>SUMIF('caseload data'!$D:$D,"PO",'caseload data'!R:R)</f>
        <v>0</v>
      </c>
      <c r="R67" s="379">
        <f>SUMIF('caseload data'!$D:$D,"PO",'caseload data'!S:S)</f>
        <v>0</v>
      </c>
      <c r="S67" s="379">
        <f>SUMIF('caseload data'!$D:$D,"PO",'caseload data'!T:T)</f>
        <v>0</v>
      </c>
      <c r="T67" s="380">
        <f>SUMIF('caseload data'!D:D,"PO",'caseload data'!V:V)</f>
        <v>0</v>
      </c>
      <c r="U67" s="64"/>
      <c r="V67" s="64"/>
      <c r="W67" s="476" t="s">
        <v>959</v>
      </c>
      <c r="X67" s="374" t="s">
        <v>997</v>
      </c>
      <c r="Y67" s="388" t="e">
        <f>SUM(D67)/SUM(D$67:D$71)</f>
        <v>#DIV/0!</v>
      </c>
      <c r="Z67" s="388" t="e">
        <f t="shared" ref="Z67:AO71" si="43">SUM(E67)/SUM(E$67:E$71)</f>
        <v>#DIV/0!</v>
      </c>
      <c r="AA67" s="388" t="e">
        <f t="shared" si="43"/>
        <v>#DIV/0!</v>
      </c>
      <c r="AB67" s="388" t="e">
        <f t="shared" si="43"/>
        <v>#DIV/0!</v>
      </c>
      <c r="AC67" s="388" t="e">
        <f t="shared" si="43"/>
        <v>#DIV/0!</v>
      </c>
      <c r="AD67" s="388" t="e">
        <f t="shared" si="43"/>
        <v>#DIV/0!</v>
      </c>
      <c r="AE67" s="388" t="e">
        <f t="shared" si="43"/>
        <v>#DIV/0!</v>
      </c>
      <c r="AF67" s="388" t="e">
        <f t="shared" si="43"/>
        <v>#DIV/0!</v>
      </c>
      <c r="AG67" s="388" t="e">
        <f t="shared" si="43"/>
        <v>#DIV/0!</v>
      </c>
      <c r="AH67" s="388" t="e">
        <f t="shared" si="43"/>
        <v>#DIV/0!</v>
      </c>
      <c r="AI67" s="388" t="e">
        <f t="shared" si="43"/>
        <v>#DIV/0!</v>
      </c>
      <c r="AJ67" s="388" t="e">
        <f t="shared" si="43"/>
        <v>#DIV/0!</v>
      </c>
      <c r="AK67" s="388" t="e">
        <f t="shared" si="43"/>
        <v>#DIV/0!</v>
      </c>
      <c r="AL67" s="388" t="e">
        <f t="shared" si="43"/>
        <v>#DIV/0!</v>
      </c>
      <c r="AM67" s="388" t="e">
        <f t="shared" si="43"/>
        <v>#DIV/0!</v>
      </c>
      <c r="AN67" s="388" t="e">
        <f t="shared" si="43"/>
        <v>#DIV/0!</v>
      </c>
      <c r="AO67" s="390" t="e">
        <f t="shared" si="43"/>
        <v>#DIV/0!</v>
      </c>
    </row>
    <row r="68" spans="2:41" x14ac:dyDescent="0.15">
      <c r="B68" s="477"/>
      <c r="C68" s="137" t="s">
        <v>1002</v>
      </c>
      <c r="D68" s="136">
        <f>SUMIF('caseload data'!$D:$D,"PSO",'caseload data'!E:E)</f>
        <v>0</v>
      </c>
      <c r="E68" s="136">
        <f>SUMIF('caseload data'!$D:$D,"PSO",'caseload data'!F:F)</f>
        <v>0</v>
      </c>
      <c r="F68" s="136">
        <f>SUMIF('caseload data'!$D:$D,"PSO",'caseload data'!G:G)</f>
        <v>0</v>
      </c>
      <c r="G68" s="136">
        <f>SUMIF('caseload data'!$D:$D,"PSO",'caseload data'!H:H)</f>
        <v>0</v>
      </c>
      <c r="H68" s="136">
        <f>SUMIF('caseload data'!$D:$D,"PSO",'caseload data'!I:I)</f>
        <v>0</v>
      </c>
      <c r="I68" s="136">
        <f>SUMIF('caseload data'!$D:$D,"PSO",'caseload data'!J:J)</f>
        <v>0</v>
      </c>
      <c r="J68" s="136">
        <f>SUMIF('caseload data'!$D:$D,"PSO",'caseload data'!K:K)</f>
        <v>0</v>
      </c>
      <c r="K68" s="136">
        <f>SUMIF('caseload data'!$D:$D,"PSO",'caseload data'!L:L)</f>
        <v>0</v>
      </c>
      <c r="L68" s="136">
        <f>SUMIF('caseload data'!$D:$D,"PSO",'caseload data'!M:M)</f>
        <v>0</v>
      </c>
      <c r="M68" s="136">
        <f>SUMIF('caseload data'!$D:$D,"PSO",'caseload data'!N:N)</f>
        <v>0</v>
      </c>
      <c r="N68" s="136">
        <f>SUMIF('caseload data'!$D:$D,"PSO",'caseload data'!O:O)</f>
        <v>0</v>
      </c>
      <c r="O68" s="136">
        <f>SUMIF('caseload data'!$D:$D,"PSO",'caseload data'!P:P)</f>
        <v>0</v>
      </c>
      <c r="P68" s="136">
        <f>SUMIF('caseload data'!$D:$D,"PSO",'caseload data'!Q:Q)</f>
        <v>0</v>
      </c>
      <c r="Q68" s="136">
        <f>SUMIF('caseload data'!$D:$D,"PSO",'caseload data'!R:R)</f>
        <v>0</v>
      </c>
      <c r="R68" s="136">
        <f>SUMIF('caseload data'!$D:$D,"PSO",'caseload data'!S:S)</f>
        <v>0</v>
      </c>
      <c r="S68" s="136">
        <f>SUMIF('caseload data'!$D:$D,"PSO",'caseload data'!T:T)</f>
        <v>0</v>
      </c>
      <c r="T68" s="381">
        <f>SUMIF('caseload data'!D:D,"PSO",'caseload data'!V:V)</f>
        <v>0</v>
      </c>
      <c r="U68" s="64"/>
      <c r="V68" s="64"/>
      <c r="W68" s="477"/>
      <c r="X68" s="375" t="s">
        <v>1002</v>
      </c>
      <c r="Y68" s="138" t="e">
        <f t="shared" ref="Y68:Y71" si="44">SUM(D68)/SUM(D$67:D$71)</f>
        <v>#DIV/0!</v>
      </c>
      <c r="Z68" s="138" t="e">
        <f t="shared" si="43"/>
        <v>#DIV/0!</v>
      </c>
      <c r="AA68" s="138" t="e">
        <f t="shared" si="43"/>
        <v>#DIV/0!</v>
      </c>
      <c r="AB68" s="138" t="e">
        <f t="shared" si="43"/>
        <v>#DIV/0!</v>
      </c>
      <c r="AC68" s="138" t="e">
        <f t="shared" si="43"/>
        <v>#DIV/0!</v>
      </c>
      <c r="AD68" s="138" t="e">
        <f t="shared" si="43"/>
        <v>#DIV/0!</v>
      </c>
      <c r="AE68" s="138" t="e">
        <f t="shared" si="43"/>
        <v>#DIV/0!</v>
      </c>
      <c r="AF68" s="138" t="e">
        <f t="shared" si="43"/>
        <v>#DIV/0!</v>
      </c>
      <c r="AG68" s="138" t="e">
        <f t="shared" si="43"/>
        <v>#DIV/0!</v>
      </c>
      <c r="AH68" s="138" t="e">
        <f t="shared" si="43"/>
        <v>#DIV/0!</v>
      </c>
      <c r="AI68" s="138" t="e">
        <f t="shared" si="43"/>
        <v>#DIV/0!</v>
      </c>
      <c r="AJ68" s="138" t="e">
        <f t="shared" si="43"/>
        <v>#DIV/0!</v>
      </c>
      <c r="AK68" s="138" t="e">
        <f t="shared" si="43"/>
        <v>#DIV/0!</v>
      </c>
      <c r="AL68" s="138" t="e">
        <f t="shared" si="43"/>
        <v>#DIV/0!</v>
      </c>
      <c r="AM68" s="138" t="e">
        <f t="shared" si="43"/>
        <v>#DIV/0!</v>
      </c>
      <c r="AN68" s="138" t="e">
        <f t="shared" si="43"/>
        <v>#DIV/0!</v>
      </c>
      <c r="AO68" s="391" t="e">
        <f t="shared" si="43"/>
        <v>#DIV/0!</v>
      </c>
    </row>
    <row r="69" spans="2:41" x14ac:dyDescent="0.15">
      <c r="B69" s="477"/>
      <c r="C69" s="137" t="s">
        <v>1003</v>
      </c>
      <c r="D69" s="136">
        <f>SUMIF('caseload data'!$D:$D,"TPO",'caseload data'!E:E)</f>
        <v>0</v>
      </c>
      <c r="E69" s="136">
        <f>SUMIF('caseload data'!$D:$D,"TPO",'caseload data'!F:F)</f>
        <v>0</v>
      </c>
      <c r="F69" s="136">
        <f>SUMIF('caseload data'!$D:$D,"TPO",'caseload data'!G:G)</f>
        <v>0</v>
      </c>
      <c r="G69" s="136">
        <f>SUMIF('caseload data'!$D:$D,"TPO",'caseload data'!H:H)</f>
        <v>0</v>
      </c>
      <c r="H69" s="136">
        <f>SUMIF('caseload data'!$D:$D,"TPO",'caseload data'!I:I)</f>
        <v>0</v>
      </c>
      <c r="I69" s="136">
        <f>SUMIF('caseload data'!$D:$D,"TPO",'caseload data'!J:J)</f>
        <v>0</v>
      </c>
      <c r="J69" s="136">
        <f>SUMIF('caseload data'!$D:$D,"TPO",'caseload data'!K:K)</f>
        <v>0</v>
      </c>
      <c r="K69" s="136">
        <f>SUMIF('caseload data'!$D:$D,"TPO",'caseload data'!L:L)</f>
        <v>0</v>
      </c>
      <c r="L69" s="136">
        <f>SUMIF('caseload data'!$D:$D,"TPO",'caseload data'!M:M)</f>
        <v>0</v>
      </c>
      <c r="M69" s="136">
        <f>SUMIF('caseload data'!$D:$D,"TPO",'caseload data'!N:N)</f>
        <v>0</v>
      </c>
      <c r="N69" s="136">
        <f>SUMIF('caseload data'!$D:$D,"TPO",'caseload data'!O:O)</f>
        <v>0</v>
      </c>
      <c r="O69" s="136">
        <f>SUMIF('caseload data'!$D:$D,"TPO",'caseload data'!P:P)</f>
        <v>0</v>
      </c>
      <c r="P69" s="136">
        <f>SUMIF('caseload data'!$D:$D,"TPO",'caseload data'!Q:Q)</f>
        <v>0</v>
      </c>
      <c r="Q69" s="136">
        <f>SUMIF('caseload data'!$D:$D,"TPO",'caseload data'!R:R)</f>
        <v>0</v>
      </c>
      <c r="R69" s="136">
        <f>SUMIF('caseload data'!$D:$D,"TPO",'caseload data'!S:S)</f>
        <v>0</v>
      </c>
      <c r="S69" s="136">
        <f>SUMIF('caseload data'!$D:$D,"TPO",'caseload data'!T:T)</f>
        <v>0</v>
      </c>
      <c r="T69" s="381">
        <f>SUMIF('caseload data'!D:D,"TPO",'caseload data'!V:V)</f>
        <v>0</v>
      </c>
      <c r="U69" s="64"/>
      <c r="V69" s="64"/>
      <c r="W69" s="477"/>
      <c r="X69" s="375" t="s">
        <v>1003</v>
      </c>
      <c r="Y69" s="138" t="e">
        <f t="shared" si="44"/>
        <v>#DIV/0!</v>
      </c>
      <c r="Z69" s="138" t="e">
        <f t="shared" si="43"/>
        <v>#DIV/0!</v>
      </c>
      <c r="AA69" s="138" t="e">
        <f t="shared" si="43"/>
        <v>#DIV/0!</v>
      </c>
      <c r="AB69" s="138" t="e">
        <f t="shared" si="43"/>
        <v>#DIV/0!</v>
      </c>
      <c r="AC69" s="138" t="e">
        <f t="shared" si="43"/>
        <v>#DIV/0!</v>
      </c>
      <c r="AD69" s="138" t="e">
        <f t="shared" si="43"/>
        <v>#DIV/0!</v>
      </c>
      <c r="AE69" s="138" t="e">
        <f t="shared" si="43"/>
        <v>#DIV/0!</v>
      </c>
      <c r="AF69" s="138" t="e">
        <f t="shared" si="43"/>
        <v>#DIV/0!</v>
      </c>
      <c r="AG69" s="138" t="e">
        <f t="shared" si="43"/>
        <v>#DIV/0!</v>
      </c>
      <c r="AH69" s="138" t="e">
        <f t="shared" si="43"/>
        <v>#DIV/0!</v>
      </c>
      <c r="AI69" s="138" t="e">
        <f t="shared" si="43"/>
        <v>#DIV/0!</v>
      </c>
      <c r="AJ69" s="138" t="e">
        <f t="shared" si="43"/>
        <v>#DIV/0!</v>
      </c>
      <c r="AK69" s="138" t="e">
        <f t="shared" si="43"/>
        <v>#DIV/0!</v>
      </c>
      <c r="AL69" s="138" t="e">
        <f t="shared" si="43"/>
        <v>#DIV/0!</v>
      </c>
      <c r="AM69" s="138" t="e">
        <f t="shared" si="43"/>
        <v>#DIV/0!</v>
      </c>
      <c r="AN69" s="138" t="e">
        <f t="shared" si="43"/>
        <v>#DIV/0!</v>
      </c>
      <c r="AO69" s="391" t="e">
        <f t="shared" si="43"/>
        <v>#DIV/0!</v>
      </c>
    </row>
    <row r="70" spans="2:41" ht="15.75" customHeight="1" x14ac:dyDescent="0.15">
      <c r="B70" s="477"/>
      <c r="C70" s="137" t="s">
        <v>1004</v>
      </c>
      <c r="D70" s="136">
        <f>SUMIF('caseload data'!$D:$D,"SPO",'caseload data'!E:E)</f>
        <v>0</v>
      </c>
      <c r="E70" s="136">
        <f>SUMIF('caseload data'!$D:$D,"SPO",'caseload data'!F:F)</f>
        <v>0</v>
      </c>
      <c r="F70" s="136">
        <f>SUMIF('caseload data'!$D:$D,"SPO",'caseload data'!G:G)</f>
        <v>0</v>
      </c>
      <c r="G70" s="136">
        <f>SUMIF('caseload data'!$D:$D,"SPO",'caseload data'!H:H)</f>
        <v>0</v>
      </c>
      <c r="H70" s="136">
        <f>SUMIF('caseload data'!$D:$D,"SPO",'caseload data'!I:I)</f>
        <v>0</v>
      </c>
      <c r="I70" s="136">
        <f>SUMIF('caseload data'!$D:$D,"SPO",'caseload data'!J:J)</f>
        <v>0</v>
      </c>
      <c r="J70" s="136">
        <f>SUMIF('caseload data'!$D:$D,"SPO",'caseload data'!K:K)</f>
        <v>0</v>
      </c>
      <c r="K70" s="136">
        <f>SUMIF('caseload data'!$D:$D,"SPO",'caseload data'!L:L)</f>
        <v>0</v>
      </c>
      <c r="L70" s="136">
        <f>SUMIF('caseload data'!$D:$D,"SPO",'caseload data'!M:M)</f>
        <v>0</v>
      </c>
      <c r="M70" s="136">
        <f>SUMIF('caseload data'!$D:$D,"SPO",'caseload data'!N:N)</f>
        <v>0</v>
      </c>
      <c r="N70" s="136">
        <f>SUMIF('caseload data'!$D:$D,"SPO",'caseload data'!O:O)</f>
        <v>0</v>
      </c>
      <c r="O70" s="136">
        <f>SUMIF('caseload data'!$D:$D,"SPO",'caseload data'!P:P)</f>
        <v>0</v>
      </c>
      <c r="P70" s="136">
        <f>SUMIF('caseload data'!$D:$D,"SPO",'caseload data'!Q:Q)</f>
        <v>0</v>
      </c>
      <c r="Q70" s="136">
        <f>SUMIF('caseload data'!$D:$D,"SPO",'caseload data'!R:R)</f>
        <v>0</v>
      </c>
      <c r="R70" s="136">
        <f>SUMIF('caseload data'!$D:$D,"SPO",'caseload data'!S:S)</f>
        <v>0</v>
      </c>
      <c r="S70" s="136">
        <f>SUMIF('caseload data'!$D:$D,"SPO",'caseload data'!T:T)</f>
        <v>0</v>
      </c>
      <c r="T70" s="381">
        <f>SUMIF('caseload data'!D:D,"SPO",'caseload data'!V:V)</f>
        <v>0</v>
      </c>
      <c r="U70" s="64"/>
      <c r="V70" s="64"/>
      <c r="W70" s="477"/>
      <c r="X70" s="375" t="s">
        <v>1004</v>
      </c>
      <c r="Y70" s="138" t="e">
        <f t="shared" si="44"/>
        <v>#DIV/0!</v>
      </c>
      <c r="Z70" s="138" t="e">
        <f t="shared" si="43"/>
        <v>#DIV/0!</v>
      </c>
      <c r="AA70" s="138" t="e">
        <f t="shared" si="43"/>
        <v>#DIV/0!</v>
      </c>
      <c r="AB70" s="138" t="e">
        <f t="shared" si="43"/>
        <v>#DIV/0!</v>
      </c>
      <c r="AC70" s="138" t="e">
        <f t="shared" si="43"/>
        <v>#DIV/0!</v>
      </c>
      <c r="AD70" s="138" t="e">
        <f t="shared" si="43"/>
        <v>#DIV/0!</v>
      </c>
      <c r="AE70" s="138" t="e">
        <f t="shared" si="43"/>
        <v>#DIV/0!</v>
      </c>
      <c r="AF70" s="138" t="e">
        <f t="shared" si="43"/>
        <v>#DIV/0!</v>
      </c>
      <c r="AG70" s="138" t="e">
        <f t="shared" si="43"/>
        <v>#DIV/0!</v>
      </c>
      <c r="AH70" s="138" t="e">
        <f t="shared" si="43"/>
        <v>#DIV/0!</v>
      </c>
      <c r="AI70" s="138" t="e">
        <f t="shared" si="43"/>
        <v>#DIV/0!</v>
      </c>
      <c r="AJ70" s="138" t="e">
        <f t="shared" si="43"/>
        <v>#DIV/0!</v>
      </c>
      <c r="AK70" s="138" t="e">
        <f t="shared" si="43"/>
        <v>#DIV/0!</v>
      </c>
      <c r="AL70" s="138" t="e">
        <f t="shared" si="43"/>
        <v>#DIV/0!</v>
      </c>
      <c r="AM70" s="138" t="e">
        <f t="shared" si="43"/>
        <v>#DIV/0!</v>
      </c>
      <c r="AN70" s="138" t="e">
        <f t="shared" si="43"/>
        <v>#DIV/0!</v>
      </c>
      <c r="AO70" s="391" t="e">
        <f t="shared" si="43"/>
        <v>#DIV/0!</v>
      </c>
    </row>
    <row r="71" spans="2:41" ht="15.75" customHeight="1" thickBot="1" x14ac:dyDescent="0.2">
      <c r="B71" s="477"/>
      <c r="C71" s="137" t="s">
        <v>1339</v>
      </c>
      <c r="D71" s="136">
        <f>SUMIF('caseload data'!$D:$D,"DMY",'caseload data'!E:E)</f>
        <v>0</v>
      </c>
      <c r="E71" s="136">
        <f>SUMIF('caseload data'!$D:$D,"DMY",'caseload data'!F:F)</f>
        <v>0</v>
      </c>
      <c r="F71" s="136">
        <f>SUMIF('caseload data'!$D:$D,"DMY",'caseload data'!G:G)</f>
        <v>0</v>
      </c>
      <c r="G71" s="136">
        <f>SUMIF('caseload data'!$D:$D,"DMY",'caseload data'!H:H)</f>
        <v>0</v>
      </c>
      <c r="H71" s="136">
        <f>SUMIF('caseload data'!$D:$D,"DMY",'caseload data'!I:I)</f>
        <v>0</v>
      </c>
      <c r="I71" s="136">
        <f>SUMIF('caseload data'!$D:$D,"DMY",'caseload data'!J:J)</f>
        <v>0</v>
      </c>
      <c r="J71" s="136">
        <f>SUMIF('caseload data'!$D:$D,"DMY",'caseload data'!K:K)</f>
        <v>0</v>
      </c>
      <c r="K71" s="136">
        <f>SUMIF('caseload data'!$D:$D,"DMY",'caseload data'!L:L)</f>
        <v>0</v>
      </c>
      <c r="L71" s="136">
        <f>SUMIF('caseload data'!$D:$D,"DMY",'caseload data'!M:M)</f>
        <v>0</v>
      </c>
      <c r="M71" s="136">
        <f>SUMIF('caseload data'!$D:$D,"DMY",'caseload data'!N:N)</f>
        <v>0</v>
      </c>
      <c r="N71" s="136">
        <f>SUMIF('caseload data'!$D:$D,"DMY",'caseload data'!O:O)</f>
        <v>0</v>
      </c>
      <c r="O71" s="136">
        <f>SUMIF('caseload data'!$D:$D,"DMY",'caseload data'!P:P)</f>
        <v>0</v>
      </c>
      <c r="P71" s="136">
        <f>SUMIF('caseload data'!$D:$D,"DMY",'caseload data'!Q:Q)</f>
        <v>0</v>
      </c>
      <c r="Q71" s="136">
        <f>SUMIF('caseload data'!$D:$D,"DMY",'caseload data'!R:R)</f>
        <v>0</v>
      </c>
      <c r="R71" s="136">
        <f>SUMIF('caseload data'!$D:$D,"DMY",'caseload data'!S:S)</f>
        <v>0</v>
      </c>
      <c r="S71" s="136">
        <f>SUMIF('caseload data'!$D:$D,"DMY",'caseload data'!T:T)</f>
        <v>0</v>
      </c>
      <c r="T71" s="381">
        <f>SUMIF('caseload data'!D:D,"DMY",'caseload data'!V:V)</f>
        <v>0</v>
      </c>
      <c r="U71" s="64"/>
      <c r="V71" s="64"/>
      <c r="W71" s="478"/>
      <c r="X71" s="376" t="s">
        <v>1339</v>
      </c>
      <c r="Y71" s="389" t="e">
        <f t="shared" si="44"/>
        <v>#DIV/0!</v>
      </c>
      <c r="Z71" s="389" t="e">
        <f t="shared" si="43"/>
        <v>#DIV/0!</v>
      </c>
      <c r="AA71" s="389" t="e">
        <f t="shared" si="43"/>
        <v>#DIV/0!</v>
      </c>
      <c r="AB71" s="389" t="e">
        <f t="shared" si="43"/>
        <v>#DIV/0!</v>
      </c>
      <c r="AC71" s="389" t="e">
        <f t="shared" si="43"/>
        <v>#DIV/0!</v>
      </c>
      <c r="AD71" s="389" t="e">
        <f t="shared" si="43"/>
        <v>#DIV/0!</v>
      </c>
      <c r="AE71" s="389" t="e">
        <f t="shared" si="43"/>
        <v>#DIV/0!</v>
      </c>
      <c r="AF71" s="389" t="e">
        <f t="shared" si="43"/>
        <v>#DIV/0!</v>
      </c>
      <c r="AG71" s="389" t="e">
        <f t="shared" si="43"/>
        <v>#DIV/0!</v>
      </c>
      <c r="AH71" s="389" t="e">
        <f t="shared" si="43"/>
        <v>#DIV/0!</v>
      </c>
      <c r="AI71" s="389" t="e">
        <f t="shared" si="43"/>
        <v>#DIV/0!</v>
      </c>
      <c r="AJ71" s="389" t="e">
        <f t="shared" si="43"/>
        <v>#DIV/0!</v>
      </c>
      <c r="AK71" s="389" t="e">
        <f t="shared" si="43"/>
        <v>#DIV/0!</v>
      </c>
      <c r="AL71" s="389" t="e">
        <f t="shared" si="43"/>
        <v>#DIV/0!</v>
      </c>
      <c r="AM71" s="389" t="e">
        <f t="shared" si="43"/>
        <v>#DIV/0!</v>
      </c>
      <c r="AN71" s="389" t="e">
        <f t="shared" si="43"/>
        <v>#DIV/0!</v>
      </c>
      <c r="AO71" s="392" t="e">
        <f t="shared" si="43"/>
        <v>#DIV/0!</v>
      </c>
    </row>
    <row r="72" spans="2:41" ht="35.25" customHeight="1" thickBot="1" x14ac:dyDescent="0.2">
      <c r="B72" s="478"/>
      <c r="C72" s="382" t="s">
        <v>1076</v>
      </c>
      <c r="D72" s="383">
        <f>SUM('caseload data'!E:E)</f>
        <v>0</v>
      </c>
      <c r="E72" s="383">
        <f>SUM('caseload data'!F:F)</f>
        <v>0</v>
      </c>
      <c r="F72" s="383">
        <f>SUM('caseload data'!G:G)</f>
        <v>0</v>
      </c>
      <c r="G72" s="383">
        <f>SUM('caseload data'!H:H)</f>
        <v>0</v>
      </c>
      <c r="H72" s="383">
        <f>SUM('caseload data'!I:I)</f>
        <v>0</v>
      </c>
      <c r="I72" s="383">
        <f>SUM('caseload data'!J:J)</f>
        <v>0</v>
      </c>
      <c r="J72" s="383">
        <f>SUM('caseload data'!K:K)</f>
        <v>0</v>
      </c>
      <c r="K72" s="383">
        <f>SUM('caseload data'!L:L)</f>
        <v>0</v>
      </c>
      <c r="L72" s="383">
        <f>SUM('caseload data'!M:M)</f>
        <v>0</v>
      </c>
      <c r="M72" s="383">
        <f>SUM('caseload data'!N:N)</f>
        <v>0</v>
      </c>
      <c r="N72" s="383">
        <f>SUM('caseload data'!O:O)</f>
        <v>0</v>
      </c>
      <c r="O72" s="383">
        <f>SUM('caseload data'!P:P)</f>
        <v>0</v>
      </c>
      <c r="P72" s="383">
        <f>SUM('caseload data'!Q:Q)</f>
        <v>0</v>
      </c>
      <c r="Q72" s="383">
        <f>SUM('caseload data'!R:R)</f>
        <v>0</v>
      </c>
      <c r="R72" s="383">
        <f>SUM('caseload data'!S:S)</f>
        <v>0</v>
      </c>
      <c r="S72" s="383">
        <f>SUM('caseload data'!T:T)</f>
        <v>0</v>
      </c>
      <c r="T72" s="384">
        <f>SUM('caseload data'!V:V)</f>
        <v>0</v>
      </c>
      <c r="U72" s="64"/>
      <c r="V72" s="64"/>
      <c r="W72" s="131"/>
      <c r="X72" s="132"/>
      <c r="Y72" s="133"/>
      <c r="Z72" s="133"/>
      <c r="AA72" s="133"/>
      <c r="AB72" s="133"/>
      <c r="AC72" s="133"/>
      <c r="AD72" s="133"/>
      <c r="AE72" s="133"/>
    </row>
    <row r="74" spans="2:41" ht="15" thickBot="1" x14ac:dyDescent="0.2"/>
    <row r="75" spans="2:41" ht="23.25" customHeight="1" thickBot="1" x14ac:dyDescent="0.25">
      <c r="B75" s="1"/>
      <c r="C75" s="2"/>
      <c r="D75" s="484" t="s">
        <v>1077</v>
      </c>
      <c r="E75" s="485"/>
      <c r="F75" s="485"/>
      <c r="G75" s="485"/>
      <c r="H75" s="485"/>
      <c r="I75" s="485"/>
      <c r="J75" s="485"/>
      <c r="K75" s="485"/>
      <c r="L75" s="485"/>
      <c r="M75" s="485"/>
      <c r="N75" s="485"/>
      <c r="O75" s="485"/>
      <c r="P75" s="485"/>
      <c r="Q75" s="485"/>
      <c r="R75" s="485"/>
      <c r="S75" s="485"/>
      <c r="T75" s="486"/>
      <c r="W75" s="1"/>
      <c r="X75" s="2"/>
      <c r="Y75" s="488" t="s">
        <v>1078</v>
      </c>
      <c r="Z75" s="489"/>
      <c r="AA75" s="489"/>
      <c r="AB75" s="489"/>
      <c r="AC75" s="489"/>
      <c r="AD75" s="489"/>
      <c r="AE75" s="489"/>
      <c r="AF75" s="489"/>
      <c r="AG75" s="489"/>
      <c r="AH75" s="489"/>
      <c r="AI75" s="489"/>
      <c r="AJ75" s="489"/>
      <c r="AK75" s="489"/>
      <c r="AL75" s="489"/>
      <c r="AM75" s="489"/>
      <c r="AN75" s="489"/>
    </row>
    <row r="76" spans="2:41" x14ac:dyDescent="0.15">
      <c r="B76" s="124" t="s">
        <v>838</v>
      </c>
      <c r="C76" s="125" t="s">
        <v>996</v>
      </c>
      <c r="D76" s="38" t="s">
        <v>864</v>
      </c>
      <c r="E76" s="38" t="s">
        <v>865</v>
      </c>
      <c r="F76" s="38" t="s">
        <v>866</v>
      </c>
      <c r="G76" s="38" t="s">
        <v>867</v>
      </c>
      <c r="H76" s="38" t="s">
        <v>868</v>
      </c>
      <c r="I76" s="38" t="s">
        <v>869</v>
      </c>
      <c r="J76" s="38" t="s">
        <v>870</v>
      </c>
      <c r="K76" s="38" t="s">
        <v>871</v>
      </c>
      <c r="L76" s="38" t="s">
        <v>872</v>
      </c>
      <c r="M76" s="38" t="s">
        <v>873</v>
      </c>
      <c r="N76" s="38" t="s">
        <v>874</v>
      </c>
      <c r="O76" s="38" t="s">
        <v>875</v>
      </c>
      <c r="P76" s="38" t="s">
        <v>876</v>
      </c>
      <c r="Q76" s="38" t="s">
        <v>877</v>
      </c>
      <c r="R76" s="38" t="s">
        <v>878</v>
      </c>
      <c r="S76" s="38" t="s">
        <v>879</v>
      </c>
      <c r="T76" s="127" t="s">
        <v>881</v>
      </c>
      <c r="U76" s="64"/>
      <c r="V76" s="64"/>
      <c r="W76" s="124" t="s">
        <v>838</v>
      </c>
      <c r="X76" s="126" t="s">
        <v>996</v>
      </c>
      <c r="Y76" s="38" t="s">
        <v>864</v>
      </c>
      <c r="Z76" s="38" t="s">
        <v>865</v>
      </c>
      <c r="AA76" s="38" t="s">
        <v>866</v>
      </c>
      <c r="AB76" s="38" t="s">
        <v>867</v>
      </c>
      <c r="AC76" s="38" t="s">
        <v>868</v>
      </c>
      <c r="AD76" s="38" t="s">
        <v>869</v>
      </c>
      <c r="AE76" s="38" t="s">
        <v>870</v>
      </c>
      <c r="AF76" s="38" t="s">
        <v>871</v>
      </c>
      <c r="AG76" s="38" t="s">
        <v>872</v>
      </c>
      <c r="AH76" s="38" t="s">
        <v>873</v>
      </c>
      <c r="AI76" s="38" t="s">
        <v>874</v>
      </c>
      <c r="AJ76" s="38" t="s">
        <v>875</v>
      </c>
      <c r="AK76" s="38" t="s">
        <v>876</v>
      </c>
      <c r="AL76" s="38" t="s">
        <v>877</v>
      </c>
      <c r="AM76" s="38" t="s">
        <v>878</v>
      </c>
      <c r="AN76" s="38" t="s">
        <v>879</v>
      </c>
      <c r="AO76" s="38" t="s">
        <v>994</v>
      </c>
    </row>
    <row r="77" spans="2:41" x14ac:dyDescent="0.15">
      <c r="B77" s="479" t="s">
        <v>17</v>
      </c>
      <c r="C77" s="128" t="s">
        <v>997</v>
      </c>
      <c r="D77" s="370" cm="1">
        <f t="array" ref="D77">SUM(SUMIFS('caseload data'!E:E,'caseload data'!$D:$D,"PO",'caseload data'!$A:$A,_xlfn.SINGLE('national caseload'!$B$77:$B$79),'caseload data'!$B:$B,{"licence","community"}))</f>
        <v>0</v>
      </c>
      <c r="E77" s="94" cm="1">
        <f t="array" ref="E77">SUM(SUMIFS('caseload data'!F:F,'caseload data'!$D:$D,"PO",'caseload data'!$A:$A,_xlfn.SINGLE('national caseload'!$B$77:$B$79),'caseload data'!$B:$B,{"licence","community"}))</f>
        <v>0</v>
      </c>
      <c r="F77" s="94" cm="1">
        <f t="array" ref="F77">SUM(SUMIFS('caseload data'!G:G,'caseload data'!$D:$D,"PO",'caseload data'!$A:$A,_xlfn.SINGLE('national caseload'!$B$77:$B$79),'caseload data'!$B:$B,{"licence","community"}))</f>
        <v>0</v>
      </c>
      <c r="G77" s="94" cm="1">
        <f t="array" ref="G77">SUM(SUMIFS('caseload data'!H:H,'caseload data'!$D:$D,"PO",'caseload data'!$A:$A,_xlfn.SINGLE('national caseload'!$B$77:$B$79),'caseload data'!$B:$B,{"licence","community"}))</f>
        <v>0</v>
      </c>
      <c r="H77" s="94" cm="1">
        <f t="array" ref="H77">SUM(SUMIFS('caseload data'!I:I,'caseload data'!$D:$D,"PO",'caseload data'!$A:$A,_xlfn.SINGLE('national caseload'!$B$77:$B$79),'caseload data'!$B:$B,{"licence","community"}))</f>
        <v>0</v>
      </c>
      <c r="I77" s="94" cm="1">
        <f t="array" ref="I77">SUM(SUMIFS('caseload data'!J:J,'caseload data'!$D:$D,"PO",'caseload data'!$A:$A,_xlfn.SINGLE('national caseload'!$B$77:$B$79),'caseload data'!$B:$B,{"licence","community"}))</f>
        <v>0</v>
      </c>
      <c r="J77" s="94" cm="1">
        <f t="array" ref="J77">SUM(SUMIFS('caseload data'!K:K,'caseload data'!$D:$D,"PO",'caseload data'!$A:$A,_xlfn.SINGLE('national caseload'!$B$77:$B$79),'caseload data'!$B:$B,{"licence","community"}))</f>
        <v>0</v>
      </c>
      <c r="K77" s="94" cm="1">
        <f t="array" ref="K77">SUM(SUMIFS('caseload data'!L:L,'caseload data'!$D:$D,"PO",'caseload data'!$A:$A,_xlfn.SINGLE('national caseload'!$B$77:$B$79),'caseload data'!$B:$B,{"licence","community"}))</f>
        <v>0</v>
      </c>
      <c r="L77" s="94" cm="1">
        <f t="array" ref="L77">SUM(SUMIFS('caseload data'!M:M,'caseload data'!$D:$D,"PO",'caseload data'!$A:$A,_xlfn.SINGLE('national caseload'!$B$77:$B$79),'caseload data'!$B:$B,{"licence","community"}))</f>
        <v>0</v>
      </c>
      <c r="M77" s="94" cm="1">
        <f t="array" ref="M77">SUM(SUMIFS('caseload data'!N:N,'caseload data'!$D:$D,"PO",'caseload data'!$A:$A,_xlfn.SINGLE('national caseload'!$B$77:$B$79),'caseload data'!$B:$B,{"licence","community"}))</f>
        <v>0</v>
      </c>
      <c r="N77" s="94" cm="1">
        <f t="array" ref="N77">SUM(SUMIFS('caseload data'!O:O,'caseload data'!$D:$D,"PO",'caseload data'!$A:$A,_xlfn.SINGLE('national caseload'!$B$77:$B$79),'caseload data'!$B:$B,{"licence","community"}))</f>
        <v>0</v>
      </c>
      <c r="O77" s="94" cm="1">
        <f t="array" ref="O77">SUM(SUMIFS('caseload data'!P:P,'caseload data'!$D:$D,"PO",'caseload data'!$A:$A,_xlfn.SINGLE('national caseload'!$B$77:$B$79),'caseload data'!$B:$B,{"licence","community"}))</f>
        <v>0</v>
      </c>
      <c r="P77" s="94" cm="1">
        <f t="array" ref="P77">SUM(SUMIFS('caseload data'!Q:Q,'caseload data'!$D:$D,"PO",'caseload data'!$A:$A,_xlfn.SINGLE('national caseload'!$B$77:$B$79),'caseload data'!$B:$B,{"licence","community"}))</f>
        <v>0</v>
      </c>
      <c r="Q77" s="94" cm="1">
        <f t="array" ref="Q77">SUM(SUMIFS('caseload data'!R:R,'caseload data'!$D:$D,"PO",'caseload data'!$A:$A,_xlfn.SINGLE('national caseload'!$B$77:$B$79),'caseload data'!$B:$B,{"licence","community"}))</f>
        <v>0</v>
      </c>
      <c r="R77" s="94" cm="1">
        <f t="array" ref="R77">SUM(SUMIFS('caseload data'!S:S,'caseload data'!$D:$D,"PO",'caseload data'!$A:$A,_xlfn.SINGLE('national caseload'!$B$77:$B$79),'caseload data'!$B:$B,{"licence","community"}))</f>
        <v>0</v>
      </c>
      <c r="S77" s="94" cm="1">
        <f t="array" ref="S77">SUM(SUMIFS('caseload data'!T:T,'caseload data'!$D:$D,"PO",'caseload data'!$A:$A,_xlfn.SINGLE('national caseload'!$B$77:$B$79),'caseload data'!$B:$B,{"licence","community"}))</f>
        <v>0</v>
      </c>
      <c r="T77" s="94">
        <f>SUM(SUMIFS('caseload data'!V:V,'caseload data'!D:D,"PO",'caseload data'!A:A,'national caseload'!B77:B79,'caseload data'!B:B,{"licence","community"}))</f>
        <v>0</v>
      </c>
      <c r="U77" s="64"/>
      <c r="V77" s="64"/>
      <c r="W77" s="473" t="s">
        <v>17</v>
      </c>
      <c r="X77" s="128" t="s">
        <v>997</v>
      </c>
      <c r="Y77" s="167" t="e">
        <f t="shared" ref="Y77:AD77" si="45">SUM(D77)/SUM(D$77:D$81)</f>
        <v>#DIV/0!</v>
      </c>
      <c r="Z77" s="167" t="e">
        <f t="shared" si="45"/>
        <v>#DIV/0!</v>
      </c>
      <c r="AA77" s="167" t="e">
        <f t="shared" si="45"/>
        <v>#DIV/0!</v>
      </c>
      <c r="AB77" s="167" t="e">
        <f t="shared" si="45"/>
        <v>#DIV/0!</v>
      </c>
      <c r="AC77" s="167" t="e">
        <f t="shared" si="45"/>
        <v>#DIV/0!</v>
      </c>
      <c r="AD77" s="167" t="e">
        <f t="shared" si="45"/>
        <v>#DIV/0!</v>
      </c>
      <c r="AE77" s="167" t="e">
        <f t="shared" ref="AE77:AO81" si="46">SUM(J77)/SUM(J$77:J$81)</f>
        <v>#DIV/0!</v>
      </c>
      <c r="AF77" s="167" t="e">
        <f t="shared" si="46"/>
        <v>#DIV/0!</v>
      </c>
      <c r="AG77" s="167" t="e">
        <f t="shared" si="46"/>
        <v>#DIV/0!</v>
      </c>
      <c r="AH77" s="167" t="e">
        <f t="shared" si="46"/>
        <v>#DIV/0!</v>
      </c>
      <c r="AI77" s="167" t="e">
        <f t="shared" si="46"/>
        <v>#DIV/0!</v>
      </c>
      <c r="AJ77" s="167" t="e">
        <f t="shared" si="46"/>
        <v>#DIV/0!</v>
      </c>
      <c r="AK77" s="167" t="e">
        <f t="shared" si="46"/>
        <v>#DIV/0!</v>
      </c>
      <c r="AL77" s="167" t="e">
        <f t="shared" si="46"/>
        <v>#DIV/0!</v>
      </c>
      <c r="AM77" s="167" t="e">
        <f t="shared" si="46"/>
        <v>#DIV/0!</v>
      </c>
      <c r="AN77" s="167" t="e">
        <f t="shared" si="46"/>
        <v>#DIV/0!</v>
      </c>
      <c r="AO77" s="167" t="e">
        <f>SUM(T77)/SUM(T$77:T$81)</f>
        <v>#DIV/0!</v>
      </c>
    </row>
    <row r="78" spans="2:41" x14ac:dyDescent="0.15">
      <c r="B78" s="480"/>
      <c r="C78" s="129" t="s">
        <v>1002</v>
      </c>
      <c r="D78" s="370" cm="1">
        <f t="array" ref="D78">SUM(SUMIFS('caseload data'!E:E,'caseload data'!$D:$D,"PSO",'caseload data'!$A:$A,"East Midlands Region",'caseload data'!$B:$B,{"licence","community"}))</f>
        <v>0</v>
      </c>
      <c r="E78" s="94" cm="1">
        <f t="array" ref="E78">SUM(SUMIFS('caseload data'!F:F,'caseload data'!$D:$D,"PSO",'caseload data'!$A:$A,"East Midlands Region",'caseload data'!$B:$B,{"licence","community"}))</f>
        <v>0</v>
      </c>
      <c r="F78" s="94" cm="1">
        <f t="array" ref="F78">SUM(SUMIFS('caseload data'!G:G,'caseload data'!$D:$D,"PSO",'caseload data'!$A:$A,"East Midlands Region",'caseload data'!$B:$B,{"licence","community"}))</f>
        <v>0</v>
      </c>
      <c r="G78" s="94" cm="1">
        <f t="array" ref="G78">SUM(SUMIFS('caseload data'!H:H,'caseload data'!$D:$D,"PSO",'caseload data'!$A:$A,"East Midlands Region",'caseload data'!$B:$B,{"licence","community"}))</f>
        <v>0</v>
      </c>
      <c r="H78" s="94" cm="1">
        <f t="array" ref="H78">SUM(SUMIFS('caseload data'!I:I,'caseload data'!$D:$D,"PSO",'caseload data'!$A:$A,"East Midlands Region",'caseload data'!$B:$B,{"licence","community"}))</f>
        <v>0</v>
      </c>
      <c r="I78" s="94" cm="1">
        <f t="array" ref="I78">SUM(SUMIFS('caseload data'!J:J,'caseload data'!$D:$D,"PSO",'caseload data'!$A:$A,"East Midlands Region",'caseload data'!$B:$B,{"licence","community"}))</f>
        <v>0</v>
      </c>
      <c r="J78" s="94" cm="1">
        <f t="array" ref="J78">SUM(SUMIFS('caseload data'!K:K,'caseload data'!$D:$D,"PSO",'caseload data'!$A:$A,"East Midlands Region",'caseload data'!$B:$B,{"licence","community"}))</f>
        <v>0</v>
      </c>
      <c r="K78" s="94" cm="1">
        <f t="array" ref="K78">SUM(SUMIFS('caseload data'!L:L,'caseload data'!$D:$D,"PSO",'caseload data'!$A:$A,"East Midlands Region",'caseload data'!$B:$B,{"licence","community"}))</f>
        <v>0</v>
      </c>
      <c r="L78" s="94" cm="1">
        <f t="array" ref="L78">SUM(SUMIFS('caseload data'!M:M,'caseload data'!$D:$D,"PSO",'caseload data'!$A:$A,"East Midlands Region",'caseload data'!$B:$B,{"licence","community"}))</f>
        <v>0</v>
      </c>
      <c r="M78" s="94" cm="1">
        <f t="array" ref="M78">SUM(SUMIFS('caseload data'!N:N,'caseload data'!$D:$D,"PSO",'caseload data'!$A:$A,"East Midlands Region",'caseload data'!$B:$B,{"licence","community"}))</f>
        <v>0</v>
      </c>
      <c r="N78" s="94" cm="1">
        <f t="array" ref="N78">SUM(SUMIFS('caseload data'!O:O,'caseload data'!$D:$D,"PSO",'caseload data'!$A:$A,"East Midlands Region",'caseload data'!$B:$B,{"licence","community"}))</f>
        <v>0</v>
      </c>
      <c r="O78" s="94" cm="1">
        <f t="array" ref="O78">SUM(SUMIFS('caseload data'!P:P,'caseload data'!$D:$D,"PSO",'caseload data'!$A:$A,"East Midlands Region",'caseload data'!$B:$B,{"licence","community"}))</f>
        <v>0</v>
      </c>
      <c r="P78" s="94" cm="1">
        <f t="array" ref="P78">SUM(SUMIFS('caseload data'!Q:Q,'caseload data'!$D:$D,"PSO",'caseload data'!$A:$A,"East Midlands Region",'caseload data'!$B:$B,{"licence","community"}))</f>
        <v>0</v>
      </c>
      <c r="Q78" s="94" cm="1">
        <f t="array" ref="Q78">SUM(SUMIFS('caseload data'!R:R,'caseload data'!$D:$D,"PSO",'caseload data'!$A:$A,"East Midlands Region",'caseload data'!$B:$B,{"licence","community"}))</f>
        <v>0</v>
      </c>
      <c r="R78" s="94" cm="1">
        <f t="array" ref="R78">SUM(SUMIFS('caseload data'!S:S,'caseload data'!$D:$D,"PSO",'caseload data'!$A:$A,"East Midlands Region",'caseload data'!$B:$B,{"licence","community"}))</f>
        <v>0</v>
      </c>
      <c r="S78" s="94" cm="1">
        <f t="array" ref="S78">SUM(SUMIFS('caseload data'!T:T,'caseload data'!$D:$D,"PSO",'caseload data'!$A:$A,"East Midlands Region",'caseload data'!$B:$B,{"licence","community"}))</f>
        <v>0</v>
      </c>
      <c r="T78" s="94" cm="1">
        <f t="array" ref="T78">SUM(SUMIFS('caseload data'!V:V,'caseload data'!D:D,"PSO",'caseload data'!A:A,"East Midlands Region",'caseload data'!B:B,{"licence","community"}))</f>
        <v>0</v>
      </c>
      <c r="U78" s="64"/>
      <c r="V78" s="64"/>
      <c r="W78" s="474"/>
      <c r="X78" s="129" t="s">
        <v>1002</v>
      </c>
      <c r="Y78" s="167" t="e">
        <f t="shared" ref="Y78:AB81" si="47">SUM(D78)/SUM(D$77:D$81)</f>
        <v>#DIV/0!</v>
      </c>
      <c r="Z78" s="167" t="e">
        <f t="shared" si="47"/>
        <v>#DIV/0!</v>
      </c>
      <c r="AA78" s="167" t="e">
        <f t="shared" si="47"/>
        <v>#DIV/0!</v>
      </c>
      <c r="AB78" s="167" t="e">
        <f t="shared" si="47"/>
        <v>#DIV/0!</v>
      </c>
      <c r="AC78" s="167" t="e">
        <f t="shared" ref="AC78:AC81" si="48">SUM(H78)/SUM(H$77:H$81)</f>
        <v>#DIV/0!</v>
      </c>
      <c r="AD78" s="167" t="e">
        <f t="shared" ref="AD78:AD81" si="49">SUM(I78)/SUM(I$77:I$81)</f>
        <v>#DIV/0!</v>
      </c>
      <c r="AE78" s="167" t="e">
        <f t="shared" si="46"/>
        <v>#DIV/0!</v>
      </c>
      <c r="AF78" s="167" t="e">
        <f t="shared" si="46"/>
        <v>#DIV/0!</v>
      </c>
      <c r="AG78" s="167" t="e">
        <f t="shared" si="46"/>
        <v>#DIV/0!</v>
      </c>
      <c r="AH78" s="167" t="e">
        <f t="shared" si="46"/>
        <v>#DIV/0!</v>
      </c>
      <c r="AI78" s="167" t="e">
        <f t="shared" si="46"/>
        <v>#DIV/0!</v>
      </c>
      <c r="AJ78" s="167" t="e">
        <f t="shared" si="46"/>
        <v>#DIV/0!</v>
      </c>
      <c r="AK78" s="167" t="e">
        <f t="shared" si="46"/>
        <v>#DIV/0!</v>
      </c>
      <c r="AL78" s="167" t="e">
        <f t="shared" si="46"/>
        <v>#DIV/0!</v>
      </c>
      <c r="AM78" s="167" t="e">
        <f t="shared" si="46"/>
        <v>#DIV/0!</v>
      </c>
      <c r="AN78" s="167" t="e">
        <f t="shared" si="46"/>
        <v>#DIV/0!</v>
      </c>
      <c r="AO78" s="167" t="e">
        <f t="shared" si="46"/>
        <v>#DIV/0!</v>
      </c>
    </row>
    <row r="79" spans="2:41" x14ac:dyDescent="0.15">
      <c r="B79" s="480"/>
      <c r="C79" s="129" t="s">
        <v>1003</v>
      </c>
      <c r="D79" s="370" cm="1">
        <f t="array" ref="D79">SUM(SUMIFS('caseload data'!E:E,'caseload data'!$D:$D,"TPO",'caseload data'!$A:$A,"East Midlands Region",'caseload data'!$B:$B,{"licence","community"}))</f>
        <v>0</v>
      </c>
      <c r="E79" s="94" cm="1">
        <f t="array" ref="E79">SUM(SUMIFS('caseload data'!F:F,'caseload data'!$D:$D,"TPO",'caseload data'!$A:$A,"East Midlands Region",'caseload data'!$B:$B,{"licence","community"}))</f>
        <v>0</v>
      </c>
      <c r="F79" s="94" cm="1">
        <f t="array" ref="F79">SUM(SUMIFS('caseload data'!G:G,'caseload data'!$D:$D,"TPO",'caseload data'!$A:$A,"East Midlands Region",'caseload data'!$B:$B,{"licence","community"}))</f>
        <v>0</v>
      </c>
      <c r="G79" s="94" cm="1">
        <f t="array" ref="G79">SUM(SUMIFS('caseload data'!H:H,'caseload data'!$D:$D,"TPO",'caseload data'!$A:$A,"East Midlands Region",'caseload data'!$B:$B,{"licence","community"}))</f>
        <v>0</v>
      </c>
      <c r="H79" s="94" cm="1">
        <f t="array" ref="H79">SUM(SUMIFS('caseload data'!I:I,'caseload data'!$D:$D,"TPO",'caseload data'!$A:$A,"East Midlands Region",'caseload data'!$B:$B,{"licence","community"}))</f>
        <v>0</v>
      </c>
      <c r="I79" s="94" cm="1">
        <f t="array" ref="I79">SUM(SUMIFS('caseload data'!J:J,'caseload data'!$D:$D,"TPO",'caseload data'!$A:$A,"East Midlands Region",'caseload data'!$B:$B,{"licence","community"}))</f>
        <v>0</v>
      </c>
      <c r="J79" s="94" cm="1">
        <f t="array" ref="J79">SUM(SUMIFS('caseload data'!K:K,'caseload data'!$D:$D,"TPO",'caseload data'!$A:$A,"East Midlands Region",'caseload data'!$B:$B,{"licence","community"}))</f>
        <v>0</v>
      </c>
      <c r="K79" s="94" cm="1">
        <f t="array" ref="K79">SUM(SUMIFS('caseload data'!L:L,'caseload data'!$D:$D,"TPO",'caseload data'!$A:$A,"East Midlands Region",'caseload data'!$B:$B,{"licence","community"}))</f>
        <v>0</v>
      </c>
      <c r="L79" s="94" cm="1">
        <f t="array" ref="L79">SUM(SUMIFS('caseload data'!M:M,'caseload data'!$D:$D,"TPO",'caseload data'!$A:$A,"East Midlands Region",'caseload data'!$B:$B,{"licence","community"}))</f>
        <v>0</v>
      </c>
      <c r="M79" s="94" cm="1">
        <f t="array" ref="M79">SUM(SUMIFS('caseload data'!N:N,'caseload data'!$D:$D,"TPO",'caseload data'!$A:$A,"East Midlands Region",'caseload data'!$B:$B,{"licence","community"}))</f>
        <v>0</v>
      </c>
      <c r="N79" s="94" cm="1">
        <f t="array" ref="N79">SUM(SUMIFS('caseload data'!O:O,'caseload data'!$D:$D,"TPO",'caseload data'!$A:$A,"East Midlands Region",'caseload data'!$B:$B,{"licence","community"}))</f>
        <v>0</v>
      </c>
      <c r="O79" s="94" cm="1">
        <f t="array" ref="O79">SUM(SUMIFS('caseload data'!P:P,'caseload data'!$D:$D,"TPO",'caseload data'!$A:$A,"East Midlands Region",'caseload data'!$B:$B,{"licence","community"}))</f>
        <v>0</v>
      </c>
      <c r="P79" s="94" cm="1">
        <f t="array" ref="P79">SUM(SUMIFS('caseload data'!Q:Q,'caseload data'!$D:$D,"TPO",'caseload data'!$A:$A,"East Midlands Region",'caseload data'!$B:$B,{"licence","community"}))</f>
        <v>0</v>
      </c>
      <c r="Q79" s="94" cm="1">
        <f t="array" ref="Q79">SUM(SUMIFS('caseload data'!R:R,'caseload data'!$D:$D,"TPO",'caseload data'!$A:$A,"East Midlands Region",'caseload data'!$B:$B,{"licence","community"}))</f>
        <v>0</v>
      </c>
      <c r="R79" s="94" cm="1">
        <f t="array" ref="R79">SUM(SUMIFS('caseload data'!S:S,'caseload data'!$D:$D,"TPO",'caseload data'!$A:$A,"East Midlands Region",'caseload data'!$B:$B,{"licence","community"}))</f>
        <v>0</v>
      </c>
      <c r="S79" s="94" cm="1">
        <f t="array" ref="S79">SUM(SUMIFS('caseload data'!T:T,'caseload data'!$D:$D,"TPO",'caseload data'!$A:$A,"East Midlands Region",'caseload data'!$B:$B,{"licence","community"}))</f>
        <v>0</v>
      </c>
      <c r="T79" s="94" cm="1">
        <f t="array" ref="T79">SUM(SUMIFS('caseload data'!V:V,'caseload data'!D:D,"TPO",'caseload data'!A:A,"East Midlands Region",'caseload data'!B:B,{"licence","community"}))</f>
        <v>0</v>
      </c>
      <c r="U79" s="64"/>
      <c r="V79" s="64"/>
      <c r="W79" s="474"/>
      <c r="X79" s="129" t="s">
        <v>1003</v>
      </c>
      <c r="Y79" s="167" t="e">
        <f t="shared" si="47"/>
        <v>#DIV/0!</v>
      </c>
      <c r="Z79" s="167" t="e">
        <f t="shared" si="47"/>
        <v>#DIV/0!</v>
      </c>
      <c r="AA79" s="167" t="e">
        <f t="shared" si="47"/>
        <v>#DIV/0!</v>
      </c>
      <c r="AB79" s="167" t="e">
        <f t="shared" si="47"/>
        <v>#DIV/0!</v>
      </c>
      <c r="AC79" s="167" t="e">
        <f t="shared" si="48"/>
        <v>#DIV/0!</v>
      </c>
      <c r="AD79" s="167" t="e">
        <f t="shared" si="49"/>
        <v>#DIV/0!</v>
      </c>
      <c r="AE79" s="167" t="e">
        <f t="shared" si="46"/>
        <v>#DIV/0!</v>
      </c>
      <c r="AF79" s="167" t="e">
        <f t="shared" si="46"/>
        <v>#DIV/0!</v>
      </c>
      <c r="AG79" s="167" t="e">
        <f t="shared" si="46"/>
        <v>#DIV/0!</v>
      </c>
      <c r="AH79" s="167" t="e">
        <f t="shared" si="46"/>
        <v>#DIV/0!</v>
      </c>
      <c r="AI79" s="167" t="e">
        <f t="shared" si="46"/>
        <v>#DIV/0!</v>
      </c>
      <c r="AJ79" s="167" t="e">
        <f t="shared" si="46"/>
        <v>#DIV/0!</v>
      </c>
      <c r="AK79" s="167" t="e">
        <f t="shared" si="46"/>
        <v>#DIV/0!</v>
      </c>
      <c r="AL79" s="167" t="e">
        <f t="shared" si="46"/>
        <v>#DIV/0!</v>
      </c>
      <c r="AM79" s="167" t="e">
        <f t="shared" si="46"/>
        <v>#DIV/0!</v>
      </c>
      <c r="AN79" s="167" t="e">
        <f t="shared" si="46"/>
        <v>#DIV/0!</v>
      </c>
      <c r="AO79" s="167" t="e">
        <f t="shared" si="46"/>
        <v>#DIV/0!</v>
      </c>
    </row>
    <row r="80" spans="2:41" x14ac:dyDescent="0.15">
      <c r="B80" s="480"/>
      <c r="C80" s="129" t="s">
        <v>1004</v>
      </c>
      <c r="D80" s="370" cm="1">
        <f t="array" ref="D80">SUM(SUMIFS('caseload data'!E:E,'caseload data'!$D:$D,"SPO",'caseload data'!$A:$A,"East Midlands Region",'caseload data'!$B:$B,{"licence","community"}))</f>
        <v>0</v>
      </c>
      <c r="E80" s="94" cm="1">
        <f t="array" ref="E80">SUM(SUMIFS('caseload data'!F:F,'caseload data'!$D:$D,"SPO",'caseload data'!$A:$A,"East Midlands Region",'caseload data'!$B:$B,{"licence","community"}))</f>
        <v>0</v>
      </c>
      <c r="F80" s="94" cm="1">
        <f t="array" ref="F80">SUM(SUMIFS('caseload data'!G:G,'caseload data'!$D:$D,"SPO",'caseload data'!$A:$A,"East Midlands Region",'caseload data'!$B:$B,{"licence","community"}))</f>
        <v>0</v>
      </c>
      <c r="G80" s="94" cm="1">
        <f t="array" ref="G80">SUM(SUMIFS('caseload data'!H:H,'caseload data'!$D:$D,"SPO",'caseload data'!$A:$A,"East Midlands Region",'caseload data'!$B:$B,{"licence","community"}))</f>
        <v>0</v>
      </c>
      <c r="H80" s="94" cm="1">
        <f t="array" ref="H80">SUM(SUMIFS('caseload data'!I:I,'caseload data'!$D:$D,"SPO",'caseload data'!$A:$A,"East Midlands Region",'caseload data'!$B:$B,{"licence","community"}))</f>
        <v>0</v>
      </c>
      <c r="I80" s="94" cm="1">
        <f t="array" ref="I80">SUM(SUMIFS('caseload data'!J:J,'caseload data'!$D:$D,"SPO",'caseload data'!$A:$A,"East Midlands Region",'caseload data'!$B:$B,{"licence","community"}))</f>
        <v>0</v>
      </c>
      <c r="J80" s="94" cm="1">
        <f t="array" ref="J80">SUM(SUMIFS('caseload data'!K:K,'caseload data'!$D:$D,"SPO",'caseload data'!$A:$A,"East Midlands Region",'caseload data'!$B:$B,{"licence","community"}))</f>
        <v>0</v>
      </c>
      <c r="K80" s="94" cm="1">
        <f t="array" ref="K80">SUM(SUMIFS('caseload data'!L:L,'caseload data'!$D:$D,"SPO",'caseload data'!$A:$A,"East Midlands Region",'caseload data'!$B:$B,{"licence","community"}))</f>
        <v>0</v>
      </c>
      <c r="L80" s="94" cm="1">
        <f t="array" ref="L80">SUM(SUMIFS('caseload data'!M:M,'caseload data'!$D:$D,"SPO",'caseload data'!$A:$A,"East Midlands Region",'caseload data'!$B:$B,{"licence","community"}))</f>
        <v>0</v>
      </c>
      <c r="M80" s="94" cm="1">
        <f t="array" ref="M80">SUM(SUMIFS('caseload data'!N:N,'caseload data'!$D:$D,"SPO",'caseload data'!$A:$A,"East Midlands Region",'caseload data'!$B:$B,{"licence","community"}))</f>
        <v>0</v>
      </c>
      <c r="N80" s="94" cm="1">
        <f t="array" ref="N80">SUM(SUMIFS('caseload data'!O:O,'caseload data'!$D:$D,"SPO",'caseload data'!$A:$A,"East Midlands Region",'caseload data'!$B:$B,{"licence","community"}))</f>
        <v>0</v>
      </c>
      <c r="O80" s="94" cm="1">
        <f t="array" ref="O80">SUM(SUMIFS('caseload data'!P:P,'caseload data'!$D:$D,"SPO",'caseload data'!$A:$A,"East Midlands Region",'caseload data'!$B:$B,{"licence","community"}))</f>
        <v>0</v>
      </c>
      <c r="P80" s="94" cm="1">
        <f t="array" ref="P80">SUM(SUMIFS('caseload data'!Q:Q,'caseload data'!$D:$D,"SPO",'caseload data'!$A:$A,"East Midlands Region",'caseload data'!$B:$B,{"licence","community"}))</f>
        <v>0</v>
      </c>
      <c r="Q80" s="94" cm="1">
        <f t="array" ref="Q80">SUM(SUMIFS('caseload data'!R:R,'caseload data'!$D:$D,"SPO",'caseload data'!$A:$A,"East Midlands Region",'caseload data'!$B:$B,{"licence","community"}))</f>
        <v>0</v>
      </c>
      <c r="R80" s="94" cm="1">
        <f t="array" ref="R80">SUM(SUMIFS('caseload data'!S:S,'caseload data'!$D:$D,"SPO",'caseload data'!$A:$A,"East Midlands Region",'caseload data'!$B:$B,{"licence","community"}))</f>
        <v>0</v>
      </c>
      <c r="S80" s="94" cm="1">
        <f t="array" ref="S80">SUM(SUMIFS('caseload data'!T:T,'caseload data'!$D:$D,"SPO",'caseload data'!$A:$A,"East Midlands Region",'caseload data'!$B:$B,{"licence","community"}))</f>
        <v>0</v>
      </c>
      <c r="T80" s="94" cm="1">
        <f t="array" ref="T80">SUM(SUMIFS('caseload data'!V:V,'caseload data'!$D:$D,"SPO",'caseload data'!$A:$A,"East Midlands Region",'caseload data'!$B:$B,{"licence","community"}))</f>
        <v>0</v>
      </c>
      <c r="U80" s="64"/>
      <c r="V80" s="64"/>
      <c r="W80" s="474"/>
      <c r="X80" s="129" t="s">
        <v>1004</v>
      </c>
      <c r="Y80" s="167" t="e">
        <f t="shared" si="47"/>
        <v>#DIV/0!</v>
      </c>
      <c r="Z80" s="167" t="e">
        <f t="shared" si="47"/>
        <v>#DIV/0!</v>
      </c>
      <c r="AA80" s="167" t="e">
        <f t="shared" si="47"/>
        <v>#DIV/0!</v>
      </c>
      <c r="AB80" s="167" t="e">
        <f t="shared" si="47"/>
        <v>#DIV/0!</v>
      </c>
      <c r="AC80" s="167" t="e">
        <f t="shared" si="48"/>
        <v>#DIV/0!</v>
      </c>
      <c r="AD80" s="167" t="e">
        <f t="shared" si="49"/>
        <v>#DIV/0!</v>
      </c>
      <c r="AE80" s="167" t="e">
        <f t="shared" si="46"/>
        <v>#DIV/0!</v>
      </c>
      <c r="AF80" s="167" t="e">
        <f t="shared" si="46"/>
        <v>#DIV/0!</v>
      </c>
      <c r="AG80" s="167" t="e">
        <f t="shared" si="46"/>
        <v>#DIV/0!</v>
      </c>
      <c r="AH80" s="167" t="e">
        <f t="shared" si="46"/>
        <v>#DIV/0!</v>
      </c>
      <c r="AI80" s="167" t="e">
        <f t="shared" si="46"/>
        <v>#DIV/0!</v>
      </c>
      <c r="AJ80" s="167" t="e">
        <f t="shared" si="46"/>
        <v>#DIV/0!</v>
      </c>
      <c r="AK80" s="167" t="e">
        <f t="shared" si="46"/>
        <v>#DIV/0!</v>
      </c>
      <c r="AL80" s="167" t="e">
        <f t="shared" si="46"/>
        <v>#DIV/0!</v>
      </c>
      <c r="AM80" s="167" t="e">
        <f t="shared" si="46"/>
        <v>#DIV/0!</v>
      </c>
      <c r="AN80" s="167" t="e">
        <f t="shared" si="46"/>
        <v>#DIV/0!</v>
      </c>
      <c r="AO80" s="167" t="e">
        <f t="shared" si="46"/>
        <v>#DIV/0!</v>
      </c>
    </row>
    <row r="81" spans="2:41" x14ac:dyDescent="0.15">
      <c r="B81" s="481"/>
      <c r="C81" s="130" t="s">
        <v>1339</v>
      </c>
      <c r="D81" s="370" cm="1">
        <f t="array" ref="D81">SUM(SUMIFS('caseload data'!E:E,'caseload data'!$D:$D,"DMY",'caseload data'!$A:$A,"East Midlands Region",'caseload data'!$B:$B,{"licence","community"}))</f>
        <v>0</v>
      </c>
      <c r="E81" s="370" cm="1">
        <f t="array" ref="E81">SUM(SUMIFS('caseload data'!F:F,'caseload data'!$D:$D,"DMY",'caseload data'!$A:$A,"East Midlands Region",'caseload data'!$B:$B,{"licence","community"}))</f>
        <v>0</v>
      </c>
      <c r="F81" s="370" cm="1">
        <f t="array" ref="F81">SUM(SUMIFS('caseload data'!G:G,'caseload data'!$D:$D,"DMY",'caseload data'!$A:$A,"East Midlands Region",'caseload data'!$B:$B,{"licence","community"}))</f>
        <v>0</v>
      </c>
      <c r="G81" s="370" cm="1">
        <f t="array" ref="G81">SUM(SUMIFS('caseload data'!H:H,'caseload data'!$D:$D,"DMY",'caseload data'!$A:$A,"East Midlands Region",'caseload data'!$B:$B,{"licence","community"}))</f>
        <v>0</v>
      </c>
      <c r="H81" s="370" cm="1">
        <f t="array" ref="H81">SUM(SUMIFS('caseload data'!I:I,'caseload data'!$D:$D,"DMY",'caseload data'!$A:$A,"East Midlands Region",'caseload data'!$B:$B,{"licence","community"}))</f>
        <v>0</v>
      </c>
      <c r="I81" s="370" cm="1">
        <f t="array" ref="I81">SUM(SUMIFS('caseload data'!J:J,'caseload data'!$D:$D,"DMY",'caseload data'!$A:$A,"East Midlands Region",'caseload data'!$B:$B,{"licence","community"}))</f>
        <v>0</v>
      </c>
      <c r="J81" s="370" cm="1">
        <f t="array" ref="J81">SUM(SUMIFS('caseload data'!K:K,'caseload data'!$D:$D,"DMY",'caseload data'!$A:$A,"East Midlands Region",'caseload data'!$B:$B,{"licence","community"}))</f>
        <v>0</v>
      </c>
      <c r="K81" s="370" cm="1">
        <f t="array" ref="K81">SUM(SUMIFS('caseload data'!L:L,'caseload data'!$D:$D,"DMY",'caseload data'!$A:$A,"East Midlands Region",'caseload data'!$B:$B,{"licence","community"}))</f>
        <v>0</v>
      </c>
      <c r="L81" s="370" cm="1">
        <f t="array" ref="L81">SUM(SUMIFS('caseload data'!M:M,'caseload data'!$D:$D,"DMY",'caseload data'!$A:$A,"East Midlands Region",'caseload data'!$B:$B,{"licence","community"}))</f>
        <v>0</v>
      </c>
      <c r="M81" s="370" cm="1">
        <f t="array" ref="M81">SUM(SUMIFS('caseload data'!N:N,'caseload data'!$D:$D,"DMY",'caseload data'!$A:$A,"East Midlands Region",'caseload data'!$B:$B,{"licence","community"}))</f>
        <v>0</v>
      </c>
      <c r="N81" s="370" cm="1">
        <f t="array" ref="N81">SUM(SUMIFS('caseload data'!O:O,'caseload data'!$D:$D,"DMY",'caseload data'!$A:$A,"East Midlands Region",'caseload data'!$B:$B,{"licence","community"}))</f>
        <v>0</v>
      </c>
      <c r="O81" s="370" cm="1">
        <f t="array" ref="O81">SUM(SUMIFS('caseload data'!P:P,'caseload data'!$D:$D,"DMY",'caseload data'!$A:$A,"East Midlands Region",'caseload data'!$B:$B,{"licence","community"}))</f>
        <v>0</v>
      </c>
      <c r="P81" s="370" cm="1">
        <f t="array" ref="P81">SUM(SUMIFS('caseload data'!Q:Q,'caseload data'!$D:$D,"DMY",'caseload data'!$A:$A,"East Midlands Region",'caseload data'!$B:$B,{"licence","community"}))</f>
        <v>0</v>
      </c>
      <c r="Q81" s="370" cm="1">
        <f t="array" ref="Q81">SUM(SUMIFS('caseload data'!R:R,'caseload data'!$D:$D,"DMY",'caseload data'!$A:$A,"East Midlands Region",'caseload data'!$B:$B,{"licence","community"}))</f>
        <v>0</v>
      </c>
      <c r="R81" s="370" cm="1">
        <f t="array" ref="R81">SUM(SUMIFS('caseload data'!S:S,'caseload data'!$D:$D,"DMY",'caseload data'!$A:$A,"East Midlands Region",'caseload data'!$B:$B,{"licence","community"}))</f>
        <v>0</v>
      </c>
      <c r="S81" s="370" cm="1">
        <f t="array" ref="S81">SUM(SUMIFS('caseload data'!T:T,'caseload data'!$D:$D,"DMY",'caseload data'!$A:$A,"East Midlands Region",'caseload data'!$B:$B,{"licence","community"}))</f>
        <v>0</v>
      </c>
      <c r="T81" s="94" cm="1">
        <f t="array" ref="T81">SUM(SUMIFS('caseload data'!V:V,'caseload data'!$D:$D,"DMY",'caseload data'!$A:$A,"East Midlands Region",'caseload data'!$B:$B,{"licence","community"}))</f>
        <v>0</v>
      </c>
      <c r="U81" s="64"/>
      <c r="V81" s="64"/>
      <c r="W81" s="475"/>
      <c r="X81" s="130" t="s">
        <v>1339</v>
      </c>
      <c r="Y81" s="167" t="e">
        <f t="shared" si="47"/>
        <v>#DIV/0!</v>
      </c>
      <c r="Z81" s="167" t="e">
        <f t="shared" si="47"/>
        <v>#DIV/0!</v>
      </c>
      <c r="AA81" s="167" t="e">
        <f t="shared" si="47"/>
        <v>#DIV/0!</v>
      </c>
      <c r="AB81" s="167" t="e">
        <f t="shared" si="47"/>
        <v>#DIV/0!</v>
      </c>
      <c r="AC81" s="167" t="e">
        <f t="shared" si="48"/>
        <v>#DIV/0!</v>
      </c>
      <c r="AD81" s="167" t="e">
        <f t="shared" si="49"/>
        <v>#DIV/0!</v>
      </c>
      <c r="AE81" s="167" t="e">
        <f t="shared" si="46"/>
        <v>#DIV/0!</v>
      </c>
      <c r="AF81" s="167" t="e">
        <f t="shared" si="46"/>
        <v>#DIV/0!</v>
      </c>
      <c r="AG81" s="167" t="e">
        <f t="shared" si="46"/>
        <v>#DIV/0!</v>
      </c>
      <c r="AH81" s="167" t="e">
        <f t="shared" si="46"/>
        <v>#DIV/0!</v>
      </c>
      <c r="AI81" s="167" t="e">
        <f t="shared" si="46"/>
        <v>#DIV/0!</v>
      </c>
      <c r="AJ81" s="167" t="e">
        <f t="shared" si="46"/>
        <v>#DIV/0!</v>
      </c>
      <c r="AK81" s="167" t="e">
        <f t="shared" si="46"/>
        <v>#DIV/0!</v>
      </c>
      <c r="AL81" s="167" t="e">
        <f t="shared" si="46"/>
        <v>#DIV/0!</v>
      </c>
      <c r="AM81" s="167" t="e">
        <f t="shared" si="46"/>
        <v>#DIV/0!</v>
      </c>
      <c r="AN81" s="167" t="e">
        <f t="shared" si="46"/>
        <v>#DIV/0!</v>
      </c>
      <c r="AO81" s="167" t="e">
        <f t="shared" si="46"/>
        <v>#DIV/0!</v>
      </c>
    </row>
    <row r="82" spans="2:41" x14ac:dyDescent="0.15">
      <c r="B82" s="473" t="s">
        <v>18</v>
      </c>
      <c r="C82" s="128" t="s">
        <v>997</v>
      </c>
      <c r="D82" s="94" cm="1">
        <f t="array" ref="D82">SUM(SUMIFS('caseload data'!E:E,'caseload data'!$D:$D,"PO",'caseload data'!$A:$A,_xlfn.SINGLE('national caseload'!$B$82:$B$84),'caseload data'!$B:$B,{"licence","community"}))</f>
        <v>0</v>
      </c>
      <c r="E82" s="94" cm="1">
        <f t="array" ref="E82">SUM(SUMIFS('caseload data'!F:F,'caseload data'!$D:$D,"PO",'caseload data'!$A:$A,_xlfn.SINGLE('national caseload'!$B$82:$B$84),'caseload data'!$B:$B,{"licence","community"}))</f>
        <v>0</v>
      </c>
      <c r="F82" s="94" cm="1">
        <f t="array" ref="F82">SUM(SUMIFS('caseload data'!G:G,'caseload data'!$D:$D,"PO",'caseload data'!$A:$A,_xlfn.SINGLE('national caseload'!$B$82:$B$84),'caseload data'!$B:$B,{"licence","community"}))</f>
        <v>0</v>
      </c>
      <c r="G82" s="94" cm="1">
        <f t="array" ref="G82">SUM(SUMIFS('caseload data'!H:H,'caseload data'!$D:$D,"PO",'caseload data'!$A:$A,_xlfn.SINGLE('national caseload'!$B$82:$B$84),'caseload data'!$B:$B,{"licence","community"}))</f>
        <v>0</v>
      </c>
      <c r="H82" s="94" cm="1">
        <f t="array" ref="H82">SUM(SUMIFS('caseload data'!I:I,'caseload data'!$D:$D,"PO",'caseload data'!$A:$A,_xlfn.SINGLE('national caseload'!$B$82:$B$84),'caseload data'!$B:$B,{"licence","community"}))</f>
        <v>0</v>
      </c>
      <c r="I82" s="94" cm="1">
        <f t="array" ref="I82">SUM(SUMIFS('caseload data'!J:J,'caseload data'!$D:$D,"PO",'caseload data'!$A:$A,_xlfn.SINGLE('national caseload'!$B$82:$B$84),'caseload data'!$B:$B,{"licence","community"}))</f>
        <v>0</v>
      </c>
      <c r="J82" s="94" cm="1">
        <f t="array" ref="J82">SUM(SUMIFS('caseload data'!K:K,'caseload data'!$D:$D,"PO",'caseload data'!$A:$A,_xlfn.SINGLE('national caseload'!$B$82:$B$84),'caseload data'!$B:$B,{"licence","community"}))</f>
        <v>0</v>
      </c>
      <c r="K82" s="94" cm="1">
        <f t="array" ref="K82">SUM(SUMIFS('caseload data'!L:L,'caseload data'!$D:$D,"PO",'caseload data'!$A:$A,_xlfn.SINGLE('national caseload'!$B$82:$B$84),'caseload data'!$B:$B,{"licence","community"}))</f>
        <v>0</v>
      </c>
      <c r="L82" s="94" cm="1">
        <f t="array" ref="L82">SUM(SUMIFS('caseload data'!M:M,'caseload data'!$D:$D,"PO",'caseload data'!$A:$A,_xlfn.SINGLE('national caseload'!$B$82:$B$84),'caseload data'!$B:$B,{"licence","community"}))</f>
        <v>0</v>
      </c>
      <c r="M82" s="94" cm="1">
        <f t="array" ref="M82">SUM(SUMIFS('caseload data'!N:N,'caseload data'!$D:$D,"PO",'caseload data'!$A:$A,_xlfn.SINGLE('national caseload'!$B$82:$B$84),'caseload data'!$B:$B,{"licence","community"}))</f>
        <v>0</v>
      </c>
      <c r="N82" s="94" cm="1">
        <f t="array" ref="N82">SUM(SUMIFS('caseload data'!O:O,'caseload data'!$D:$D,"PO",'caseload data'!$A:$A,_xlfn.SINGLE('national caseload'!$B$82:$B$84),'caseload data'!$B:$B,{"licence","community"}))</f>
        <v>0</v>
      </c>
      <c r="O82" s="94" cm="1">
        <f t="array" ref="O82">SUM(SUMIFS('caseload data'!P:P,'caseload data'!$D:$D,"PO",'caseload data'!$A:$A,_xlfn.SINGLE('national caseload'!$B$82:$B$84),'caseload data'!$B:$B,{"licence","community"}))</f>
        <v>0</v>
      </c>
      <c r="P82" s="94" cm="1">
        <f t="array" ref="P82">SUM(SUMIFS('caseload data'!Q:Q,'caseload data'!$D:$D,"PO",'caseload data'!$A:$A,_xlfn.SINGLE('national caseload'!$B$82:$B$84),'caseload data'!$B:$B,{"licence","community"}))</f>
        <v>0</v>
      </c>
      <c r="Q82" s="94" cm="1">
        <f t="array" ref="Q82">SUM(SUMIFS('caseload data'!R:R,'caseload data'!$D:$D,"PO",'caseload data'!$A:$A,_xlfn.SINGLE('national caseload'!$B$82:$B$84),'caseload data'!$B:$B,{"licence","community"}))</f>
        <v>0</v>
      </c>
      <c r="R82" s="94" cm="1">
        <f t="array" ref="R82">SUM(SUMIFS('caseload data'!S:S,'caseload data'!$D:$D,"PO",'caseload data'!$A:$A,_xlfn.SINGLE('national caseload'!$B$82:$B$84),'caseload data'!$B:$B,{"licence","community"}))</f>
        <v>0</v>
      </c>
      <c r="S82" s="94" cm="1">
        <f t="array" ref="S82">SUM(SUMIFS('caseload data'!T:T,'caseload data'!$D:$D,"PO",'caseload data'!$A:$A,_xlfn.SINGLE('national caseload'!$B$82:$B$84),'caseload data'!$B:$B,{"licence","community"}))</f>
        <v>0</v>
      </c>
      <c r="T82" s="94">
        <f>SUM(SUMIFS('caseload data'!V:V,'caseload data'!D:D,"PO",'caseload data'!A:A,'national caseload'!B82:B84,'caseload data'!B:B,{"licence","community"}))</f>
        <v>0</v>
      </c>
      <c r="U82" s="64"/>
      <c r="V82" s="64"/>
      <c r="W82" s="473" t="s">
        <v>18</v>
      </c>
      <c r="X82" s="128" t="s">
        <v>997</v>
      </c>
      <c r="Y82" s="167" t="e">
        <f>SUM(D82)/SUM(D$82:D$86)</f>
        <v>#DIV/0!</v>
      </c>
      <c r="Z82" s="167" t="e">
        <f t="shared" ref="Z82:AO86" si="50">SUM(E82)/SUM(E$82:E$86)</f>
        <v>#DIV/0!</v>
      </c>
      <c r="AA82" s="167" t="e">
        <f t="shared" si="50"/>
        <v>#DIV/0!</v>
      </c>
      <c r="AB82" s="167" t="e">
        <f t="shared" si="50"/>
        <v>#DIV/0!</v>
      </c>
      <c r="AC82" s="167" t="e">
        <f t="shared" si="50"/>
        <v>#DIV/0!</v>
      </c>
      <c r="AD82" s="167" t="e">
        <f t="shared" si="50"/>
        <v>#DIV/0!</v>
      </c>
      <c r="AE82" s="167" t="e">
        <f t="shared" si="50"/>
        <v>#DIV/0!</v>
      </c>
      <c r="AF82" s="167" t="e">
        <f t="shared" si="50"/>
        <v>#DIV/0!</v>
      </c>
      <c r="AG82" s="167" t="e">
        <f t="shared" si="50"/>
        <v>#DIV/0!</v>
      </c>
      <c r="AH82" s="167" t="e">
        <f t="shared" si="50"/>
        <v>#DIV/0!</v>
      </c>
      <c r="AI82" s="167" t="e">
        <f t="shared" si="50"/>
        <v>#DIV/0!</v>
      </c>
      <c r="AJ82" s="167" t="e">
        <f t="shared" si="50"/>
        <v>#DIV/0!</v>
      </c>
      <c r="AK82" s="167" t="e">
        <f t="shared" si="50"/>
        <v>#DIV/0!</v>
      </c>
      <c r="AL82" s="167" t="e">
        <f t="shared" si="50"/>
        <v>#DIV/0!</v>
      </c>
      <c r="AM82" s="167" t="e">
        <f t="shared" si="50"/>
        <v>#DIV/0!</v>
      </c>
      <c r="AN82" s="167" t="e">
        <f t="shared" si="50"/>
        <v>#DIV/0!</v>
      </c>
      <c r="AO82" s="167" t="e">
        <f t="shared" si="50"/>
        <v>#DIV/0!</v>
      </c>
    </row>
    <row r="83" spans="2:41" x14ac:dyDescent="0.15">
      <c r="B83" s="474"/>
      <c r="C83" s="129" t="s">
        <v>1002</v>
      </c>
      <c r="D83" s="94" cm="1">
        <f t="array" ref="D83">SUM(SUMIFS('caseload data'!E:E,'caseload data'!$D:$D,"PSO",'caseload data'!$A:$A,"East of England",'caseload data'!$B:$B,{"licence","community"}))</f>
        <v>0</v>
      </c>
      <c r="E83" s="94" cm="1">
        <f t="array" ref="E83">SUM(SUMIFS('caseload data'!F:F,'caseload data'!$D:$D,"PSO",'caseload data'!$A:$A,"East of England",'caseload data'!$B:$B,{"licence","community"}))</f>
        <v>0</v>
      </c>
      <c r="F83" s="94" cm="1">
        <f t="array" ref="F83">SUM(SUMIFS('caseload data'!G:G,'caseload data'!$D:$D,"PSO",'caseload data'!$A:$A,"East of England",'caseload data'!$B:$B,{"licence","community"}))</f>
        <v>0</v>
      </c>
      <c r="G83" s="94" cm="1">
        <f t="array" ref="G83">SUM(SUMIFS('caseload data'!H:H,'caseload data'!$D:$D,"PSO",'caseload data'!$A:$A,"East of England",'caseload data'!$B:$B,{"licence","community"}))</f>
        <v>0</v>
      </c>
      <c r="H83" s="94" cm="1">
        <f t="array" ref="H83">SUM(SUMIFS('caseload data'!I:I,'caseload data'!$D:$D,"PSO",'caseload data'!$A:$A,"East of England",'caseload data'!$B:$B,{"licence","community"}))</f>
        <v>0</v>
      </c>
      <c r="I83" s="94" cm="1">
        <f t="array" ref="I83">SUM(SUMIFS('caseload data'!J:J,'caseload data'!$D:$D,"PSO",'caseload data'!$A:$A,"East of England",'caseload data'!$B:$B,{"licence","community"}))</f>
        <v>0</v>
      </c>
      <c r="J83" s="94" cm="1">
        <f t="array" ref="J83">SUM(SUMIFS('caseload data'!K:K,'caseload data'!$D:$D,"PSO",'caseload data'!$A:$A,"East of England",'caseload data'!$B:$B,{"licence","community"}))</f>
        <v>0</v>
      </c>
      <c r="K83" s="94" cm="1">
        <f t="array" ref="K83">SUM(SUMIFS('caseload data'!L:L,'caseload data'!$D:$D,"PSO",'caseload data'!$A:$A,"East of England",'caseload data'!$B:$B,{"licence","community"}))</f>
        <v>0</v>
      </c>
      <c r="L83" s="94" cm="1">
        <f t="array" ref="L83">SUM(SUMIFS('caseload data'!M:M,'caseload data'!$D:$D,"PSO",'caseload data'!$A:$A,"East of England",'caseload data'!$B:$B,{"licence","community"}))</f>
        <v>0</v>
      </c>
      <c r="M83" s="94" cm="1">
        <f t="array" ref="M83">SUM(SUMIFS('caseload data'!N:N,'caseload data'!$D:$D,"PSO",'caseload data'!$A:$A,"East of England",'caseload data'!$B:$B,{"licence","community"}))</f>
        <v>0</v>
      </c>
      <c r="N83" s="94" cm="1">
        <f t="array" ref="N83">SUM(SUMIFS('caseload data'!O:O,'caseload data'!$D:$D,"PSO",'caseload data'!$A:$A,"East of England",'caseload data'!$B:$B,{"licence","community"}))</f>
        <v>0</v>
      </c>
      <c r="O83" s="94" cm="1">
        <f t="array" ref="O83">SUM(SUMIFS('caseload data'!P:P,'caseload data'!$D:$D,"PSO",'caseload data'!$A:$A,"East of England",'caseload data'!$B:$B,{"licence","community"}))</f>
        <v>0</v>
      </c>
      <c r="P83" s="94" cm="1">
        <f t="array" ref="P83">SUM(SUMIFS('caseload data'!Q:Q,'caseload data'!$D:$D,"PSO",'caseload data'!$A:$A,"East of England",'caseload data'!$B:$B,{"licence","community"}))</f>
        <v>0</v>
      </c>
      <c r="Q83" s="94" cm="1">
        <f t="array" ref="Q83">SUM(SUMIFS('caseload data'!R:R,'caseload data'!$D:$D,"PSO",'caseload data'!$A:$A,"East of England",'caseload data'!$B:$B,{"licence","community"}))</f>
        <v>0</v>
      </c>
      <c r="R83" s="94" cm="1">
        <f t="array" ref="R83">SUM(SUMIFS('caseload data'!S:S,'caseload data'!$D:$D,"PSO",'caseload data'!$A:$A,"East of England",'caseload data'!$B:$B,{"licence","community"}))</f>
        <v>0</v>
      </c>
      <c r="S83" s="94" cm="1">
        <f t="array" ref="S83">SUM(SUMIFS('caseload data'!T:T,'caseload data'!$D:$D,"PSO",'caseload data'!$A:$A,"East of England",'caseload data'!$B:$B,{"licence","community"}))</f>
        <v>0</v>
      </c>
      <c r="T83" s="94" cm="1">
        <f t="array" ref="T83">SUM(SUMIFS('caseload data'!V:V,'caseload data'!D:D,"PSO",'caseload data'!A:A,"East of England",'caseload data'!B:B,{"licence","community"}))</f>
        <v>0</v>
      </c>
      <c r="U83" s="64"/>
      <c r="V83" s="64"/>
      <c r="W83" s="474"/>
      <c r="X83" s="129" t="s">
        <v>1002</v>
      </c>
      <c r="Y83" s="167" t="e">
        <f t="shared" ref="Y83:Y86" si="51">SUM(D83)/SUM(D$82:D$86)</f>
        <v>#DIV/0!</v>
      </c>
      <c r="Z83" s="167" t="e">
        <f t="shared" si="50"/>
        <v>#DIV/0!</v>
      </c>
      <c r="AA83" s="167" t="e">
        <f t="shared" si="50"/>
        <v>#DIV/0!</v>
      </c>
      <c r="AB83" s="167" t="e">
        <f t="shared" si="50"/>
        <v>#DIV/0!</v>
      </c>
      <c r="AC83" s="167" t="e">
        <f t="shared" si="50"/>
        <v>#DIV/0!</v>
      </c>
      <c r="AD83" s="167" t="e">
        <f t="shared" si="50"/>
        <v>#DIV/0!</v>
      </c>
      <c r="AE83" s="167" t="e">
        <f t="shared" si="50"/>
        <v>#DIV/0!</v>
      </c>
      <c r="AF83" s="167" t="e">
        <f t="shared" si="50"/>
        <v>#DIV/0!</v>
      </c>
      <c r="AG83" s="167" t="e">
        <f t="shared" si="50"/>
        <v>#DIV/0!</v>
      </c>
      <c r="AH83" s="167" t="e">
        <f t="shared" si="50"/>
        <v>#DIV/0!</v>
      </c>
      <c r="AI83" s="167" t="e">
        <f t="shared" si="50"/>
        <v>#DIV/0!</v>
      </c>
      <c r="AJ83" s="167" t="e">
        <f t="shared" si="50"/>
        <v>#DIV/0!</v>
      </c>
      <c r="AK83" s="167" t="e">
        <f t="shared" si="50"/>
        <v>#DIV/0!</v>
      </c>
      <c r="AL83" s="167" t="e">
        <f t="shared" si="50"/>
        <v>#DIV/0!</v>
      </c>
      <c r="AM83" s="167" t="e">
        <f t="shared" si="50"/>
        <v>#DIV/0!</v>
      </c>
      <c r="AN83" s="167" t="e">
        <f t="shared" si="50"/>
        <v>#DIV/0!</v>
      </c>
      <c r="AO83" s="167" t="e">
        <f t="shared" si="50"/>
        <v>#DIV/0!</v>
      </c>
    </row>
    <row r="84" spans="2:41" x14ac:dyDescent="0.15">
      <c r="B84" s="474"/>
      <c r="C84" s="129" t="s">
        <v>1003</v>
      </c>
      <c r="D84" s="94" cm="1">
        <f t="array" ref="D84">SUM(SUMIFS('caseload data'!E:E,'caseload data'!$D:$D,"TPO",'caseload data'!$A:$A,"East of England",'caseload data'!$B:$B,{"licence","community"}))</f>
        <v>0</v>
      </c>
      <c r="E84" s="94" cm="1">
        <f t="array" ref="E84">SUM(SUMIFS('caseload data'!F:F,'caseload data'!$D:$D,"TPO",'caseload data'!$A:$A,"East of England",'caseload data'!$B:$B,{"licence","community"}))</f>
        <v>0</v>
      </c>
      <c r="F84" s="94" cm="1">
        <f t="array" ref="F84">SUM(SUMIFS('caseload data'!G:G,'caseload data'!$D:$D,"TPO",'caseload data'!$A:$A,"East of England",'caseload data'!$B:$B,{"licence","community"}))</f>
        <v>0</v>
      </c>
      <c r="G84" s="94" cm="1">
        <f t="array" ref="G84">SUM(SUMIFS('caseload data'!H:H,'caseload data'!$D:$D,"TPO",'caseload data'!$A:$A,"East of England",'caseload data'!$B:$B,{"licence","community"}))</f>
        <v>0</v>
      </c>
      <c r="H84" s="94" cm="1">
        <f t="array" ref="H84">SUM(SUMIFS('caseload data'!I:I,'caseload data'!$D:$D,"TPO",'caseload data'!$A:$A,"East of England",'caseload data'!$B:$B,{"licence","community"}))</f>
        <v>0</v>
      </c>
      <c r="I84" s="94" cm="1">
        <f t="array" ref="I84">SUM(SUMIFS('caseload data'!J:J,'caseload data'!$D:$D,"TPO",'caseload data'!$A:$A,"East of England",'caseload data'!$B:$B,{"licence","community"}))</f>
        <v>0</v>
      </c>
      <c r="J84" s="94" cm="1">
        <f t="array" ref="J84">SUM(SUMIFS('caseload data'!K:K,'caseload data'!$D:$D,"TPO",'caseload data'!$A:$A,"East of England",'caseload data'!$B:$B,{"licence","community"}))</f>
        <v>0</v>
      </c>
      <c r="K84" s="94" cm="1">
        <f t="array" ref="K84">SUM(SUMIFS('caseload data'!L:L,'caseload data'!$D:$D,"TPO",'caseload data'!$A:$A,"East of England",'caseload data'!$B:$B,{"licence","community"}))</f>
        <v>0</v>
      </c>
      <c r="L84" s="94" cm="1">
        <f t="array" ref="L84">SUM(SUMIFS('caseload data'!M:M,'caseload data'!$D:$D,"TPO",'caseload data'!$A:$A,"East of England",'caseload data'!$B:$B,{"licence","community"}))</f>
        <v>0</v>
      </c>
      <c r="M84" s="94" cm="1">
        <f t="array" ref="M84">SUM(SUMIFS('caseload data'!N:N,'caseload data'!$D:$D,"TPO",'caseload data'!$A:$A,"East of England",'caseload data'!$B:$B,{"licence","community"}))</f>
        <v>0</v>
      </c>
      <c r="N84" s="94" cm="1">
        <f t="array" ref="N84">SUM(SUMIFS('caseload data'!O:O,'caseload data'!$D:$D,"TPO",'caseload data'!$A:$A,"East of England",'caseload data'!$B:$B,{"licence","community"}))</f>
        <v>0</v>
      </c>
      <c r="O84" s="94" cm="1">
        <f t="array" ref="O84">SUM(SUMIFS('caseload data'!P:P,'caseload data'!$D:$D,"TPO",'caseload data'!$A:$A,"East of England",'caseload data'!$B:$B,{"licence","community"}))</f>
        <v>0</v>
      </c>
      <c r="P84" s="94" cm="1">
        <f t="array" ref="P84">SUM(SUMIFS('caseload data'!Q:Q,'caseload data'!$D:$D,"TPO",'caseload data'!$A:$A,"East of England",'caseload data'!$B:$B,{"licence","community"}))</f>
        <v>0</v>
      </c>
      <c r="Q84" s="94" cm="1">
        <f t="array" ref="Q84">SUM(SUMIFS('caseload data'!R:R,'caseload data'!$D:$D,"TPO",'caseload data'!$A:$A,"East of England",'caseload data'!$B:$B,{"licence","community"}))</f>
        <v>0</v>
      </c>
      <c r="R84" s="94" cm="1">
        <f t="array" ref="R84">SUM(SUMIFS('caseload data'!S:S,'caseload data'!$D:$D,"TPO",'caseload data'!$A:$A,"East of England",'caseload data'!$B:$B,{"licence","community"}))</f>
        <v>0</v>
      </c>
      <c r="S84" s="94" cm="1">
        <f t="array" ref="S84">SUM(SUMIFS('caseload data'!T:T,'caseload data'!$D:$D,"TPO",'caseload data'!$A:$A,"East of England",'caseload data'!$B:$B,{"licence","community"}))</f>
        <v>0</v>
      </c>
      <c r="T84" s="94" cm="1">
        <f t="array" ref="T84">SUM(SUMIFS('caseload data'!V:V,'caseload data'!D:D,"TPO",'caseload data'!A:A,"East of England",'caseload data'!B:B,{"licence","community"}))</f>
        <v>0</v>
      </c>
      <c r="U84" s="64"/>
      <c r="V84" s="64"/>
      <c r="W84" s="474"/>
      <c r="X84" s="129" t="s">
        <v>1003</v>
      </c>
      <c r="Y84" s="167" t="e">
        <f t="shared" si="51"/>
        <v>#DIV/0!</v>
      </c>
      <c r="Z84" s="167" t="e">
        <f t="shared" si="50"/>
        <v>#DIV/0!</v>
      </c>
      <c r="AA84" s="167" t="e">
        <f t="shared" si="50"/>
        <v>#DIV/0!</v>
      </c>
      <c r="AB84" s="167" t="e">
        <f t="shared" si="50"/>
        <v>#DIV/0!</v>
      </c>
      <c r="AC84" s="167" t="e">
        <f t="shared" si="50"/>
        <v>#DIV/0!</v>
      </c>
      <c r="AD84" s="167" t="e">
        <f t="shared" si="50"/>
        <v>#DIV/0!</v>
      </c>
      <c r="AE84" s="167" t="e">
        <f t="shared" si="50"/>
        <v>#DIV/0!</v>
      </c>
      <c r="AF84" s="167" t="e">
        <f t="shared" si="50"/>
        <v>#DIV/0!</v>
      </c>
      <c r="AG84" s="167" t="e">
        <f t="shared" si="50"/>
        <v>#DIV/0!</v>
      </c>
      <c r="AH84" s="167" t="e">
        <f t="shared" si="50"/>
        <v>#DIV/0!</v>
      </c>
      <c r="AI84" s="167" t="e">
        <f t="shared" si="50"/>
        <v>#DIV/0!</v>
      </c>
      <c r="AJ84" s="167" t="e">
        <f t="shared" si="50"/>
        <v>#DIV/0!</v>
      </c>
      <c r="AK84" s="167" t="e">
        <f t="shared" si="50"/>
        <v>#DIV/0!</v>
      </c>
      <c r="AL84" s="167" t="e">
        <f t="shared" si="50"/>
        <v>#DIV/0!</v>
      </c>
      <c r="AM84" s="167" t="e">
        <f t="shared" si="50"/>
        <v>#DIV/0!</v>
      </c>
      <c r="AN84" s="167" t="e">
        <f t="shared" si="50"/>
        <v>#DIV/0!</v>
      </c>
      <c r="AO84" s="167" t="e">
        <f t="shared" si="50"/>
        <v>#DIV/0!</v>
      </c>
    </row>
    <row r="85" spans="2:41" x14ac:dyDescent="0.15">
      <c r="B85" s="474"/>
      <c r="C85" s="129" t="s">
        <v>1004</v>
      </c>
      <c r="D85" s="94" cm="1">
        <f t="array" ref="D85">SUM(SUMIFS('caseload data'!E:E,'caseload data'!$D:$D,"SPO",'caseload data'!$A:$A,"East of England",'caseload data'!$B:$B,{"licence","community"}))</f>
        <v>0</v>
      </c>
      <c r="E85" s="94" cm="1">
        <f t="array" ref="E85">SUM(SUMIFS('caseload data'!F:F,'caseload data'!$D:$D,"SPO",'caseload data'!$A:$A,"East of England",'caseload data'!$B:$B,{"licence","community"}))</f>
        <v>0</v>
      </c>
      <c r="F85" s="94" cm="1">
        <f t="array" ref="F85">SUM(SUMIFS('caseload data'!G:G,'caseload data'!$D:$D,"SPO",'caseload data'!$A:$A,"East of England",'caseload data'!$B:$B,{"licence","community"}))</f>
        <v>0</v>
      </c>
      <c r="G85" s="94" cm="1">
        <f t="array" ref="G85">SUM(SUMIFS('caseload data'!H:H,'caseload data'!$D:$D,"SPO",'caseload data'!$A:$A,"East of England",'caseload data'!$B:$B,{"licence","community"}))</f>
        <v>0</v>
      </c>
      <c r="H85" s="94" cm="1">
        <f t="array" ref="H85">SUM(SUMIFS('caseload data'!I:I,'caseload data'!$D:$D,"SPO",'caseload data'!$A:$A,"East of England",'caseload data'!$B:$B,{"licence","community"}))</f>
        <v>0</v>
      </c>
      <c r="I85" s="94" cm="1">
        <f t="array" ref="I85">SUM(SUMIFS('caseload data'!J:J,'caseload data'!$D:$D,"SPO",'caseload data'!$A:$A,"East of England",'caseload data'!$B:$B,{"licence","community"}))</f>
        <v>0</v>
      </c>
      <c r="J85" s="94" cm="1">
        <f t="array" ref="J85">SUM(SUMIFS('caseload data'!K:K,'caseload data'!$D:$D,"SPO",'caseload data'!$A:$A,"East of England",'caseload data'!$B:$B,{"licence","community"}))</f>
        <v>0</v>
      </c>
      <c r="K85" s="94" cm="1">
        <f t="array" ref="K85">SUM(SUMIFS('caseload data'!L:L,'caseload data'!$D:$D,"SPO",'caseload data'!$A:$A,"East of England",'caseload data'!$B:$B,{"licence","community"}))</f>
        <v>0</v>
      </c>
      <c r="L85" s="94" cm="1">
        <f t="array" ref="L85">SUM(SUMIFS('caseload data'!M:M,'caseload data'!$D:$D,"SPO",'caseload data'!$A:$A,"East of England",'caseload data'!$B:$B,{"licence","community"}))</f>
        <v>0</v>
      </c>
      <c r="M85" s="94" cm="1">
        <f t="array" ref="M85">SUM(SUMIFS('caseload data'!N:N,'caseload data'!$D:$D,"SPO",'caseload data'!$A:$A,"East of England",'caseload data'!$B:$B,{"licence","community"}))</f>
        <v>0</v>
      </c>
      <c r="N85" s="94" cm="1">
        <f t="array" ref="N85">SUM(SUMIFS('caseload data'!O:O,'caseload data'!$D:$D,"SPO",'caseload data'!$A:$A,"East of England",'caseload data'!$B:$B,{"licence","community"}))</f>
        <v>0</v>
      </c>
      <c r="O85" s="94" cm="1">
        <f t="array" ref="O85">SUM(SUMIFS('caseload data'!P:P,'caseload data'!$D:$D,"SPO",'caseload data'!$A:$A,"East of England",'caseload data'!$B:$B,{"licence","community"}))</f>
        <v>0</v>
      </c>
      <c r="P85" s="94" cm="1">
        <f t="array" ref="P85">SUM(SUMIFS('caseload data'!Q:Q,'caseload data'!$D:$D,"SPO",'caseload data'!$A:$A,"East of England",'caseload data'!$B:$B,{"licence","community"}))</f>
        <v>0</v>
      </c>
      <c r="Q85" s="94" cm="1">
        <f t="array" ref="Q85">SUM(SUMIFS('caseload data'!R:R,'caseload data'!$D:$D,"SPO",'caseload data'!$A:$A,"East of England",'caseload data'!$B:$B,{"licence","community"}))</f>
        <v>0</v>
      </c>
      <c r="R85" s="94" cm="1">
        <f t="array" ref="R85">SUM(SUMIFS('caseload data'!S:S,'caseload data'!$D:$D,"SPO",'caseload data'!$A:$A,"East of England",'caseload data'!$B:$B,{"licence","community"}))</f>
        <v>0</v>
      </c>
      <c r="S85" s="94" cm="1">
        <f t="array" ref="S85">SUM(SUMIFS('caseload data'!T:T,'caseload data'!$D:$D,"SPO",'caseload data'!$A:$A,"East of England",'caseload data'!$B:$B,{"licence","community"}))</f>
        <v>0</v>
      </c>
      <c r="T85" s="94" cm="1">
        <f t="array" ref="T85">SUM(SUMIFS('caseload data'!V:V,'caseload data'!$D:$D,"SPO",'caseload data'!$A:$A,"East of England",'caseload data'!$B:$B,{"licence","community"}))</f>
        <v>0</v>
      </c>
      <c r="U85" s="64"/>
      <c r="V85" s="64"/>
      <c r="W85" s="474"/>
      <c r="X85" s="129" t="s">
        <v>1004</v>
      </c>
      <c r="Y85" s="167" t="e">
        <f t="shared" si="51"/>
        <v>#DIV/0!</v>
      </c>
      <c r="Z85" s="167" t="e">
        <f t="shared" si="50"/>
        <v>#DIV/0!</v>
      </c>
      <c r="AA85" s="167" t="e">
        <f t="shared" si="50"/>
        <v>#DIV/0!</v>
      </c>
      <c r="AB85" s="167" t="e">
        <f t="shared" si="50"/>
        <v>#DIV/0!</v>
      </c>
      <c r="AC85" s="167" t="e">
        <f t="shared" si="50"/>
        <v>#DIV/0!</v>
      </c>
      <c r="AD85" s="167" t="e">
        <f t="shared" si="50"/>
        <v>#DIV/0!</v>
      </c>
      <c r="AE85" s="167" t="e">
        <f t="shared" si="50"/>
        <v>#DIV/0!</v>
      </c>
      <c r="AF85" s="167" t="e">
        <f t="shared" si="50"/>
        <v>#DIV/0!</v>
      </c>
      <c r="AG85" s="167" t="e">
        <f t="shared" si="50"/>
        <v>#DIV/0!</v>
      </c>
      <c r="AH85" s="167" t="e">
        <f t="shared" si="50"/>
        <v>#DIV/0!</v>
      </c>
      <c r="AI85" s="167" t="e">
        <f t="shared" si="50"/>
        <v>#DIV/0!</v>
      </c>
      <c r="AJ85" s="167" t="e">
        <f t="shared" si="50"/>
        <v>#DIV/0!</v>
      </c>
      <c r="AK85" s="167" t="e">
        <f t="shared" si="50"/>
        <v>#DIV/0!</v>
      </c>
      <c r="AL85" s="167" t="e">
        <f t="shared" si="50"/>
        <v>#DIV/0!</v>
      </c>
      <c r="AM85" s="167" t="e">
        <f t="shared" si="50"/>
        <v>#DIV/0!</v>
      </c>
      <c r="AN85" s="167" t="e">
        <f t="shared" si="50"/>
        <v>#DIV/0!</v>
      </c>
      <c r="AO85" s="167" t="e">
        <f t="shared" si="50"/>
        <v>#DIV/0!</v>
      </c>
    </row>
    <row r="86" spans="2:41" x14ac:dyDescent="0.15">
      <c r="B86" s="475"/>
      <c r="C86" s="130" t="s">
        <v>1339</v>
      </c>
      <c r="D86" s="94" cm="1">
        <f t="array" ref="D86">SUM(SUMIFS('caseload data'!E:E,'caseload data'!$D:$D,"DMY",'caseload data'!$A:$A,"East of England",'caseload data'!$B:$B,{"licence","community"}))</f>
        <v>0</v>
      </c>
      <c r="E86" s="94" cm="1">
        <f t="array" ref="E86">SUM(SUMIFS('caseload data'!F:F,'caseload data'!$D:$D,"DMY",'caseload data'!$A:$A,"East of England",'caseload data'!$B:$B,{"licence","community"}))</f>
        <v>0</v>
      </c>
      <c r="F86" s="94" cm="1">
        <f t="array" ref="F86">SUM(SUMIFS('caseload data'!G:G,'caseload data'!$D:$D,"DMY",'caseload data'!$A:$A,"East of England",'caseload data'!$B:$B,{"licence","community"}))</f>
        <v>0</v>
      </c>
      <c r="G86" s="94" cm="1">
        <f t="array" ref="G86">SUM(SUMIFS('caseload data'!H:H,'caseload data'!$D:$D,"DMY",'caseload data'!$A:$A,"East of England",'caseload data'!$B:$B,{"licence","community"}))</f>
        <v>0</v>
      </c>
      <c r="H86" s="94" cm="1">
        <f t="array" ref="H86">SUM(SUMIFS('caseload data'!I:I,'caseload data'!$D:$D,"DMY",'caseload data'!$A:$A,"East of England",'caseload data'!$B:$B,{"licence","community"}))</f>
        <v>0</v>
      </c>
      <c r="I86" s="94" cm="1">
        <f t="array" ref="I86">SUM(SUMIFS('caseload data'!J:J,'caseload data'!$D:$D,"DMY",'caseload data'!$A:$A,"East of England",'caseload data'!$B:$B,{"licence","community"}))</f>
        <v>0</v>
      </c>
      <c r="J86" s="94" cm="1">
        <f t="array" ref="J86">SUM(SUMIFS('caseload data'!K:K,'caseload data'!$D:$D,"DMY",'caseload data'!$A:$A,"East of England",'caseload data'!$B:$B,{"licence","community"}))</f>
        <v>0</v>
      </c>
      <c r="K86" s="94" cm="1">
        <f t="array" ref="K86">SUM(SUMIFS('caseload data'!L:L,'caseload data'!$D:$D,"DMY",'caseload data'!$A:$A,"East of England",'caseload data'!$B:$B,{"licence","community"}))</f>
        <v>0</v>
      </c>
      <c r="L86" s="94" cm="1">
        <f t="array" ref="L86">SUM(SUMIFS('caseload data'!M:M,'caseload data'!$D:$D,"DMY",'caseload data'!$A:$A,"East of England",'caseload data'!$B:$B,{"licence","community"}))</f>
        <v>0</v>
      </c>
      <c r="M86" s="94" cm="1">
        <f t="array" ref="M86">SUM(SUMIFS('caseload data'!N:N,'caseload data'!$D:$D,"DMY",'caseload data'!$A:$A,"East of England",'caseload data'!$B:$B,{"licence","community"}))</f>
        <v>0</v>
      </c>
      <c r="N86" s="94" cm="1">
        <f t="array" ref="N86">SUM(SUMIFS('caseload data'!O:O,'caseload data'!$D:$D,"DMY",'caseload data'!$A:$A,"East of England",'caseload data'!$B:$B,{"licence","community"}))</f>
        <v>0</v>
      </c>
      <c r="O86" s="94" cm="1">
        <f t="array" ref="O86">SUM(SUMIFS('caseload data'!P:P,'caseload data'!$D:$D,"DMY",'caseload data'!$A:$A,"East of England",'caseload data'!$B:$B,{"licence","community"}))</f>
        <v>0</v>
      </c>
      <c r="P86" s="94" cm="1">
        <f t="array" ref="P86">SUM(SUMIFS('caseload data'!Q:Q,'caseload data'!$D:$D,"DMY",'caseload data'!$A:$A,"East of England",'caseload data'!$B:$B,{"licence","community"}))</f>
        <v>0</v>
      </c>
      <c r="Q86" s="94" cm="1">
        <f t="array" ref="Q86">SUM(SUMIFS('caseload data'!R:R,'caseload data'!$D:$D,"DMY",'caseload data'!$A:$A,"East of England",'caseload data'!$B:$B,{"licence","community"}))</f>
        <v>0</v>
      </c>
      <c r="R86" s="94" cm="1">
        <f t="array" ref="R86">SUM(SUMIFS('caseload data'!S:S,'caseload data'!$D:$D,"DMY",'caseload data'!$A:$A,"East of England",'caseload data'!$B:$B,{"licence","community"}))</f>
        <v>0</v>
      </c>
      <c r="S86" s="94" cm="1">
        <f t="array" ref="S86">SUM(SUMIFS('caseload data'!T:T,'caseload data'!$D:$D,"DMY",'caseload data'!$A:$A,"East of England",'caseload data'!$B:$B,{"licence","community"}))</f>
        <v>0</v>
      </c>
      <c r="T86" s="94" cm="1">
        <f t="array" ref="T86">SUM(SUMIFS('caseload data'!V:V,'caseload data'!$D:$D,"DMY",'caseload data'!$A:$A,"East of England",'caseload data'!$B:$B,{"licence","community"}))</f>
        <v>0</v>
      </c>
      <c r="U86" s="64"/>
      <c r="V86" s="64"/>
      <c r="W86" s="475"/>
      <c r="X86" s="130" t="s">
        <v>1339</v>
      </c>
      <c r="Y86" s="167" t="e">
        <f t="shared" si="51"/>
        <v>#DIV/0!</v>
      </c>
      <c r="Z86" s="167" t="e">
        <f t="shared" si="50"/>
        <v>#DIV/0!</v>
      </c>
      <c r="AA86" s="167" t="e">
        <f t="shared" si="50"/>
        <v>#DIV/0!</v>
      </c>
      <c r="AB86" s="167" t="e">
        <f t="shared" si="50"/>
        <v>#DIV/0!</v>
      </c>
      <c r="AC86" s="167" t="e">
        <f t="shared" si="50"/>
        <v>#DIV/0!</v>
      </c>
      <c r="AD86" s="167" t="e">
        <f t="shared" si="50"/>
        <v>#DIV/0!</v>
      </c>
      <c r="AE86" s="167" t="e">
        <f t="shared" si="50"/>
        <v>#DIV/0!</v>
      </c>
      <c r="AF86" s="167" t="e">
        <f t="shared" si="50"/>
        <v>#DIV/0!</v>
      </c>
      <c r="AG86" s="167" t="e">
        <f t="shared" si="50"/>
        <v>#DIV/0!</v>
      </c>
      <c r="AH86" s="167" t="e">
        <f t="shared" si="50"/>
        <v>#DIV/0!</v>
      </c>
      <c r="AI86" s="167" t="e">
        <f t="shared" si="50"/>
        <v>#DIV/0!</v>
      </c>
      <c r="AJ86" s="167" t="e">
        <f t="shared" si="50"/>
        <v>#DIV/0!</v>
      </c>
      <c r="AK86" s="167" t="e">
        <f t="shared" si="50"/>
        <v>#DIV/0!</v>
      </c>
      <c r="AL86" s="167" t="e">
        <f t="shared" si="50"/>
        <v>#DIV/0!</v>
      </c>
      <c r="AM86" s="167" t="e">
        <f t="shared" si="50"/>
        <v>#DIV/0!</v>
      </c>
      <c r="AN86" s="167" t="e">
        <f t="shared" si="50"/>
        <v>#DIV/0!</v>
      </c>
      <c r="AO86" s="167" t="e">
        <f t="shared" si="50"/>
        <v>#DIV/0!</v>
      </c>
    </row>
    <row r="87" spans="2:41" x14ac:dyDescent="0.15">
      <c r="B87" s="473" t="s">
        <v>19</v>
      </c>
      <c r="C87" s="128" t="s">
        <v>997</v>
      </c>
      <c r="D87" s="94" cm="1">
        <f t="array" ref="D87">SUM(SUMIFS('caseload data'!E:E,'caseload data'!$D:$D,"PO",'caseload data'!$A:$A,_xlfn.SINGLE('national caseload'!$B$87:$B$89),'caseload data'!$B:$B,{"licence","community"}))</f>
        <v>0</v>
      </c>
      <c r="E87" s="94" cm="1">
        <f t="array" ref="E87">SUM(SUMIFS('caseload data'!F:F,'caseload data'!$D:$D,"PO",'caseload data'!$A:$A,_xlfn.SINGLE('national caseload'!$B$87:$B$89),'caseload data'!$B:$B,{"licence","community"}))</f>
        <v>0</v>
      </c>
      <c r="F87" s="94" cm="1">
        <f t="array" ref="F87">SUM(SUMIFS('caseload data'!G:G,'caseload data'!$D:$D,"PO",'caseload data'!$A:$A,_xlfn.SINGLE('national caseload'!$B$87:$B$89),'caseload data'!$B:$B,{"licence","community"}))</f>
        <v>0</v>
      </c>
      <c r="G87" s="94" cm="1">
        <f t="array" ref="G87">SUM(SUMIFS('caseload data'!H:H,'caseload data'!$D:$D,"PO",'caseload data'!$A:$A,_xlfn.SINGLE('national caseload'!$B$87:$B$89),'caseload data'!$B:$B,{"licence","community"}))</f>
        <v>0</v>
      </c>
      <c r="H87" s="94" cm="1">
        <f t="array" ref="H87">SUM(SUMIFS('caseload data'!I:I,'caseload data'!$D:$D,"PO",'caseload data'!$A:$A,_xlfn.SINGLE('national caseload'!$B$87:$B$89),'caseload data'!$B:$B,{"licence","community"}))</f>
        <v>0</v>
      </c>
      <c r="I87" s="94" cm="1">
        <f t="array" ref="I87">SUM(SUMIFS('caseload data'!J:J,'caseload data'!$D:$D,"PO",'caseload data'!$A:$A,_xlfn.SINGLE('national caseload'!$B$87:$B$89),'caseload data'!$B:$B,{"licence","community"}))</f>
        <v>0</v>
      </c>
      <c r="J87" s="94" cm="1">
        <f t="array" ref="J87">SUM(SUMIFS('caseload data'!K:K,'caseload data'!$D:$D,"PO",'caseload data'!$A:$A,_xlfn.SINGLE('national caseload'!$B$87:$B$89),'caseload data'!$B:$B,{"licence","community"}))</f>
        <v>0</v>
      </c>
      <c r="K87" s="94" cm="1">
        <f t="array" ref="K87">SUM(SUMIFS('caseload data'!L:L,'caseload data'!$D:$D,"PO",'caseload data'!$A:$A,_xlfn.SINGLE('national caseload'!$B$87:$B$89),'caseload data'!$B:$B,{"licence","community"}))</f>
        <v>0</v>
      </c>
      <c r="L87" s="94" cm="1">
        <f t="array" ref="L87">SUM(SUMIFS('caseload data'!M:M,'caseload data'!$D:$D,"PO",'caseload data'!$A:$A,_xlfn.SINGLE('national caseload'!$B$87:$B$89),'caseload data'!$B:$B,{"licence","community"}))</f>
        <v>0</v>
      </c>
      <c r="M87" s="94" cm="1">
        <f t="array" ref="M87">SUM(SUMIFS('caseload data'!N:N,'caseload data'!$D:$D,"PO",'caseload data'!$A:$A,_xlfn.SINGLE('national caseload'!$B$87:$B$89),'caseload data'!$B:$B,{"licence","community"}))</f>
        <v>0</v>
      </c>
      <c r="N87" s="94" cm="1">
        <f t="array" ref="N87">SUM(SUMIFS('caseload data'!O:O,'caseload data'!$D:$D,"PO",'caseload data'!$A:$A,_xlfn.SINGLE('national caseload'!$B$87:$B$89),'caseload data'!$B:$B,{"licence","community"}))</f>
        <v>0</v>
      </c>
      <c r="O87" s="94" cm="1">
        <f t="array" ref="O87">SUM(SUMIFS('caseload data'!P:P,'caseload data'!$D:$D,"PO",'caseload data'!$A:$A,_xlfn.SINGLE('national caseload'!$B$87:$B$89),'caseload data'!$B:$B,{"licence","community"}))</f>
        <v>0</v>
      </c>
      <c r="P87" s="94" cm="1">
        <f t="array" ref="P87">SUM(SUMIFS('caseload data'!Q:Q,'caseload data'!$D:$D,"PO",'caseload data'!$A:$A,_xlfn.SINGLE('national caseload'!$B$87:$B$89),'caseload data'!$B:$B,{"licence","community"}))</f>
        <v>0</v>
      </c>
      <c r="Q87" s="94" cm="1">
        <f t="array" ref="Q87">SUM(SUMIFS('caseload data'!R:R,'caseload data'!$D:$D,"PO",'caseload data'!$A:$A,_xlfn.SINGLE('national caseload'!$B$87:$B$89),'caseload data'!$B:$B,{"licence","community"}))</f>
        <v>0</v>
      </c>
      <c r="R87" s="94" cm="1">
        <f t="array" ref="R87">SUM(SUMIFS('caseload data'!S:S,'caseload data'!$D:$D,"PO",'caseload data'!$A:$A,_xlfn.SINGLE('national caseload'!$B$87:$B$89),'caseload data'!$B:$B,{"licence","community"}))</f>
        <v>0</v>
      </c>
      <c r="S87" s="94" cm="1">
        <f t="array" ref="S87">SUM(SUMIFS('caseload data'!T:T,'caseload data'!$D:$D,"PO",'caseload data'!$A:$A,_xlfn.SINGLE('national caseload'!$B$87:$B$89),'caseload data'!$B:$B,{"licence","community"}))</f>
        <v>0</v>
      </c>
      <c r="T87" s="94">
        <f>SUM(SUMIFS('caseload data'!V:V,'caseload data'!D:D,"PO",'caseload data'!A:A,'national caseload'!B87:B89,'caseload data'!B:B,{"licence","community"}))</f>
        <v>0</v>
      </c>
      <c r="U87" s="64"/>
      <c r="V87" s="64"/>
      <c r="W87" s="473" t="s">
        <v>19</v>
      </c>
      <c r="X87" s="128" t="s">
        <v>997</v>
      </c>
      <c r="Y87" s="167" t="e">
        <f>SUM(D87)/SUM(D$87:D$91)</f>
        <v>#DIV/0!</v>
      </c>
      <c r="Z87" s="167" t="e">
        <f t="shared" ref="Z87:AO91" si="52">SUM(E87)/SUM(E$87:E$91)</f>
        <v>#DIV/0!</v>
      </c>
      <c r="AA87" s="167" t="e">
        <f t="shared" si="52"/>
        <v>#DIV/0!</v>
      </c>
      <c r="AB87" s="167" t="e">
        <f t="shared" si="52"/>
        <v>#DIV/0!</v>
      </c>
      <c r="AC87" s="167" t="e">
        <f t="shared" si="52"/>
        <v>#DIV/0!</v>
      </c>
      <c r="AD87" s="167" t="e">
        <f t="shared" si="52"/>
        <v>#DIV/0!</v>
      </c>
      <c r="AE87" s="167" t="e">
        <f t="shared" si="52"/>
        <v>#DIV/0!</v>
      </c>
      <c r="AF87" s="167" t="e">
        <f t="shared" si="52"/>
        <v>#DIV/0!</v>
      </c>
      <c r="AG87" s="167" t="e">
        <f t="shared" si="52"/>
        <v>#DIV/0!</v>
      </c>
      <c r="AH87" s="167" t="e">
        <f t="shared" si="52"/>
        <v>#DIV/0!</v>
      </c>
      <c r="AI87" s="167" t="e">
        <f t="shared" si="52"/>
        <v>#DIV/0!</v>
      </c>
      <c r="AJ87" s="167" t="e">
        <f t="shared" si="52"/>
        <v>#DIV/0!</v>
      </c>
      <c r="AK87" s="167" t="e">
        <f t="shared" si="52"/>
        <v>#DIV/0!</v>
      </c>
      <c r="AL87" s="167" t="e">
        <f t="shared" si="52"/>
        <v>#DIV/0!</v>
      </c>
      <c r="AM87" s="167" t="e">
        <f t="shared" si="52"/>
        <v>#DIV/0!</v>
      </c>
      <c r="AN87" s="167" t="e">
        <f t="shared" si="52"/>
        <v>#DIV/0!</v>
      </c>
      <c r="AO87" s="167" t="e">
        <f t="shared" si="52"/>
        <v>#DIV/0!</v>
      </c>
    </row>
    <row r="88" spans="2:41" x14ac:dyDescent="0.15">
      <c r="B88" s="474"/>
      <c r="C88" s="129" t="s">
        <v>1002</v>
      </c>
      <c r="D88" s="94" cm="1">
        <f t="array" ref="D88">SUM(SUMIFS('caseload data'!E:E,'caseload data'!$D:$D,"PSO",'caseload data'!$A:$A,"Greater Manchester",'caseload data'!$B:$B,{"licence","community"}))</f>
        <v>0</v>
      </c>
      <c r="E88" s="94" cm="1">
        <f t="array" ref="E88">SUM(SUMIFS('caseload data'!F:F,'caseload data'!$D:$D,"PSO",'caseload data'!$A:$A,"Greater Manchester",'caseload data'!$B:$B,{"licence","community"}))</f>
        <v>0</v>
      </c>
      <c r="F88" s="94" cm="1">
        <f t="array" ref="F88">SUM(SUMIFS('caseload data'!G:G,'caseload data'!$D:$D,"PSO",'caseload data'!$A:$A,"Greater Manchester",'caseload data'!$B:$B,{"licence","community"}))</f>
        <v>0</v>
      </c>
      <c r="G88" s="94" cm="1">
        <f t="array" ref="G88">SUM(SUMIFS('caseload data'!H:H,'caseload data'!$D:$D,"PSO",'caseload data'!$A:$A,"Greater Manchester",'caseload data'!$B:$B,{"licence","community"}))</f>
        <v>0</v>
      </c>
      <c r="H88" s="94" cm="1">
        <f t="array" ref="H88">SUM(SUMIFS('caseload data'!I:I,'caseload data'!$D:$D,"PSO",'caseload data'!$A:$A,"Greater Manchester",'caseload data'!$B:$B,{"licence","community"}))</f>
        <v>0</v>
      </c>
      <c r="I88" s="94" cm="1">
        <f t="array" ref="I88">SUM(SUMIFS('caseload data'!J:J,'caseload data'!$D:$D,"PSO",'caseload data'!$A:$A,"Greater Manchester",'caseload data'!$B:$B,{"licence","community"}))</f>
        <v>0</v>
      </c>
      <c r="J88" s="94" cm="1">
        <f t="array" ref="J88">SUM(SUMIFS('caseload data'!K:K,'caseload data'!$D:$D,"PSO",'caseload data'!$A:$A,"Greater Manchester",'caseload data'!$B:$B,{"licence","community"}))</f>
        <v>0</v>
      </c>
      <c r="K88" s="94" cm="1">
        <f t="array" ref="K88">SUM(SUMIFS('caseload data'!L:L,'caseload data'!$D:$D,"PSO",'caseload data'!$A:$A,"Greater Manchester",'caseload data'!$B:$B,{"licence","community"}))</f>
        <v>0</v>
      </c>
      <c r="L88" s="94" cm="1">
        <f t="array" ref="L88">SUM(SUMIFS('caseload data'!M:M,'caseload data'!$D:$D,"PSO",'caseload data'!$A:$A,"Greater Manchester",'caseload data'!$B:$B,{"licence","community"}))</f>
        <v>0</v>
      </c>
      <c r="M88" s="94" cm="1">
        <f t="array" ref="M88">SUM(SUMIFS('caseload data'!N:N,'caseload data'!$D:$D,"PSO",'caseload data'!$A:$A,"Greater Manchester",'caseload data'!$B:$B,{"licence","community"}))</f>
        <v>0</v>
      </c>
      <c r="N88" s="94" cm="1">
        <f t="array" ref="N88">SUM(SUMIFS('caseload data'!O:O,'caseload data'!$D:$D,"PSO",'caseload data'!$A:$A,"Greater Manchester",'caseload data'!$B:$B,{"licence","community"}))</f>
        <v>0</v>
      </c>
      <c r="O88" s="94" cm="1">
        <f t="array" ref="O88">SUM(SUMIFS('caseload data'!P:P,'caseload data'!$D:$D,"PSO",'caseload data'!$A:$A,"Greater Manchester",'caseload data'!$B:$B,{"licence","community"}))</f>
        <v>0</v>
      </c>
      <c r="P88" s="94" cm="1">
        <f t="array" ref="P88">SUM(SUMIFS('caseload data'!Q:Q,'caseload data'!$D:$D,"PSO",'caseload data'!$A:$A,"Greater Manchester",'caseload data'!$B:$B,{"licence","community"}))</f>
        <v>0</v>
      </c>
      <c r="Q88" s="94" cm="1">
        <f t="array" ref="Q88">SUM(SUMIFS('caseload data'!R:R,'caseload data'!$D:$D,"PSO",'caseload data'!$A:$A,"Greater Manchester",'caseload data'!$B:$B,{"licence","community"}))</f>
        <v>0</v>
      </c>
      <c r="R88" s="94" cm="1">
        <f t="array" ref="R88">SUM(SUMIFS('caseload data'!S:S,'caseload data'!$D:$D,"PSO",'caseload data'!$A:$A,"Greater Manchester",'caseload data'!$B:$B,{"licence","community"}))</f>
        <v>0</v>
      </c>
      <c r="S88" s="94" cm="1">
        <f t="array" ref="S88">SUM(SUMIFS('caseload data'!T:T,'caseload data'!$D:$D,"PSO",'caseload data'!$A:$A,"Greater Manchester",'caseload data'!$B:$B,{"licence","community"}))</f>
        <v>0</v>
      </c>
      <c r="T88" s="94" cm="1">
        <f t="array" ref="T88">SUM(SUMIFS('caseload data'!V:V,'caseload data'!D:D,"PSO",'caseload data'!A:A,"Greater Manchester",'caseload data'!B:B,{"licence","community"}))</f>
        <v>0</v>
      </c>
      <c r="U88" s="64"/>
      <c r="V88" s="64"/>
      <c r="W88" s="474"/>
      <c r="X88" s="129" t="s">
        <v>1002</v>
      </c>
      <c r="Y88" s="167" t="e">
        <f t="shared" ref="Y88:Y91" si="53">SUM(D88)/SUM(D$87:D$91)</f>
        <v>#DIV/0!</v>
      </c>
      <c r="Z88" s="167" t="e">
        <f t="shared" si="52"/>
        <v>#DIV/0!</v>
      </c>
      <c r="AA88" s="167" t="e">
        <f t="shared" si="52"/>
        <v>#DIV/0!</v>
      </c>
      <c r="AB88" s="167" t="e">
        <f t="shared" si="52"/>
        <v>#DIV/0!</v>
      </c>
      <c r="AC88" s="167" t="e">
        <f t="shared" si="52"/>
        <v>#DIV/0!</v>
      </c>
      <c r="AD88" s="167" t="e">
        <f t="shared" si="52"/>
        <v>#DIV/0!</v>
      </c>
      <c r="AE88" s="167" t="e">
        <f t="shared" si="52"/>
        <v>#DIV/0!</v>
      </c>
      <c r="AF88" s="167" t="e">
        <f t="shared" si="52"/>
        <v>#DIV/0!</v>
      </c>
      <c r="AG88" s="167" t="e">
        <f t="shared" si="52"/>
        <v>#DIV/0!</v>
      </c>
      <c r="AH88" s="167" t="e">
        <f t="shared" si="52"/>
        <v>#DIV/0!</v>
      </c>
      <c r="AI88" s="167" t="e">
        <f t="shared" si="52"/>
        <v>#DIV/0!</v>
      </c>
      <c r="AJ88" s="167" t="e">
        <f t="shared" si="52"/>
        <v>#DIV/0!</v>
      </c>
      <c r="AK88" s="167" t="e">
        <f t="shared" si="52"/>
        <v>#DIV/0!</v>
      </c>
      <c r="AL88" s="167" t="e">
        <f t="shared" si="52"/>
        <v>#DIV/0!</v>
      </c>
      <c r="AM88" s="167" t="e">
        <f t="shared" si="52"/>
        <v>#DIV/0!</v>
      </c>
      <c r="AN88" s="167" t="e">
        <f t="shared" si="52"/>
        <v>#DIV/0!</v>
      </c>
      <c r="AO88" s="167" t="e">
        <f t="shared" si="52"/>
        <v>#DIV/0!</v>
      </c>
    </row>
    <row r="89" spans="2:41" x14ac:dyDescent="0.15">
      <c r="B89" s="474"/>
      <c r="C89" s="129" t="s">
        <v>1003</v>
      </c>
      <c r="D89" s="94" cm="1">
        <f t="array" ref="D89">SUM(SUMIFS('caseload data'!E:E,'caseload data'!$D:$D,"TPO",'caseload data'!$A:$A,"Greater Manchester",'caseload data'!$B:$B,{"licence","community"}))</f>
        <v>0</v>
      </c>
      <c r="E89" s="94" cm="1">
        <f t="array" ref="E89">SUM(SUMIFS('caseload data'!F:F,'caseload data'!$D:$D,"TPO",'caseload data'!$A:$A,"Greater Manchester",'caseload data'!$B:$B,{"licence","community"}))</f>
        <v>0</v>
      </c>
      <c r="F89" s="94" cm="1">
        <f t="array" ref="F89">SUM(SUMIFS('caseload data'!G:G,'caseload data'!$D:$D,"TPO",'caseload data'!$A:$A,"Greater Manchester",'caseload data'!$B:$B,{"licence","community"}))</f>
        <v>0</v>
      </c>
      <c r="G89" s="94" cm="1">
        <f t="array" ref="G89">SUM(SUMIFS('caseload data'!H:H,'caseload data'!$D:$D,"TPO",'caseload data'!$A:$A,"Greater Manchester",'caseload data'!$B:$B,{"licence","community"}))</f>
        <v>0</v>
      </c>
      <c r="H89" s="94" cm="1">
        <f t="array" ref="H89">SUM(SUMIFS('caseload data'!I:I,'caseload data'!$D:$D,"TPO",'caseload data'!$A:$A,"Greater Manchester",'caseload data'!$B:$B,{"licence","community"}))</f>
        <v>0</v>
      </c>
      <c r="I89" s="94" cm="1">
        <f t="array" ref="I89">SUM(SUMIFS('caseload data'!J:J,'caseload data'!$D:$D,"TPO",'caseload data'!$A:$A,"Greater Manchester",'caseload data'!$B:$B,{"licence","community"}))</f>
        <v>0</v>
      </c>
      <c r="J89" s="94" cm="1">
        <f t="array" ref="J89">SUM(SUMIFS('caseload data'!K:K,'caseload data'!$D:$D,"TPO",'caseload data'!$A:$A,"Greater Manchester",'caseload data'!$B:$B,{"licence","community"}))</f>
        <v>0</v>
      </c>
      <c r="K89" s="94" cm="1">
        <f t="array" ref="K89">SUM(SUMIFS('caseload data'!L:L,'caseload data'!$D:$D,"TPO",'caseload data'!$A:$A,"Greater Manchester",'caseload data'!$B:$B,{"licence","community"}))</f>
        <v>0</v>
      </c>
      <c r="L89" s="94" cm="1">
        <f t="array" ref="L89">SUM(SUMIFS('caseload data'!M:M,'caseload data'!$D:$D,"TPO",'caseload data'!$A:$A,"Greater Manchester",'caseload data'!$B:$B,{"licence","community"}))</f>
        <v>0</v>
      </c>
      <c r="M89" s="94" cm="1">
        <f t="array" ref="M89">SUM(SUMIFS('caseload data'!N:N,'caseload data'!$D:$D,"TPO",'caseload data'!$A:$A,"Greater Manchester",'caseload data'!$B:$B,{"licence","community"}))</f>
        <v>0</v>
      </c>
      <c r="N89" s="94" cm="1">
        <f t="array" ref="N89">SUM(SUMIFS('caseload data'!O:O,'caseload data'!$D:$D,"TPO",'caseload data'!$A:$A,"Greater Manchester",'caseload data'!$B:$B,{"licence","community"}))</f>
        <v>0</v>
      </c>
      <c r="O89" s="94" cm="1">
        <f t="array" ref="O89">SUM(SUMIFS('caseload data'!P:P,'caseload data'!$D:$D,"TPO",'caseload data'!$A:$A,"Greater Manchester",'caseload data'!$B:$B,{"licence","community"}))</f>
        <v>0</v>
      </c>
      <c r="P89" s="94" cm="1">
        <f t="array" ref="P89">SUM(SUMIFS('caseload data'!Q:Q,'caseload data'!$D:$D,"TPO",'caseload data'!$A:$A,"Greater Manchester",'caseload data'!$B:$B,{"licence","community"}))</f>
        <v>0</v>
      </c>
      <c r="Q89" s="94" cm="1">
        <f t="array" ref="Q89">SUM(SUMIFS('caseload data'!R:R,'caseload data'!$D:$D,"TPO",'caseload data'!$A:$A,"Greater Manchester",'caseload data'!$B:$B,{"licence","community"}))</f>
        <v>0</v>
      </c>
      <c r="R89" s="94" cm="1">
        <f t="array" ref="R89">SUM(SUMIFS('caseload data'!S:S,'caseload data'!$D:$D,"TPO",'caseload data'!$A:$A,"Greater Manchester",'caseload data'!$B:$B,{"licence","community"}))</f>
        <v>0</v>
      </c>
      <c r="S89" s="94" cm="1">
        <f t="array" ref="S89">SUM(SUMIFS('caseload data'!T:T,'caseload data'!$D:$D,"TPO",'caseload data'!$A:$A,"Greater Manchester",'caseload data'!$B:$B,{"licence","community"}))</f>
        <v>0</v>
      </c>
      <c r="T89" s="94" cm="1">
        <f t="array" ref="T89">SUM(SUMIFS('caseload data'!V:V,'caseload data'!D:D,"TPO",'caseload data'!A:A,"Greater Manchester",'caseload data'!B:B,{"licence","community"}))</f>
        <v>0</v>
      </c>
      <c r="U89" s="64"/>
      <c r="V89" s="64"/>
      <c r="W89" s="474"/>
      <c r="X89" s="129" t="s">
        <v>1003</v>
      </c>
      <c r="Y89" s="167" t="e">
        <f t="shared" si="53"/>
        <v>#DIV/0!</v>
      </c>
      <c r="Z89" s="167" t="e">
        <f t="shared" si="52"/>
        <v>#DIV/0!</v>
      </c>
      <c r="AA89" s="167" t="e">
        <f t="shared" si="52"/>
        <v>#DIV/0!</v>
      </c>
      <c r="AB89" s="167" t="e">
        <f t="shared" si="52"/>
        <v>#DIV/0!</v>
      </c>
      <c r="AC89" s="167" t="e">
        <f t="shared" si="52"/>
        <v>#DIV/0!</v>
      </c>
      <c r="AD89" s="167" t="e">
        <f t="shared" si="52"/>
        <v>#DIV/0!</v>
      </c>
      <c r="AE89" s="167" t="e">
        <f t="shared" si="52"/>
        <v>#DIV/0!</v>
      </c>
      <c r="AF89" s="167" t="e">
        <f t="shared" si="52"/>
        <v>#DIV/0!</v>
      </c>
      <c r="AG89" s="167" t="e">
        <f t="shared" si="52"/>
        <v>#DIV/0!</v>
      </c>
      <c r="AH89" s="167" t="e">
        <f t="shared" si="52"/>
        <v>#DIV/0!</v>
      </c>
      <c r="AI89" s="167" t="e">
        <f t="shared" si="52"/>
        <v>#DIV/0!</v>
      </c>
      <c r="AJ89" s="167" t="e">
        <f t="shared" si="52"/>
        <v>#DIV/0!</v>
      </c>
      <c r="AK89" s="167" t="e">
        <f t="shared" si="52"/>
        <v>#DIV/0!</v>
      </c>
      <c r="AL89" s="167" t="e">
        <f t="shared" si="52"/>
        <v>#DIV/0!</v>
      </c>
      <c r="AM89" s="167" t="e">
        <f t="shared" si="52"/>
        <v>#DIV/0!</v>
      </c>
      <c r="AN89" s="167" t="e">
        <f t="shared" si="52"/>
        <v>#DIV/0!</v>
      </c>
      <c r="AO89" s="167" t="e">
        <f t="shared" si="52"/>
        <v>#DIV/0!</v>
      </c>
    </row>
    <row r="90" spans="2:41" x14ac:dyDescent="0.15">
      <c r="B90" s="474"/>
      <c r="C90" s="129" t="s">
        <v>1004</v>
      </c>
      <c r="D90" s="94" cm="1">
        <f t="array" ref="D90">SUM(SUMIFS('caseload data'!E:E,'caseload data'!$D:$D,"SPO",'caseload data'!$A:$A,"Greater Manchester",'caseload data'!$B:$B,{"licence","community"}))</f>
        <v>0</v>
      </c>
      <c r="E90" s="94" cm="1">
        <f t="array" ref="E90">SUM(SUMIFS('caseload data'!F:F,'caseload data'!$D:$D,"SPO",'caseload data'!$A:$A,"Greater Manchester",'caseload data'!$B:$B,{"licence","community"}))</f>
        <v>0</v>
      </c>
      <c r="F90" s="94" cm="1">
        <f t="array" ref="F90">SUM(SUMIFS('caseload data'!G:G,'caseload data'!$D:$D,"SPO",'caseload data'!$A:$A,"Greater Manchester",'caseload data'!$B:$B,{"licence","community"}))</f>
        <v>0</v>
      </c>
      <c r="G90" s="94" cm="1">
        <f t="array" ref="G90">SUM(SUMIFS('caseload data'!H:H,'caseload data'!$D:$D,"SPO",'caseload data'!$A:$A,"Greater Manchester",'caseload data'!$B:$B,{"licence","community"}))</f>
        <v>0</v>
      </c>
      <c r="H90" s="94" cm="1">
        <f t="array" ref="H90">SUM(SUMIFS('caseload data'!I:I,'caseload data'!$D:$D,"SPO",'caseload data'!$A:$A,"Greater Manchester",'caseload data'!$B:$B,{"licence","community"}))</f>
        <v>0</v>
      </c>
      <c r="I90" s="94" cm="1">
        <f t="array" ref="I90">SUM(SUMIFS('caseload data'!J:J,'caseload data'!$D:$D,"SPO",'caseload data'!$A:$A,"Greater Manchester",'caseload data'!$B:$B,{"licence","community"}))</f>
        <v>0</v>
      </c>
      <c r="J90" s="94" cm="1">
        <f t="array" ref="J90">SUM(SUMIFS('caseload data'!K:K,'caseload data'!$D:$D,"SPO",'caseload data'!$A:$A,"Greater Manchester",'caseload data'!$B:$B,{"licence","community"}))</f>
        <v>0</v>
      </c>
      <c r="K90" s="94" cm="1">
        <f t="array" ref="K90">SUM(SUMIFS('caseload data'!L:L,'caseload data'!$D:$D,"SPO",'caseload data'!$A:$A,"Greater Manchester",'caseload data'!$B:$B,{"licence","community"}))</f>
        <v>0</v>
      </c>
      <c r="L90" s="94" cm="1">
        <f t="array" ref="L90">SUM(SUMIFS('caseload data'!M:M,'caseload data'!$D:$D,"SPO",'caseload data'!$A:$A,"Greater Manchester",'caseload data'!$B:$B,{"licence","community"}))</f>
        <v>0</v>
      </c>
      <c r="M90" s="94" cm="1">
        <f t="array" ref="M90">SUM(SUMIFS('caseload data'!N:N,'caseload data'!$D:$D,"SPO",'caseload data'!$A:$A,"Greater Manchester",'caseload data'!$B:$B,{"licence","community"}))</f>
        <v>0</v>
      </c>
      <c r="N90" s="94" cm="1">
        <f t="array" ref="N90">SUM(SUMIFS('caseload data'!O:O,'caseload data'!$D:$D,"SPO",'caseload data'!$A:$A,"Greater Manchester",'caseload data'!$B:$B,{"licence","community"}))</f>
        <v>0</v>
      </c>
      <c r="O90" s="94" cm="1">
        <f t="array" ref="O90">SUM(SUMIFS('caseload data'!P:P,'caseload data'!$D:$D,"SPO",'caseload data'!$A:$A,"Greater Manchester",'caseload data'!$B:$B,{"licence","community"}))</f>
        <v>0</v>
      </c>
      <c r="P90" s="94" cm="1">
        <f t="array" ref="P90">SUM(SUMIFS('caseload data'!Q:Q,'caseload data'!$D:$D,"SPO",'caseload data'!$A:$A,"Greater Manchester",'caseload data'!$B:$B,{"licence","community"}))</f>
        <v>0</v>
      </c>
      <c r="Q90" s="94" cm="1">
        <f t="array" ref="Q90">SUM(SUMIFS('caseload data'!R:R,'caseload data'!$D:$D,"SPO",'caseload data'!$A:$A,"Greater Manchester",'caseload data'!$B:$B,{"licence","community"}))</f>
        <v>0</v>
      </c>
      <c r="R90" s="94" cm="1">
        <f t="array" ref="R90">SUM(SUMIFS('caseload data'!S:S,'caseload data'!$D:$D,"SPO",'caseload data'!$A:$A,"Greater Manchester",'caseload data'!$B:$B,{"licence","community"}))</f>
        <v>0</v>
      </c>
      <c r="S90" s="94" cm="1">
        <f t="array" ref="S90">SUM(SUMIFS('caseload data'!T:T,'caseload data'!$D:$D,"SPO",'caseload data'!$A:$A,"Greater Manchester",'caseload data'!$B:$B,{"licence","community"}))</f>
        <v>0</v>
      </c>
      <c r="T90" s="94" cm="1">
        <f t="array" ref="T90">SUM(SUMIFS('caseload data'!V:V,'caseload data'!$D:$D,"SPO",'caseload data'!$A:$A,"Greater Manchester",'caseload data'!$B:$B,{"licence","community"}))</f>
        <v>0</v>
      </c>
      <c r="U90" s="64"/>
      <c r="V90" s="64"/>
      <c r="W90" s="474"/>
      <c r="X90" s="129" t="s">
        <v>1004</v>
      </c>
      <c r="Y90" s="167" t="e">
        <f t="shared" si="53"/>
        <v>#DIV/0!</v>
      </c>
      <c r="Z90" s="167" t="e">
        <f t="shared" si="52"/>
        <v>#DIV/0!</v>
      </c>
      <c r="AA90" s="167" t="e">
        <f t="shared" si="52"/>
        <v>#DIV/0!</v>
      </c>
      <c r="AB90" s="167" t="e">
        <f t="shared" si="52"/>
        <v>#DIV/0!</v>
      </c>
      <c r="AC90" s="167" t="e">
        <f t="shared" si="52"/>
        <v>#DIV/0!</v>
      </c>
      <c r="AD90" s="167" t="e">
        <f t="shared" si="52"/>
        <v>#DIV/0!</v>
      </c>
      <c r="AE90" s="167" t="e">
        <f t="shared" si="52"/>
        <v>#DIV/0!</v>
      </c>
      <c r="AF90" s="167" t="e">
        <f t="shared" si="52"/>
        <v>#DIV/0!</v>
      </c>
      <c r="AG90" s="167" t="e">
        <f t="shared" si="52"/>
        <v>#DIV/0!</v>
      </c>
      <c r="AH90" s="167" t="e">
        <f t="shared" si="52"/>
        <v>#DIV/0!</v>
      </c>
      <c r="AI90" s="167" t="e">
        <f t="shared" si="52"/>
        <v>#DIV/0!</v>
      </c>
      <c r="AJ90" s="167" t="e">
        <f t="shared" si="52"/>
        <v>#DIV/0!</v>
      </c>
      <c r="AK90" s="167" t="e">
        <f t="shared" si="52"/>
        <v>#DIV/0!</v>
      </c>
      <c r="AL90" s="167" t="e">
        <f t="shared" si="52"/>
        <v>#DIV/0!</v>
      </c>
      <c r="AM90" s="167" t="e">
        <f t="shared" si="52"/>
        <v>#DIV/0!</v>
      </c>
      <c r="AN90" s="167" t="e">
        <f t="shared" si="52"/>
        <v>#DIV/0!</v>
      </c>
      <c r="AO90" s="167" t="e">
        <f t="shared" si="52"/>
        <v>#DIV/0!</v>
      </c>
    </row>
    <row r="91" spans="2:41" x14ac:dyDescent="0.15">
      <c r="B91" s="475"/>
      <c r="C91" s="130" t="s">
        <v>1339</v>
      </c>
      <c r="D91" s="94" cm="1">
        <f t="array" ref="D91">SUM(SUMIFS('caseload data'!E:E,'caseload data'!$D:$D,"DMY",'caseload data'!$A:$A,"Greater Manchester",'caseload data'!$B:$B,{"licence","community"}))</f>
        <v>0</v>
      </c>
      <c r="E91" s="94" cm="1">
        <f t="array" ref="E91">SUM(SUMIFS('caseload data'!F:F,'caseload data'!$D:$D,"DMY",'caseload data'!$A:$A,"Greater Manchester",'caseload data'!$B:$B,{"licence","community"}))</f>
        <v>0</v>
      </c>
      <c r="F91" s="94" cm="1">
        <f t="array" ref="F91">SUM(SUMIFS('caseload data'!G:G,'caseload data'!$D:$D,"DMY",'caseload data'!$A:$A,"Greater Manchester",'caseload data'!$B:$B,{"licence","community"}))</f>
        <v>0</v>
      </c>
      <c r="G91" s="94" cm="1">
        <f t="array" ref="G91">SUM(SUMIFS('caseload data'!H:H,'caseload data'!$D:$D,"DMY",'caseload data'!$A:$A,"Greater Manchester",'caseload data'!$B:$B,{"licence","community"}))</f>
        <v>0</v>
      </c>
      <c r="H91" s="94" cm="1">
        <f t="array" ref="H91">SUM(SUMIFS('caseload data'!I:I,'caseload data'!$D:$D,"DMY",'caseload data'!$A:$A,"Greater Manchester",'caseload data'!$B:$B,{"licence","community"}))</f>
        <v>0</v>
      </c>
      <c r="I91" s="94" cm="1">
        <f t="array" ref="I91">SUM(SUMIFS('caseload data'!J:J,'caseload data'!$D:$D,"DMY",'caseload data'!$A:$A,"Greater Manchester",'caseload data'!$B:$B,{"licence","community"}))</f>
        <v>0</v>
      </c>
      <c r="J91" s="94" cm="1">
        <f t="array" ref="J91">SUM(SUMIFS('caseload data'!K:K,'caseload data'!$D:$D,"DMY",'caseload data'!$A:$A,"Greater Manchester",'caseload data'!$B:$B,{"licence","community"}))</f>
        <v>0</v>
      </c>
      <c r="K91" s="94" cm="1">
        <f t="array" ref="K91">SUM(SUMIFS('caseload data'!L:L,'caseload data'!$D:$D,"DMY",'caseload data'!$A:$A,"Greater Manchester",'caseload data'!$B:$B,{"licence","community"}))</f>
        <v>0</v>
      </c>
      <c r="L91" s="94" cm="1">
        <f t="array" ref="L91">SUM(SUMIFS('caseload data'!M:M,'caseload data'!$D:$D,"DMY",'caseload data'!$A:$A,"Greater Manchester",'caseload data'!$B:$B,{"licence","community"}))</f>
        <v>0</v>
      </c>
      <c r="M91" s="94" cm="1">
        <f t="array" ref="M91">SUM(SUMIFS('caseload data'!N:N,'caseload data'!$D:$D,"DMY",'caseload data'!$A:$A,"Greater Manchester",'caseload data'!$B:$B,{"licence","community"}))</f>
        <v>0</v>
      </c>
      <c r="N91" s="94" cm="1">
        <f t="array" ref="N91">SUM(SUMIFS('caseload data'!O:O,'caseload data'!$D:$D,"DMY",'caseload data'!$A:$A,"Greater Manchester",'caseload data'!$B:$B,{"licence","community"}))</f>
        <v>0</v>
      </c>
      <c r="O91" s="94" cm="1">
        <f t="array" ref="O91">SUM(SUMIFS('caseload data'!P:P,'caseload data'!$D:$D,"DMY",'caseload data'!$A:$A,"Greater Manchester",'caseload data'!$B:$B,{"licence","community"}))</f>
        <v>0</v>
      </c>
      <c r="P91" s="94" cm="1">
        <f t="array" ref="P91">SUM(SUMIFS('caseload data'!Q:Q,'caseload data'!$D:$D,"DMY",'caseload data'!$A:$A,"Greater Manchester",'caseload data'!$B:$B,{"licence","community"}))</f>
        <v>0</v>
      </c>
      <c r="Q91" s="94" cm="1">
        <f t="array" ref="Q91">SUM(SUMIFS('caseload data'!R:R,'caseload data'!$D:$D,"DMY",'caseload data'!$A:$A,"Greater Manchester",'caseload data'!$B:$B,{"licence","community"}))</f>
        <v>0</v>
      </c>
      <c r="R91" s="94" cm="1">
        <f t="array" ref="R91">SUM(SUMIFS('caseload data'!S:S,'caseload data'!$D:$D,"DMY",'caseload data'!$A:$A,"Greater Manchester",'caseload data'!$B:$B,{"licence","community"}))</f>
        <v>0</v>
      </c>
      <c r="S91" s="94" cm="1">
        <f t="array" ref="S91">SUM(SUMIFS('caseload data'!T:T,'caseload data'!$D:$D,"DMY",'caseload data'!$A:$A,"Greater Manchester",'caseload data'!$B:$B,{"licence","community"}))</f>
        <v>0</v>
      </c>
      <c r="T91" s="94" cm="1">
        <f t="array" ref="T91">SUM(SUMIFS('caseload data'!V:V,'caseload data'!$D:$D,"DMY",'caseload data'!$A:$A,"Greater Manchester",'caseload data'!$B:$B,{"licence","community"}))</f>
        <v>0</v>
      </c>
      <c r="U91" s="64"/>
      <c r="V91" s="64"/>
      <c r="W91" s="475"/>
      <c r="X91" s="130" t="s">
        <v>1339</v>
      </c>
      <c r="Y91" s="167" t="e">
        <f t="shared" si="53"/>
        <v>#DIV/0!</v>
      </c>
      <c r="Z91" s="167" t="e">
        <f t="shared" si="52"/>
        <v>#DIV/0!</v>
      </c>
      <c r="AA91" s="167" t="e">
        <f t="shared" si="52"/>
        <v>#DIV/0!</v>
      </c>
      <c r="AB91" s="167" t="e">
        <f t="shared" si="52"/>
        <v>#DIV/0!</v>
      </c>
      <c r="AC91" s="167" t="e">
        <f t="shared" si="52"/>
        <v>#DIV/0!</v>
      </c>
      <c r="AD91" s="167" t="e">
        <f t="shared" si="52"/>
        <v>#DIV/0!</v>
      </c>
      <c r="AE91" s="167" t="e">
        <f t="shared" si="52"/>
        <v>#DIV/0!</v>
      </c>
      <c r="AF91" s="167" t="e">
        <f t="shared" si="52"/>
        <v>#DIV/0!</v>
      </c>
      <c r="AG91" s="167" t="e">
        <f t="shared" si="52"/>
        <v>#DIV/0!</v>
      </c>
      <c r="AH91" s="167" t="e">
        <f t="shared" si="52"/>
        <v>#DIV/0!</v>
      </c>
      <c r="AI91" s="167" t="e">
        <f t="shared" si="52"/>
        <v>#DIV/0!</v>
      </c>
      <c r="AJ91" s="167" t="e">
        <f t="shared" si="52"/>
        <v>#DIV/0!</v>
      </c>
      <c r="AK91" s="167" t="e">
        <f t="shared" si="52"/>
        <v>#DIV/0!</v>
      </c>
      <c r="AL91" s="167" t="e">
        <f t="shared" si="52"/>
        <v>#DIV/0!</v>
      </c>
      <c r="AM91" s="167" t="e">
        <f t="shared" si="52"/>
        <v>#DIV/0!</v>
      </c>
      <c r="AN91" s="167" t="e">
        <f t="shared" si="52"/>
        <v>#DIV/0!</v>
      </c>
      <c r="AO91" s="167" t="e">
        <f t="shared" si="52"/>
        <v>#DIV/0!</v>
      </c>
    </row>
    <row r="92" spans="2:41" x14ac:dyDescent="0.15">
      <c r="B92" s="473" t="s">
        <v>20</v>
      </c>
      <c r="C92" s="128" t="s">
        <v>997</v>
      </c>
      <c r="D92" s="94" cm="1">
        <f t="array" ref="D92">SUM(SUMIFS('caseload data'!E:E,'caseload data'!$D:$D,"PO",'caseload data'!$A:$A,_xlfn.SINGLE('national caseload'!$B$92:$B$94),'caseload data'!$B:$B,{"licence","community"}))</f>
        <v>0</v>
      </c>
      <c r="E92" s="94" cm="1">
        <f t="array" ref="E92">SUM(SUMIFS('caseload data'!F:F,'caseload data'!$D:$D,"PO",'caseload data'!$A:$A,_xlfn.SINGLE('national caseload'!$B$92:$B$94),'caseload data'!$B:$B,{"licence","community"}))</f>
        <v>0</v>
      </c>
      <c r="F92" s="94" cm="1">
        <f t="array" ref="F92">SUM(SUMIFS('caseload data'!G:G,'caseload data'!$D:$D,"PO",'caseload data'!$A:$A,_xlfn.SINGLE('national caseload'!$B$92:$B$94),'caseload data'!$B:$B,{"licence","community"}))</f>
        <v>0</v>
      </c>
      <c r="G92" s="94" cm="1">
        <f t="array" ref="G92">SUM(SUMIFS('caseload data'!H:H,'caseload data'!$D:$D,"PO",'caseload data'!$A:$A,_xlfn.SINGLE('national caseload'!$B$92:$B$94),'caseload data'!$B:$B,{"licence","community"}))</f>
        <v>0</v>
      </c>
      <c r="H92" s="94" cm="1">
        <f t="array" ref="H92">SUM(SUMIFS('caseload data'!I:I,'caseload data'!$D:$D,"PO",'caseload data'!$A:$A,_xlfn.SINGLE('national caseload'!$B$92:$B$94),'caseload data'!$B:$B,{"licence","community"}))</f>
        <v>0</v>
      </c>
      <c r="I92" s="94" cm="1">
        <f t="array" ref="I92">SUM(SUMIFS('caseload data'!J:J,'caseload data'!$D:$D,"PO",'caseload data'!$A:$A,_xlfn.SINGLE('national caseload'!$B$92:$B$94),'caseload data'!$B:$B,{"licence","community"}))</f>
        <v>0</v>
      </c>
      <c r="J92" s="94" cm="1">
        <f t="array" ref="J92">SUM(SUMIFS('caseload data'!K:K,'caseload data'!$D:$D,"PO",'caseload data'!$A:$A,_xlfn.SINGLE('national caseload'!$B$92:$B$94),'caseload data'!$B:$B,{"licence","community"}))</f>
        <v>0</v>
      </c>
      <c r="K92" s="94" cm="1">
        <f t="array" ref="K92">SUM(SUMIFS('caseload data'!L:L,'caseload data'!$D:$D,"PO",'caseload data'!$A:$A,_xlfn.SINGLE('national caseload'!$B$92:$B$94),'caseload data'!$B:$B,{"licence","community"}))</f>
        <v>0</v>
      </c>
      <c r="L92" s="94" cm="1">
        <f t="array" ref="L92">SUM(SUMIFS('caseload data'!M:M,'caseload data'!$D:$D,"PO",'caseload data'!$A:$A,_xlfn.SINGLE('national caseload'!$B$92:$B$94),'caseload data'!$B:$B,{"licence","community"}))</f>
        <v>0</v>
      </c>
      <c r="M92" s="94" cm="1">
        <f t="array" ref="M92">SUM(SUMIFS('caseload data'!N:N,'caseload data'!$D:$D,"PO",'caseload data'!$A:$A,_xlfn.SINGLE('national caseload'!$B$92:$B$94),'caseload data'!$B:$B,{"licence","community"}))</f>
        <v>0</v>
      </c>
      <c r="N92" s="94" cm="1">
        <f t="array" ref="N92">SUM(SUMIFS('caseload data'!O:O,'caseload data'!$D:$D,"PO",'caseload data'!$A:$A,_xlfn.SINGLE('national caseload'!$B$92:$B$94),'caseload data'!$B:$B,{"licence","community"}))</f>
        <v>0</v>
      </c>
      <c r="O92" s="94" cm="1">
        <f t="array" ref="O92">SUM(SUMIFS('caseload data'!P:P,'caseload data'!$D:$D,"PO",'caseload data'!$A:$A,_xlfn.SINGLE('national caseload'!$B$92:$B$94),'caseload data'!$B:$B,{"licence","community"}))</f>
        <v>0</v>
      </c>
      <c r="P92" s="94" cm="1">
        <f t="array" ref="P92">SUM(SUMIFS('caseload data'!Q:Q,'caseload data'!$D:$D,"PO",'caseload data'!$A:$A,_xlfn.SINGLE('national caseload'!$B$92:$B$94),'caseload data'!$B:$B,{"licence","community"}))</f>
        <v>0</v>
      </c>
      <c r="Q92" s="94" cm="1">
        <f t="array" ref="Q92">SUM(SUMIFS('caseload data'!R:R,'caseload data'!$D:$D,"PO",'caseload data'!$A:$A,_xlfn.SINGLE('national caseload'!$B$92:$B$94),'caseload data'!$B:$B,{"licence","community"}))</f>
        <v>0</v>
      </c>
      <c r="R92" s="94" cm="1">
        <f t="array" ref="R92">SUM(SUMIFS('caseload data'!S:S,'caseload data'!$D:$D,"PO",'caseload data'!$A:$A,_xlfn.SINGLE('national caseload'!$B$92:$B$94),'caseload data'!$B:$B,{"licence","community"}))</f>
        <v>0</v>
      </c>
      <c r="S92" s="94" cm="1">
        <f t="array" ref="S92">SUM(SUMIFS('caseload data'!T:T,'caseload data'!$D:$D,"PO",'caseload data'!$A:$A,_xlfn.SINGLE('national caseload'!$B$92:$B$94),'caseload data'!$B:$B,{"licence","community"}))</f>
        <v>0</v>
      </c>
      <c r="T92" s="94">
        <f>SUM(SUMIFS('caseload data'!V:V,'caseload data'!D:D,"PO",'caseload data'!A:A,'national caseload'!B92:B94,'caseload data'!B:B,{"licence","community"}))</f>
        <v>0</v>
      </c>
      <c r="U92" s="64"/>
      <c r="V92" s="64"/>
      <c r="W92" s="473" t="s">
        <v>20</v>
      </c>
      <c r="X92" s="128" t="s">
        <v>997</v>
      </c>
      <c r="Y92" s="167" t="e">
        <f>SUM(D92)/SUM(D$92:D$96)</f>
        <v>#DIV/0!</v>
      </c>
      <c r="Z92" s="167" t="e">
        <f t="shared" ref="Z92:AO96" si="54">SUM(E92)/SUM(E$92:E$96)</f>
        <v>#DIV/0!</v>
      </c>
      <c r="AA92" s="167" t="e">
        <f t="shared" si="54"/>
        <v>#DIV/0!</v>
      </c>
      <c r="AB92" s="167" t="e">
        <f t="shared" si="54"/>
        <v>#DIV/0!</v>
      </c>
      <c r="AC92" s="167" t="e">
        <f t="shared" si="54"/>
        <v>#DIV/0!</v>
      </c>
      <c r="AD92" s="167" t="e">
        <f t="shared" si="54"/>
        <v>#DIV/0!</v>
      </c>
      <c r="AE92" s="167" t="e">
        <f t="shared" si="54"/>
        <v>#DIV/0!</v>
      </c>
      <c r="AF92" s="167" t="e">
        <f t="shared" si="54"/>
        <v>#DIV/0!</v>
      </c>
      <c r="AG92" s="167" t="e">
        <f t="shared" si="54"/>
        <v>#DIV/0!</v>
      </c>
      <c r="AH92" s="167" t="e">
        <f t="shared" si="54"/>
        <v>#DIV/0!</v>
      </c>
      <c r="AI92" s="167" t="e">
        <f t="shared" si="54"/>
        <v>#DIV/0!</v>
      </c>
      <c r="AJ92" s="167" t="e">
        <f t="shared" si="54"/>
        <v>#DIV/0!</v>
      </c>
      <c r="AK92" s="167" t="e">
        <f t="shared" si="54"/>
        <v>#DIV/0!</v>
      </c>
      <c r="AL92" s="167" t="e">
        <f t="shared" si="54"/>
        <v>#DIV/0!</v>
      </c>
      <c r="AM92" s="167" t="e">
        <f t="shared" si="54"/>
        <v>#DIV/0!</v>
      </c>
      <c r="AN92" s="167" t="e">
        <f t="shared" si="54"/>
        <v>#DIV/0!</v>
      </c>
      <c r="AO92" s="167" t="e">
        <f t="shared" si="54"/>
        <v>#DIV/0!</v>
      </c>
    </row>
    <row r="93" spans="2:41" x14ac:dyDescent="0.15">
      <c r="B93" s="474"/>
      <c r="C93" s="129" t="s">
        <v>1002</v>
      </c>
      <c r="D93" s="94" cm="1">
        <f t="array" ref="D93">SUM(SUMIFS('caseload data'!E:E,'caseload data'!$D:$D,"PSO",'caseload data'!$A:$A,"Kent Surrey Sussex Region",'caseload data'!$B:$B,{"licence","community"}))</f>
        <v>0</v>
      </c>
      <c r="E93" s="94" cm="1">
        <f t="array" ref="E93">SUM(SUMIFS('caseload data'!F:F,'caseload data'!$D:$D,"PSO",'caseload data'!$A:$A,"Kent Surrey Sussex Region",'caseload data'!$B:$B,{"licence","community"}))</f>
        <v>0</v>
      </c>
      <c r="F93" s="94" cm="1">
        <f t="array" ref="F93">SUM(SUMIFS('caseload data'!G:G,'caseload data'!$D:$D,"PSO",'caseload data'!$A:$A,"Kent Surrey Sussex Region",'caseload data'!$B:$B,{"licence","community"}))</f>
        <v>0</v>
      </c>
      <c r="G93" s="94" cm="1">
        <f t="array" ref="G93">SUM(SUMIFS('caseload data'!H:H,'caseload data'!$D:$D,"PSO",'caseload data'!$A:$A,"Kent Surrey Sussex Region",'caseload data'!$B:$B,{"licence","community"}))</f>
        <v>0</v>
      </c>
      <c r="H93" s="94" cm="1">
        <f t="array" ref="H93">SUM(SUMIFS('caseload data'!I:I,'caseload data'!$D:$D,"PSO",'caseload data'!$A:$A,"Kent Surrey Sussex Region",'caseload data'!$B:$B,{"licence","community"}))</f>
        <v>0</v>
      </c>
      <c r="I93" s="94" cm="1">
        <f t="array" ref="I93">SUM(SUMIFS('caseload data'!J:J,'caseload data'!$D:$D,"PSO",'caseload data'!$A:$A,"Kent Surrey Sussex Region",'caseload data'!$B:$B,{"licence","community"}))</f>
        <v>0</v>
      </c>
      <c r="J93" s="94" cm="1">
        <f t="array" ref="J93">SUM(SUMIFS('caseload data'!K:K,'caseload data'!$D:$D,"PSO",'caseload data'!$A:$A,"Kent Surrey Sussex Region",'caseload data'!$B:$B,{"licence","community"}))</f>
        <v>0</v>
      </c>
      <c r="K93" s="94" cm="1">
        <f t="array" ref="K93">SUM(SUMIFS('caseload data'!L:L,'caseload data'!$D:$D,"PSO",'caseload data'!$A:$A,"Kent Surrey Sussex Region",'caseload data'!$B:$B,{"licence","community"}))</f>
        <v>0</v>
      </c>
      <c r="L93" s="94" cm="1">
        <f t="array" ref="L93">SUM(SUMIFS('caseload data'!M:M,'caseload data'!$D:$D,"PSO",'caseload data'!$A:$A,"Kent Surrey Sussex Region",'caseload data'!$B:$B,{"licence","community"}))</f>
        <v>0</v>
      </c>
      <c r="M93" s="94" cm="1">
        <f t="array" ref="M93">SUM(SUMIFS('caseload data'!N:N,'caseload data'!$D:$D,"PSO",'caseload data'!$A:$A,"Kent Surrey Sussex Region",'caseload data'!$B:$B,{"licence","community"}))</f>
        <v>0</v>
      </c>
      <c r="N93" s="94" cm="1">
        <f t="array" ref="N93">SUM(SUMIFS('caseload data'!O:O,'caseload data'!$D:$D,"PSO",'caseload data'!$A:$A,"Kent Surrey Sussex Region",'caseload data'!$B:$B,{"licence","community"}))</f>
        <v>0</v>
      </c>
      <c r="O93" s="94" cm="1">
        <f t="array" ref="O93">SUM(SUMIFS('caseload data'!P:P,'caseload data'!$D:$D,"PSO",'caseload data'!$A:$A,"Kent Surrey Sussex Region",'caseload data'!$B:$B,{"licence","community"}))</f>
        <v>0</v>
      </c>
      <c r="P93" s="94" cm="1">
        <f t="array" ref="P93">SUM(SUMIFS('caseload data'!Q:Q,'caseload data'!$D:$D,"PSO",'caseload data'!$A:$A,"Kent Surrey Sussex Region",'caseload data'!$B:$B,{"licence","community"}))</f>
        <v>0</v>
      </c>
      <c r="Q93" s="94" cm="1">
        <f t="array" ref="Q93">SUM(SUMIFS('caseload data'!R:R,'caseload data'!$D:$D,"PSO",'caseload data'!$A:$A,"Kent Surrey Sussex Region",'caseload data'!$B:$B,{"licence","community"}))</f>
        <v>0</v>
      </c>
      <c r="R93" s="94" cm="1">
        <f t="array" ref="R93">SUM(SUMIFS('caseload data'!S:S,'caseload data'!$D:$D,"PSO",'caseload data'!$A:$A,"Kent Surrey Sussex Region",'caseload data'!$B:$B,{"licence","community"}))</f>
        <v>0</v>
      </c>
      <c r="S93" s="94" cm="1">
        <f t="array" ref="S93">SUM(SUMIFS('caseload data'!T:T,'caseload data'!$D:$D,"PSO",'caseload data'!$A:$A,"Kent Surrey Sussex Region",'caseload data'!$B:$B,{"licence","community"}))</f>
        <v>0</v>
      </c>
      <c r="T93" s="94" cm="1">
        <f t="array" ref="T93">SUM(SUMIFS('caseload data'!V:V,'caseload data'!D:D,"PSO",'caseload data'!A:A,"Kent Surrey Sussex Region",'caseload data'!B:B,{"licence","community"}))</f>
        <v>0</v>
      </c>
      <c r="U93" s="64"/>
      <c r="V93" s="64"/>
      <c r="W93" s="474"/>
      <c r="X93" s="129" t="s">
        <v>1002</v>
      </c>
      <c r="Y93" s="167" t="e">
        <f t="shared" ref="Y93:Y96" si="55">SUM(D93)/SUM(D$92:D$96)</f>
        <v>#DIV/0!</v>
      </c>
      <c r="Z93" s="167" t="e">
        <f t="shared" si="54"/>
        <v>#DIV/0!</v>
      </c>
      <c r="AA93" s="167" t="e">
        <f t="shared" si="54"/>
        <v>#DIV/0!</v>
      </c>
      <c r="AB93" s="167" t="e">
        <f t="shared" si="54"/>
        <v>#DIV/0!</v>
      </c>
      <c r="AC93" s="167" t="e">
        <f t="shared" si="54"/>
        <v>#DIV/0!</v>
      </c>
      <c r="AD93" s="167" t="e">
        <f t="shared" si="54"/>
        <v>#DIV/0!</v>
      </c>
      <c r="AE93" s="167" t="e">
        <f t="shared" si="54"/>
        <v>#DIV/0!</v>
      </c>
      <c r="AF93" s="167" t="e">
        <f t="shared" si="54"/>
        <v>#DIV/0!</v>
      </c>
      <c r="AG93" s="167" t="e">
        <f t="shared" si="54"/>
        <v>#DIV/0!</v>
      </c>
      <c r="AH93" s="167" t="e">
        <f t="shared" si="54"/>
        <v>#DIV/0!</v>
      </c>
      <c r="AI93" s="167" t="e">
        <f t="shared" si="54"/>
        <v>#DIV/0!</v>
      </c>
      <c r="AJ93" s="167" t="e">
        <f t="shared" si="54"/>
        <v>#DIV/0!</v>
      </c>
      <c r="AK93" s="167" t="e">
        <f t="shared" si="54"/>
        <v>#DIV/0!</v>
      </c>
      <c r="AL93" s="167" t="e">
        <f t="shared" si="54"/>
        <v>#DIV/0!</v>
      </c>
      <c r="AM93" s="167" t="e">
        <f t="shared" si="54"/>
        <v>#DIV/0!</v>
      </c>
      <c r="AN93" s="167" t="e">
        <f t="shared" si="54"/>
        <v>#DIV/0!</v>
      </c>
      <c r="AO93" s="167" t="e">
        <f t="shared" si="54"/>
        <v>#DIV/0!</v>
      </c>
    </row>
    <row r="94" spans="2:41" x14ac:dyDescent="0.15">
      <c r="B94" s="474"/>
      <c r="C94" s="129" t="s">
        <v>1003</v>
      </c>
      <c r="D94" s="94" cm="1">
        <f t="array" ref="D94">SUM(SUMIFS('caseload data'!E:E,'caseload data'!$D:$D,"TPO",'caseload data'!$A:$A,"Kent Surrey Sussex Region",'caseload data'!$B:$B,{"licence","community"}))</f>
        <v>0</v>
      </c>
      <c r="E94" s="94" cm="1">
        <f t="array" ref="E94">SUM(SUMIFS('caseload data'!F:F,'caseload data'!$D:$D,"TPO",'caseload data'!$A:$A,"Kent Surrey Sussex Region",'caseload data'!$B:$B,{"licence","community"}))</f>
        <v>0</v>
      </c>
      <c r="F94" s="94" cm="1">
        <f t="array" ref="F94">SUM(SUMIFS('caseload data'!G:G,'caseload data'!$D:$D,"TPO",'caseload data'!$A:$A,"Kent Surrey Sussex Region",'caseload data'!$B:$B,{"licence","community"}))</f>
        <v>0</v>
      </c>
      <c r="G94" s="94" cm="1">
        <f t="array" ref="G94">SUM(SUMIFS('caseload data'!H:H,'caseload data'!$D:$D,"TPO",'caseload data'!$A:$A,"Kent Surrey Sussex Region",'caseload data'!$B:$B,{"licence","community"}))</f>
        <v>0</v>
      </c>
      <c r="H94" s="94" cm="1">
        <f t="array" ref="H94">SUM(SUMIFS('caseload data'!I:I,'caseload data'!$D:$D,"TPO",'caseload data'!$A:$A,"Kent Surrey Sussex Region",'caseload data'!$B:$B,{"licence","community"}))</f>
        <v>0</v>
      </c>
      <c r="I94" s="94" cm="1">
        <f t="array" ref="I94">SUM(SUMIFS('caseload data'!J:J,'caseload data'!$D:$D,"TPO",'caseload data'!$A:$A,"Kent Surrey Sussex Region",'caseload data'!$B:$B,{"licence","community"}))</f>
        <v>0</v>
      </c>
      <c r="J94" s="94" cm="1">
        <f t="array" ref="J94">SUM(SUMIFS('caseload data'!K:K,'caseload data'!$D:$D,"TPO",'caseload data'!$A:$A,"Kent Surrey Sussex Region",'caseload data'!$B:$B,{"licence","community"}))</f>
        <v>0</v>
      </c>
      <c r="K94" s="94" cm="1">
        <f t="array" ref="K94">SUM(SUMIFS('caseload data'!L:L,'caseload data'!$D:$D,"TPO",'caseload data'!$A:$A,"Kent Surrey Sussex Region",'caseload data'!$B:$B,{"licence","community"}))</f>
        <v>0</v>
      </c>
      <c r="L94" s="94" cm="1">
        <f t="array" ref="L94">SUM(SUMIFS('caseload data'!M:M,'caseload data'!$D:$D,"TPO",'caseload data'!$A:$A,"Kent Surrey Sussex Region",'caseload data'!$B:$B,{"licence","community"}))</f>
        <v>0</v>
      </c>
      <c r="M94" s="94" cm="1">
        <f t="array" ref="M94">SUM(SUMIFS('caseload data'!N:N,'caseload data'!$D:$D,"TPO",'caseload data'!$A:$A,"Kent Surrey Sussex Region",'caseload data'!$B:$B,{"licence","community"}))</f>
        <v>0</v>
      </c>
      <c r="N94" s="94" cm="1">
        <f t="array" ref="N94">SUM(SUMIFS('caseload data'!O:O,'caseload data'!$D:$D,"TPO",'caseload data'!$A:$A,"Kent Surrey Sussex Region",'caseload data'!$B:$B,{"licence","community"}))</f>
        <v>0</v>
      </c>
      <c r="O94" s="94" cm="1">
        <f t="array" ref="O94">SUM(SUMIFS('caseload data'!P:P,'caseload data'!$D:$D,"TPO",'caseload data'!$A:$A,"Kent Surrey Sussex Region",'caseload data'!$B:$B,{"licence","community"}))</f>
        <v>0</v>
      </c>
      <c r="P94" s="94" cm="1">
        <f t="array" ref="P94">SUM(SUMIFS('caseload data'!Q:Q,'caseload data'!$D:$D,"TPO",'caseload data'!$A:$A,"Kent Surrey Sussex Region",'caseload data'!$B:$B,{"licence","community"}))</f>
        <v>0</v>
      </c>
      <c r="Q94" s="94" cm="1">
        <f t="array" ref="Q94">SUM(SUMIFS('caseload data'!R:R,'caseload data'!$D:$D,"TPO",'caseload data'!$A:$A,"Kent Surrey Sussex Region",'caseload data'!$B:$B,{"licence","community"}))</f>
        <v>0</v>
      </c>
      <c r="R94" s="94" cm="1">
        <f t="array" ref="R94">SUM(SUMIFS('caseload data'!S:S,'caseload data'!$D:$D,"TPO",'caseload data'!$A:$A,"Kent Surrey Sussex Region",'caseload data'!$B:$B,{"licence","community"}))</f>
        <v>0</v>
      </c>
      <c r="S94" s="94" cm="1">
        <f t="array" ref="S94">SUM(SUMIFS('caseload data'!T:T,'caseload data'!$D:$D,"TPO",'caseload data'!$A:$A,"Kent Surrey Sussex Region",'caseload data'!$B:$B,{"licence","community"}))</f>
        <v>0</v>
      </c>
      <c r="T94" s="94" cm="1">
        <f t="array" ref="T94">SUM(SUMIFS('caseload data'!V:V,'caseload data'!D:D,"TPO",'caseload data'!A:A,"Kent Surrey Sussex Region",'caseload data'!B:B,{"licence","community"}))</f>
        <v>0</v>
      </c>
      <c r="U94" s="64"/>
      <c r="V94" s="64"/>
      <c r="W94" s="474"/>
      <c r="X94" s="129" t="s">
        <v>1003</v>
      </c>
      <c r="Y94" s="167" t="e">
        <f t="shared" si="55"/>
        <v>#DIV/0!</v>
      </c>
      <c r="Z94" s="167" t="e">
        <f t="shared" si="54"/>
        <v>#DIV/0!</v>
      </c>
      <c r="AA94" s="167" t="e">
        <f t="shared" si="54"/>
        <v>#DIV/0!</v>
      </c>
      <c r="AB94" s="167" t="e">
        <f t="shared" si="54"/>
        <v>#DIV/0!</v>
      </c>
      <c r="AC94" s="167" t="e">
        <f t="shared" si="54"/>
        <v>#DIV/0!</v>
      </c>
      <c r="AD94" s="167" t="e">
        <f t="shared" si="54"/>
        <v>#DIV/0!</v>
      </c>
      <c r="AE94" s="167" t="e">
        <f t="shared" si="54"/>
        <v>#DIV/0!</v>
      </c>
      <c r="AF94" s="167" t="e">
        <f t="shared" si="54"/>
        <v>#DIV/0!</v>
      </c>
      <c r="AG94" s="167" t="e">
        <f t="shared" si="54"/>
        <v>#DIV/0!</v>
      </c>
      <c r="AH94" s="167" t="e">
        <f t="shared" si="54"/>
        <v>#DIV/0!</v>
      </c>
      <c r="AI94" s="167" t="e">
        <f t="shared" si="54"/>
        <v>#DIV/0!</v>
      </c>
      <c r="AJ94" s="167" t="e">
        <f t="shared" si="54"/>
        <v>#DIV/0!</v>
      </c>
      <c r="AK94" s="167" t="e">
        <f t="shared" si="54"/>
        <v>#DIV/0!</v>
      </c>
      <c r="AL94" s="167" t="e">
        <f t="shared" si="54"/>
        <v>#DIV/0!</v>
      </c>
      <c r="AM94" s="167" t="e">
        <f t="shared" si="54"/>
        <v>#DIV/0!</v>
      </c>
      <c r="AN94" s="167" t="e">
        <f t="shared" si="54"/>
        <v>#DIV/0!</v>
      </c>
      <c r="AO94" s="167" t="e">
        <f t="shared" si="54"/>
        <v>#DIV/0!</v>
      </c>
    </row>
    <row r="95" spans="2:41" x14ac:dyDescent="0.15">
      <c r="B95" s="474"/>
      <c r="C95" s="129" t="s">
        <v>1004</v>
      </c>
      <c r="D95" s="94" cm="1">
        <f t="array" ref="D95">SUM(SUMIFS('caseload data'!E:E,'caseload data'!$D:$D,"SPO",'caseload data'!$A:$A,"Kent Surrey Sussex Region",'caseload data'!$B:$B,{"licence","community"}))</f>
        <v>0</v>
      </c>
      <c r="E95" s="94" cm="1">
        <f t="array" ref="E95">SUM(SUMIFS('caseload data'!F:F,'caseload data'!$D:$D,"SPO",'caseload data'!$A:$A,"Kent Surrey Sussex Region",'caseload data'!$B:$B,{"licence","community"}))</f>
        <v>0</v>
      </c>
      <c r="F95" s="94" cm="1">
        <f t="array" ref="F95">SUM(SUMIFS('caseload data'!G:G,'caseload data'!$D:$D,"SPO",'caseload data'!$A:$A,"Kent Surrey Sussex Region",'caseload data'!$B:$B,{"licence","community"}))</f>
        <v>0</v>
      </c>
      <c r="G95" s="94" cm="1">
        <f t="array" ref="G95">SUM(SUMIFS('caseload data'!H:H,'caseload data'!$D:$D,"SPO",'caseload data'!$A:$A,"Kent Surrey Sussex Region",'caseload data'!$B:$B,{"licence","community"}))</f>
        <v>0</v>
      </c>
      <c r="H95" s="94" cm="1">
        <f t="array" ref="H95">SUM(SUMIFS('caseload data'!I:I,'caseload data'!$D:$D,"SPO",'caseload data'!$A:$A,"Kent Surrey Sussex Region",'caseload data'!$B:$B,{"licence","community"}))</f>
        <v>0</v>
      </c>
      <c r="I95" s="94" cm="1">
        <f t="array" ref="I95">SUM(SUMIFS('caseload data'!J:J,'caseload data'!$D:$D,"SPO",'caseload data'!$A:$A,"Kent Surrey Sussex Region",'caseload data'!$B:$B,{"licence","community"}))</f>
        <v>0</v>
      </c>
      <c r="J95" s="94" cm="1">
        <f t="array" ref="J95">SUM(SUMIFS('caseload data'!K:K,'caseload data'!$D:$D,"SPO",'caseload data'!$A:$A,"Kent Surrey Sussex Region",'caseload data'!$B:$B,{"licence","community"}))</f>
        <v>0</v>
      </c>
      <c r="K95" s="94" cm="1">
        <f t="array" ref="K95">SUM(SUMIFS('caseload data'!L:L,'caseload data'!$D:$D,"SPO",'caseload data'!$A:$A,"Kent Surrey Sussex Region",'caseload data'!$B:$B,{"licence","community"}))</f>
        <v>0</v>
      </c>
      <c r="L95" s="94" cm="1">
        <f t="array" ref="L95">SUM(SUMIFS('caseload data'!M:M,'caseload data'!$D:$D,"SPO",'caseload data'!$A:$A,"Kent Surrey Sussex Region",'caseload data'!$B:$B,{"licence","community"}))</f>
        <v>0</v>
      </c>
      <c r="M95" s="94" cm="1">
        <f t="array" ref="M95">SUM(SUMIFS('caseload data'!N:N,'caseload data'!$D:$D,"SPO",'caseload data'!$A:$A,"Kent Surrey Sussex Region",'caseload data'!$B:$B,{"licence","community"}))</f>
        <v>0</v>
      </c>
      <c r="N95" s="94" cm="1">
        <f t="array" ref="N95">SUM(SUMIFS('caseload data'!O:O,'caseload data'!$D:$D,"SPO",'caseload data'!$A:$A,"Kent Surrey Sussex Region",'caseload data'!$B:$B,{"licence","community"}))</f>
        <v>0</v>
      </c>
      <c r="O95" s="94" cm="1">
        <f t="array" ref="O95">SUM(SUMIFS('caseload data'!P:P,'caseload data'!$D:$D,"SPO",'caseload data'!$A:$A,"Kent Surrey Sussex Region",'caseload data'!$B:$B,{"licence","community"}))</f>
        <v>0</v>
      </c>
      <c r="P95" s="94" cm="1">
        <f t="array" ref="P95">SUM(SUMIFS('caseload data'!Q:Q,'caseload data'!$D:$D,"SPO",'caseload data'!$A:$A,"Kent Surrey Sussex Region",'caseload data'!$B:$B,{"licence","community"}))</f>
        <v>0</v>
      </c>
      <c r="Q95" s="94" cm="1">
        <f t="array" ref="Q95">SUM(SUMIFS('caseload data'!R:R,'caseload data'!$D:$D,"SPO",'caseload data'!$A:$A,"Kent Surrey Sussex Region",'caseload data'!$B:$B,{"licence","community"}))</f>
        <v>0</v>
      </c>
      <c r="R95" s="94" cm="1">
        <f t="array" ref="R95">SUM(SUMIFS('caseload data'!S:S,'caseload data'!$D:$D,"SPO",'caseload data'!$A:$A,"Kent Surrey Sussex Region",'caseload data'!$B:$B,{"licence","community"}))</f>
        <v>0</v>
      </c>
      <c r="S95" s="94" cm="1">
        <f t="array" ref="S95">SUM(SUMIFS('caseload data'!T:T,'caseload data'!$D:$D,"SPO",'caseload data'!$A:$A,"Kent Surrey Sussex Region",'caseload data'!$B:$B,{"licence","community"}))</f>
        <v>0</v>
      </c>
      <c r="T95" s="94" cm="1">
        <f t="array" ref="T95">SUM(SUMIFS('caseload data'!V:V,'caseload data'!$D:$D,"SPO",'caseload data'!$A:$A,"Kent Surrey Sussex Region",'caseload data'!$B:$B,{"licence","community"}))</f>
        <v>0</v>
      </c>
      <c r="U95" s="64"/>
      <c r="V95" s="64"/>
      <c r="W95" s="474"/>
      <c r="X95" s="129" t="s">
        <v>1004</v>
      </c>
      <c r="Y95" s="167" t="e">
        <f t="shared" si="55"/>
        <v>#DIV/0!</v>
      </c>
      <c r="Z95" s="167" t="e">
        <f t="shared" si="54"/>
        <v>#DIV/0!</v>
      </c>
      <c r="AA95" s="167" t="e">
        <f t="shared" si="54"/>
        <v>#DIV/0!</v>
      </c>
      <c r="AB95" s="167" t="e">
        <f t="shared" si="54"/>
        <v>#DIV/0!</v>
      </c>
      <c r="AC95" s="167" t="e">
        <f t="shared" si="54"/>
        <v>#DIV/0!</v>
      </c>
      <c r="AD95" s="167" t="e">
        <f t="shared" si="54"/>
        <v>#DIV/0!</v>
      </c>
      <c r="AE95" s="167" t="e">
        <f t="shared" si="54"/>
        <v>#DIV/0!</v>
      </c>
      <c r="AF95" s="167" t="e">
        <f t="shared" si="54"/>
        <v>#DIV/0!</v>
      </c>
      <c r="AG95" s="167" t="e">
        <f t="shared" si="54"/>
        <v>#DIV/0!</v>
      </c>
      <c r="AH95" s="167" t="e">
        <f t="shared" si="54"/>
        <v>#DIV/0!</v>
      </c>
      <c r="AI95" s="167" t="e">
        <f t="shared" si="54"/>
        <v>#DIV/0!</v>
      </c>
      <c r="AJ95" s="167" t="e">
        <f t="shared" si="54"/>
        <v>#DIV/0!</v>
      </c>
      <c r="AK95" s="167" t="e">
        <f t="shared" si="54"/>
        <v>#DIV/0!</v>
      </c>
      <c r="AL95" s="167" t="e">
        <f t="shared" si="54"/>
        <v>#DIV/0!</v>
      </c>
      <c r="AM95" s="167" t="e">
        <f t="shared" si="54"/>
        <v>#DIV/0!</v>
      </c>
      <c r="AN95" s="167" t="e">
        <f t="shared" si="54"/>
        <v>#DIV/0!</v>
      </c>
      <c r="AO95" s="167" t="e">
        <f t="shared" si="54"/>
        <v>#DIV/0!</v>
      </c>
    </row>
    <row r="96" spans="2:41" x14ac:dyDescent="0.15">
      <c r="B96" s="475"/>
      <c r="C96" s="130" t="s">
        <v>1339</v>
      </c>
      <c r="D96" s="94" cm="1">
        <f t="array" ref="D96">SUM(SUMIFS('caseload data'!E:E,'caseload data'!$D:$D,"DMY",'caseload data'!$A:$A,"Kent Surrey Sussex Region",'caseload data'!$B:$B,{"licence","community"}))</f>
        <v>0</v>
      </c>
      <c r="E96" s="94" cm="1">
        <f t="array" ref="E96">SUM(SUMIFS('caseload data'!F:F,'caseload data'!$D:$D,"DMY",'caseload data'!$A:$A,"Kent Surrey Sussex Region",'caseload data'!$B:$B,{"licence","community"}))</f>
        <v>0</v>
      </c>
      <c r="F96" s="94" cm="1">
        <f t="array" ref="F96">SUM(SUMIFS('caseload data'!G:G,'caseload data'!$D:$D,"DMY",'caseload data'!$A:$A,"Kent Surrey Sussex Region",'caseload data'!$B:$B,{"licence","community"}))</f>
        <v>0</v>
      </c>
      <c r="G96" s="94" cm="1">
        <f t="array" ref="G96">SUM(SUMIFS('caseload data'!H:H,'caseload data'!$D:$D,"DMY",'caseload data'!$A:$A,"Kent Surrey Sussex Region",'caseload data'!$B:$B,{"licence","community"}))</f>
        <v>0</v>
      </c>
      <c r="H96" s="94" cm="1">
        <f t="array" ref="H96">SUM(SUMIFS('caseload data'!I:I,'caseload data'!$D:$D,"DMY",'caseload data'!$A:$A,"Kent Surrey Sussex Region",'caseload data'!$B:$B,{"licence","community"}))</f>
        <v>0</v>
      </c>
      <c r="I96" s="94" cm="1">
        <f t="array" ref="I96">SUM(SUMIFS('caseload data'!J:J,'caseload data'!$D:$D,"DMY",'caseload data'!$A:$A,"Kent Surrey Sussex Region",'caseload data'!$B:$B,{"licence","community"}))</f>
        <v>0</v>
      </c>
      <c r="J96" s="94" cm="1">
        <f t="array" ref="J96">SUM(SUMIFS('caseload data'!K:K,'caseload data'!$D:$D,"DMY",'caseload data'!$A:$A,"Kent Surrey Sussex Region",'caseload data'!$B:$B,{"licence","community"}))</f>
        <v>0</v>
      </c>
      <c r="K96" s="94" cm="1">
        <f t="array" ref="K96">SUM(SUMIFS('caseload data'!L:L,'caseload data'!$D:$D,"DMY",'caseload data'!$A:$A,"Kent Surrey Sussex Region",'caseload data'!$B:$B,{"licence","community"}))</f>
        <v>0</v>
      </c>
      <c r="L96" s="94" cm="1">
        <f t="array" ref="L96">SUM(SUMIFS('caseload data'!M:M,'caseload data'!$D:$D,"DMY",'caseload data'!$A:$A,"Kent Surrey Sussex Region",'caseload data'!$B:$B,{"licence","community"}))</f>
        <v>0</v>
      </c>
      <c r="M96" s="94" cm="1">
        <f t="array" ref="M96">SUM(SUMIFS('caseload data'!N:N,'caseload data'!$D:$D,"DMY",'caseload data'!$A:$A,"Kent Surrey Sussex Region",'caseload data'!$B:$B,{"licence","community"}))</f>
        <v>0</v>
      </c>
      <c r="N96" s="94" cm="1">
        <f t="array" ref="N96">SUM(SUMIFS('caseload data'!O:O,'caseload data'!$D:$D,"DMY",'caseload data'!$A:$A,"Kent Surrey Sussex Region",'caseload data'!$B:$B,{"licence","community"}))</f>
        <v>0</v>
      </c>
      <c r="O96" s="94" cm="1">
        <f t="array" ref="O96">SUM(SUMIFS('caseload data'!P:P,'caseload data'!$D:$D,"DMY",'caseload data'!$A:$A,"Kent Surrey Sussex Region",'caseload data'!$B:$B,{"licence","community"}))</f>
        <v>0</v>
      </c>
      <c r="P96" s="94" cm="1">
        <f t="array" ref="P96">SUM(SUMIFS('caseload data'!Q:Q,'caseload data'!$D:$D,"DMY",'caseload data'!$A:$A,"Kent Surrey Sussex Region",'caseload data'!$B:$B,{"licence","community"}))</f>
        <v>0</v>
      </c>
      <c r="Q96" s="94" cm="1">
        <f t="array" ref="Q96">SUM(SUMIFS('caseload data'!R:R,'caseload data'!$D:$D,"DMY",'caseload data'!$A:$A,"Kent Surrey Sussex Region",'caseload data'!$B:$B,{"licence","community"}))</f>
        <v>0</v>
      </c>
      <c r="R96" s="94" cm="1">
        <f t="array" ref="R96">SUM(SUMIFS('caseload data'!S:S,'caseload data'!$D:$D,"DMY",'caseload data'!$A:$A,"Kent Surrey Sussex Region",'caseload data'!$B:$B,{"licence","community"}))</f>
        <v>0</v>
      </c>
      <c r="S96" s="94" cm="1">
        <f t="array" ref="S96">SUM(SUMIFS('caseload data'!T:T,'caseload data'!$D:$D,"DMY",'caseload data'!$A:$A,"Kent Surrey Sussex Region",'caseload data'!$B:$B,{"licence","community"}))</f>
        <v>0</v>
      </c>
      <c r="T96" s="94" cm="1">
        <f t="array" ref="T96">SUM(SUMIFS('caseload data'!V:V,'caseload data'!$D:$D,"DMY",'caseload data'!$A:$A,"Kent Surrey Sussex Region",'caseload data'!$B:$B,{"licence","community"}))</f>
        <v>0</v>
      </c>
      <c r="U96" s="64"/>
      <c r="V96" s="64"/>
      <c r="W96" s="475"/>
      <c r="X96" s="130" t="s">
        <v>1339</v>
      </c>
      <c r="Y96" s="167" t="e">
        <f t="shared" si="55"/>
        <v>#DIV/0!</v>
      </c>
      <c r="Z96" s="167" t="e">
        <f t="shared" si="54"/>
        <v>#DIV/0!</v>
      </c>
      <c r="AA96" s="167" t="e">
        <f t="shared" si="54"/>
        <v>#DIV/0!</v>
      </c>
      <c r="AB96" s="167" t="e">
        <f t="shared" si="54"/>
        <v>#DIV/0!</v>
      </c>
      <c r="AC96" s="167" t="e">
        <f t="shared" si="54"/>
        <v>#DIV/0!</v>
      </c>
      <c r="AD96" s="167" t="e">
        <f t="shared" si="54"/>
        <v>#DIV/0!</v>
      </c>
      <c r="AE96" s="167" t="e">
        <f t="shared" si="54"/>
        <v>#DIV/0!</v>
      </c>
      <c r="AF96" s="167" t="e">
        <f t="shared" si="54"/>
        <v>#DIV/0!</v>
      </c>
      <c r="AG96" s="167" t="e">
        <f t="shared" si="54"/>
        <v>#DIV/0!</v>
      </c>
      <c r="AH96" s="167" t="e">
        <f t="shared" si="54"/>
        <v>#DIV/0!</v>
      </c>
      <c r="AI96" s="167" t="e">
        <f t="shared" si="54"/>
        <v>#DIV/0!</v>
      </c>
      <c r="AJ96" s="167" t="e">
        <f t="shared" si="54"/>
        <v>#DIV/0!</v>
      </c>
      <c r="AK96" s="167" t="e">
        <f t="shared" si="54"/>
        <v>#DIV/0!</v>
      </c>
      <c r="AL96" s="167" t="e">
        <f t="shared" si="54"/>
        <v>#DIV/0!</v>
      </c>
      <c r="AM96" s="167" t="e">
        <f t="shared" si="54"/>
        <v>#DIV/0!</v>
      </c>
      <c r="AN96" s="167" t="e">
        <f t="shared" si="54"/>
        <v>#DIV/0!</v>
      </c>
      <c r="AO96" s="167" t="e">
        <f t="shared" si="54"/>
        <v>#DIV/0!</v>
      </c>
    </row>
    <row r="97" spans="2:41" x14ac:dyDescent="0.15">
      <c r="B97" s="473" t="s">
        <v>21</v>
      </c>
      <c r="C97" s="128" t="s">
        <v>997</v>
      </c>
      <c r="D97" s="94" cm="1">
        <f t="array" ref="D97">SUM(SUMIFS('caseload data'!E:E,'caseload data'!$D:$D,"PO",'caseload data'!$A:$A,_xlfn.SINGLE('national caseload'!$B$97:$B$99),'caseload data'!$B:$B,{"licence","community"}))</f>
        <v>0</v>
      </c>
      <c r="E97" s="94" cm="1">
        <f t="array" ref="E97">SUM(SUMIFS('caseload data'!F:F,'caseload data'!$D:$D,"PO",'caseload data'!$A:$A,_xlfn.SINGLE('national caseload'!$B$97:$B$99),'caseload data'!$B:$B,{"licence","community"}))</f>
        <v>0</v>
      </c>
      <c r="F97" s="94" cm="1">
        <f t="array" ref="F97">SUM(SUMIFS('caseload data'!G:G,'caseload data'!$D:$D,"PO",'caseload data'!$A:$A,_xlfn.SINGLE('national caseload'!$B$97:$B$99),'caseload data'!$B:$B,{"licence","community"}))</f>
        <v>0</v>
      </c>
      <c r="G97" s="94" cm="1">
        <f t="array" ref="G97">SUM(SUMIFS('caseload data'!H:H,'caseload data'!$D:$D,"PO",'caseload data'!$A:$A,_xlfn.SINGLE('national caseload'!$B$97:$B$99),'caseload data'!$B:$B,{"licence","community"}))</f>
        <v>0</v>
      </c>
      <c r="H97" s="94" cm="1">
        <f t="array" ref="H97">SUM(SUMIFS('caseload data'!I:I,'caseload data'!$D:$D,"PO",'caseload data'!$A:$A,_xlfn.SINGLE('national caseload'!$B$97:$B$99),'caseload data'!$B:$B,{"licence","community"}))</f>
        <v>0</v>
      </c>
      <c r="I97" s="94" cm="1">
        <f t="array" ref="I97">SUM(SUMIFS('caseload data'!J:J,'caseload data'!$D:$D,"PO",'caseload data'!$A:$A,_xlfn.SINGLE('national caseload'!$B$97:$B$99),'caseload data'!$B:$B,{"licence","community"}))</f>
        <v>0</v>
      </c>
      <c r="J97" s="94" cm="1">
        <f t="array" ref="J97">SUM(SUMIFS('caseload data'!K:K,'caseload data'!$D:$D,"PO",'caseload data'!$A:$A,_xlfn.SINGLE('national caseload'!$B$97:$B$99),'caseload data'!$B:$B,{"licence","community"}))</f>
        <v>0</v>
      </c>
      <c r="K97" s="94" cm="1">
        <f t="array" ref="K97">SUM(SUMIFS('caseload data'!L:L,'caseload data'!$D:$D,"PO",'caseload data'!$A:$A,_xlfn.SINGLE('national caseload'!$B$97:$B$99),'caseload data'!$B:$B,{"licence","community"}))</f>
        <v>0</v>
      </c>
      <c r="L97" s="94" cm="1">
        <f t="array" ref="L97">SUM(SUMIFS('caseload data'!M:M,'caseload data'!$D:$D,"PO",'caseload data'!$A:$A,_xlfn.SINGLE('national caseload'!$B$97:$B$99),'caseload data'!$B:$B,{"licence","community"}))</f>
        <v>0</v>
      </c>
      <c r="M97" s="94" cm="1">
        <f t="array" ref="M97">SUM(SUMIFS('caseload data'!N:N,'caseload data'!$D:$D,"PO",'caseload data'!$A:$A,_xlfn.SINGLE('national caseload'!$B$97:$B$99),'caseload data'!$B:$B,{"licence","community"}))</f>
        <v>0</v>
      </c>
      <c r="N97" s="94" cm="1">
        <f t="array" ref="N97">SUM(SUMIFS('caseload data'!O:O,'caseload data'!$D:$D,"PO",'caseload data'!$A:$A,_xlfn.SINGLE('national caseload'!$B$97:$B$99),'caseload data'!$B:$B,{"licence","community"}))</f>
        <v>0</v>
      </c>
      <c r="O97" s="94" cm="1">
        <f t="array" ref="O97">SUM(SUMIFS('caseload data'!P:P,'caseload data'!$D:$D,"PO",'caseload data'!$A:$A,_xlfn.SINGLE('national caseload'!$B$97:$B$99),'caseload data'!$B:$B,{"licence","community"}))</f>
        <v>0</v>
      </c>
      <c r="P97" s="94" cm="1">
        <f t="array" ref="P97">SUM(SUMIFS('caseload data'!Q:Q,'caseload data'!$D:$D,"PO",'caseload data'!$A:$A,_xlfn.SINGLE('national caseload'!$B$97:$B$99),'caseload data'!$B:$B,{"licence","community"}))</f>
        <v>0</v>
      </c>
      <c r="Q97" s="94" cm="1">
        <f t="array" ref="Q97">SUM(SUMIFS('caseload data'!R:R,'caseload data'!$D:$D,"PO",'caseload data'!$A:$A,_xlfn.SINGLE('national caseload'!$B$97:$B$99),'caseload data'!$B:$B,{"licence","community"}))</f>
        <v>0</v>
      </c>
      <c r="R97" s="94" cm="1">
        <f t="array" ref="R97">SUM(SUMIFS('caseload data'!S:S,'caseload data'!$D:$D,"PO",'caseload data'!$A:$A,_xlfn.SINGLE('national caseload'!$B$97:$B$99),'caseload data'!$B:$B,{"licence","community"}))</f>
        <v>0</v>
      </c>
      <c r="S97" s="94" cm="1">
        <f t="array" ref="S97">SUM(SUMIFS('caseload data'!T:T,'caseload data'!$D:$D,"PO",'caseload data'!$A:$A,_xlfn.SINGLE('national caseload'!$B$97:$B$99),'caseload data'!$B:$B,{"licence","community"}))</f>
        <v>0</v>
      </c>
      <c r="T97" s="94">
        <f>SUM(SUMIFS('caseload data'!V:V,'caseload data'!D:D,"PO",'caseload data'!A:A,'national caseload'!B97:B99,'caseload data'!B:B,{"licence","community"}))</f>
        <v>0</v>
      </c>
      <c r="U97" s="64"/>
      <c r="V97" s="64"/>
      <c r="W97" s="473" t="s">
        <v>21</v>
      </c>
      <c r="X97" s="128" t="s">
        <v>997</v>
      </c>
      <c r="Y97" s="167" t="e">
        <f>SUM(D97)/SUM(D$97:D$101)</f>
        <v>#DIV/0!</v>
      </c>
      <c r="Z97" s="167" t="e">
        <f t="shared" ref="Z97:AO101" si="56">SUM(E97)/SUM(E$97:E$101)</f>
        <v>#DIV/0!</v>
      </c>
      <c r="AA97" s="167" t="e">
        <f t="shared" si="56"/>
        <v>#DIV/0!</v>
      </c>
      <c r="AB97" s="167" t="e">
        <f t="shared" si="56"/>
        <v>#DIV/0!</v>
      </c>
      <c r="AC97" s="167" t="e">
        <f t="shared" si="56"/>
        <v>#DIV/0!</v>
      </c>
      <c r="AD97" s="167" t="e">
        <f t="shared" si="56"/>
        <v>#DIV/0!</v>
      </c>
      <c r="AE97" s="167" t="e">
        <f t="shared" si="56"/>
        <v>#DIV/0!</v>
      </c>
      <c r="AF97" s="167" t="e">
        <f t="shared" si="56"/>
        <v>#DIV/0!</v>
      </c>
      <c r="AG97" s="167" t="e">
        <f t="shared" si="56"/>
        <v>#DIV/0!</v>
      </c>
      <c r="AH97" s="167" t="e">
        <f t="shared" si="56"/>
        <v>#DIV/0!</v>
      </c>
      <c r="AI97" s="167" t="e">
        <f t="shared" si="56"/>
        <v>#DIV/0!</v>
      </c>
      <c r="AJ97" s="167" t="e">
        <f t="shared" si="56"/>
        <v>#DIV/0!</v>
      </c>
      <c r="AK97" s="167" t="e">
        <f t="shared" si="56"/>
        <v>#DIV/0!</v>
      </c>
      <c r="AL97" s="167" t="e">
        <f t="shared" si="56"/>
        <v>#DIV/0!</v>
      </c>
      <c r="AM97" s="167" t="e">
        <f t="shared" si="56"/>
        <v>#DIV/0!</v>
      </c>
      <c r="AN97" s="167" t="e">
        <f t="shared" si="56"/>
        <v>#DIV/0!</v>
      </c>
      <c r="AO97" s="167" t="e">
        <f t="shared" si="56"/>
        <v>#DIV/0!</v>
      </c>
    </row>
    <row r="98" spans="2:41" x14ac:dyDescent="0.15">
      <c r="B98" s="474"/>
      <c r="C98" s="129" t="s">
        <v>1002</v>
      </c>
      <c r="D98" s="94" cm="1">
        <f t="array" ref="D98">SUM(SUMIFS('caseload data'!E:E,'caseload data'!$D:$D,"PSO",'caseload data'!$A:$A,"London",'caseload data'!$B:$B,{"licence","community"}))</f>
        <v>0</v>
      </c>
      <c r="E98" s="94" cm="1">
        <f t="array" ref="E98">SUM(SUMIFS('caseload data'!F:F,'caseload data'!$D:$D,"PSO",'caseload data'!$A:$A,"London",'caseload data'!$B:$B,{"licence","community"}))</f>
        <v>0</v>
      </c>
      <c r="F98" s="94" cm="1">
        <f t="array" ref="F98">SUM(SUMIFS('caseload data'!G:G,'caseload data'!$D:$D,"PSO",'caseload data'!$A:$A,"London",'caseload data'!$B:$B,{"licence","community"}))</f>
        <v>0</v>
      </c>
      <c r="G98" s="94" cm="1">
        <f t="array" ref="G98">SUM(SUMIFS('caseload data'!H:H,'caseload data'!$D:$D,"PSO",'caseload data'!$A:$A,"London",'caseload data'!$B:$B,{"licence","community"}))</f>
        <v>0</v>
      </c>
      <c r="H98" s="94" cm="1">
        <f t="array" ref="H98">SUM(SUMIFS('caseload data'!I:I,'caseload data'!$D:$D,"PSO",'caseload data'!$A:$A,"London",'caseload data'!$B:$B,{"licence","community"}))</f>
        <v>0</v>
      </c>
      <c r="I98" s="94" cm="1">
        <f t="array" ref="I98">SUM(SUMIFS('caseload data'!J:J,'caseload data'!$D:$D,"PSO",'caseload data'!$A:$A,"London",'caseload data'!$B:$B,{"licence","community"}))</f>
        <v>0</v>
      </c>
      <c r="J98" s="94" cm="1">
        <f t="array" ref="J98">SUM(SUMIFS('caseload data'!K:K,'caseload data'!$D:$D,"PSO",'caseload data'!$A:$A,"London",'caseload data'!$B:$B,{"licence","community"}))</f>
        <v>0</v>
      </c>
      <c r="K98" s="94" cm="1">
        <f t="array" ref="K98">SUM(SUMIFS('caseload data'!L:L,'caseload data'!$D:$D,"PSO",'caseload data'!$A:$A,"London",'caseload data'!$B:$B,{"licence","community"}))</f>
        <v>0</v>
      </c>
      <c r="L98" s="94" cm="1">
        <f t="array" ref="L98">SUM(SUMIFS('caseload data'!M:M,'caseload data'!$D:$D,"PSO",'caseload data'!$A:$A,"London",'caseload data'!$B:$B,{"licence","community"}))</f>
        <v>0</v>
      </c>
      <c r="M98" s="94" cm="1">
        <f t="array" ref="M98">SUM(SUMIFS('caseload data'!N:N,'caseload data'!$D:$D,"PSO",'caseload data'!$A:$A,"London",'caseload data'!$B:$B,{"licence","community"}))</f>
        <v>0</v>
      </c>
      <c r="N98" s="94" cm="1">
        <f t="array" ref="N98">SUM(SUMIFS('caseload data'!O:O,'caseload data'!$D:$D,"PSO",'caseload data'!$A:$A,"London",'caseload data'!$B:$B,{"licence","community"}))</f>
        <v>0</v>
      </c>
      <c r="O98" s="94" cm="1">
        <f t="array" ref="O98">SUM(SUMIFS('caseload data'!P:P,'caseload data'!$D:$D,"PSO",'caseload data'!$A:$A,"London",'caseload data'!$B:$B,{"licence","community"}))</f>
        <v>0</v>
      </c>
      <c r="P98" s="94" cm="1">
        <f t="array" ref="P98">SUM(SUMIFS('caseload data'!Q:Q,'caseload data'!$D:$D,"PSO",'caseload data'!$A:$A,"London",'caseload data'!$B:$B,{"licence","community"}))</f>
        <v>0</v>
      </c>
      <c r="Q98" s="94" cm="1">
        <f t="array" ref="Q98">SUM(SUMIFS('caseload data'!R:R,'caseload data'!$D:$D,"PSO",'caseload data'!$A:$A,"London",'caseload data'!$B:$B,{"licence","community"}))</f>
        <v>0</v>
      </c>
      <c r="R98" s="94" cm="1">
        <f t="array" ref="R98">SUM(SUMIFS('caseload data'!S:S,'caseload data'!$D:$D,"PSO",'caseload data'!$A:$A,"London",'caseload data'!$B:$B,{"licence","community"}))</f>
        <v>0</v>
      </c>
      <c r="S98" s="94" cm="1">
        <f t="array" ref="S98">SUM(SUMIFS('caseload data'!T:T,'caseload data'!$D:$D,"PSO",'caseload data'!$A:$A,"London",'caseload data'!$B:$B,{"licence","community"}))</f>
        <v>0</v>
      </c>
      <c r="T98" s="94" cm="1">
        <f t="array" ref="T98">SUM(SUMIFS('caseload data'!V:V,'caseload data'!D:D,"PSO",'caseload data'!A:A,"London",'caseload data'!B:B,{"licence","community"}))</f>
        <v>0</v>
      </c>
      <c r="U98" s="64"/>
      <c r="V98" s="64"/>
      <c r="W98" s="474"/>
      <c r="X98" s="129" t="s">
        <v>1002</v>
      </c>
      <c r="Y98" s="167" t="e">
        <f t="shared" ref="Y98:Y101" si="57">SUM(D98)/SUM(D$97:D$101)</f>
        <v>#DIV/0!</v>
      </c>
      <c r="Z98" s="167" t="e">
        <f t="shared" si="56"/>
        <v>#DIV/0!</v>
      </c>
      <c r="AA98" s="167" t="e">
        <f t="shared" si="56"/>
        <v>#DIV/0!</v>
      </c>
      <c r="AB98" s="167" t="e">
        <f t="shared" si="56"/>
        <v>#DIV/0!</v>
      </c>
      <c r="AC98" s="167" t="e">
        <f t="shared" si="56"/>
        <v>#DIV/0!</v>
      </c>
      <c r="AD98" s="167" t="e">
        <f t="shared" si="56"/>
        <v>#DIV/0!</v>
      </c>
      <c r="AE98" s="167" t="e">
        <f t="shared" si="56"/>
        <v>#DIV/0!</v>
      </c>
      <c r="AF98" s="167" t="e">
        <f t="shared" si="56"/>
        <v>#DIV/0!</v>
      </c>
      <c r="AG98" s="167" t="e">
        <f t="shared" si="56"/>
        <v>#DIV/0!</v>
      </c>
      <c r="AH98" s="167" t="e">
        <f t="shared" si="56"/>
        <v>#DIV/0!</v>
      </c>
      <c r="AI98" s="167" t="e">
        <f t="shared" si="56"/>
        <v>#DIV/0!</v>
      </c>
      <c r="AJ98" s="167" t="e">
        <f t="shared" si="56"/>
        <v>#DIV/0!</v>
      </c>
      <c r="AK98" s="167" t="e">
        <f t="shared" si="56"/>
        <v>#DIV/0!</v>
      </c>
      <c r="AL98" s="167" t="e">
        <f t="shared" si="56"/>
        <v>#DIV/0!</v>
      </c>
      <c r="AM98" s="167" t="e">
        <f t="shared" si="56"/>
        <v>#DIV/0!</v>
      </c>
      <c r="AN98" s="167" t="e">
        <f t="shared" si="56"/>
        <v>#DIV/0!</v>
      </c>
      <c r="AO98" s="167" t="e">
        <f t="shared" si="56"/>
        <v>#DIV/0!</v>
      </c>
    </row>
    <row r="99" spans="2:41" x14ac:dyDescent="0.15">
      <c r="B99" s="474"/>
      <c r="C99" s="129" t="s">
        <v>1003</v>
      </c>
      <c r="D99" s="94" cm="1">
        <f t="array" ref="D99">SUM(SUMIFS('caseload data'!E:E,'caseload data'!$D:$D,"TPO",'caseload data'!$A:$A,"London",'caseload data'!$B:$B,{"licence","community"}))</f>
        <v>0</v>
      </c>
      <c r="E99" s="94" cm="1">
        <f t="array" ref="E99">SUM(SUMIFS('caseload data'!F:F,'caseload data'!$D:$D,"TPO",'caseload data'!$A:$A,"London",'caseload data'!$B:$B,{"licence","community"}))</f>
        <v>0</v>
      </c>
      <c r="F99" s="94" cm="1">
        <f t="array" ref="F99">SUM(SUMIFS('caseload data'!G:G,'caseload data'!$D:$D,"TPO",'caseload data'!$A:$A,"London",'caseload data'!$B:$B,{"licence","community"}))</f>
        <v>0</v>
      </c>
      <c r="G99" s="94" cm="1">
        <f t="array" ref="G99">SUM(SUMIFS('caseload data'!H:H,'caseload data'!$D:$D,"TPO",'caseload data'!$A:$A,"London",'caseload data'!$B:$B,{"licence","community"}))</f>
        <v>0</v>
      </c>
      <c r="H99" s="94" cm="1">
        <f t="array" ref="H99">SUM(SUMIFS('caseload data'!I:I,'caseload data'!$D:$D,"TPO",'caseload data'!$A:$A,"London",'caseload data'!$B:$B,{"licence","community"}))</f>
        <v>0</v>
      </c>
      <c r="I99" s="94" cm="1">
        <f t="array" ref="I99">SUM(SUMIFS('caseload data'!J:J,'caseload data'!$D:$D,"TPO",'caseload data'!$A:$A,"London",'caseload data'!$B:$B,{"licence","community"}))</f>
        <v>0</v>
      </c>
      <c r="J99" s="94" cm="1">
        <f t="array" ref="J99">SUM(SUMIFS('caseload data'!K:K,'caseload data'!$D:$D,"TPO",'caseload data'!$A:$A,"London",'caseload data'!$B:$B,{"licence","community"}))</f>
        <v>0</v>
      </c>
      <c r="K99" s="94" cm="1">
        <f t="array" ref="K99">SUM(SUMIFS('caseload data'!L:L,'caseload data'!$D:$D,"TPO",'caseload data'!$A:$A,"London",'caseload data'!$B:$B,{"licence","community"}))</f>
        <v>0</v>
      </c>
      <c r="L99" s="94" cm="1">
        <f t="array" ref="L99">SUM(SUMIFS('caseload data'!M:M,'caseload data'!$D:$D,"TPO",'caseload data'!$A:$A,"London",'caseload data'!$B:$B,{"licence","community"}))</f>
        <v>0</v>
      </c>
      <c r="M99" s="94" cm="1">
        <f t="array" ref="M99">SUM(SUMIFS('caseload data'!N:N,'caseload data'!$D:$D,"TPO",'caseload data'!$A:$A,"London",'caseload data'!$B:$B,{"licence","community"}))</f>
        <v>0</v>
      </c>
      <c r="N99" s="94" cm="1">
        <f t="array" ref="N99">SUM(SUMIFS('caseload data'!O:O,'caseload data'!$D:$D,"TPO",'caseload data'!$A:$A,"London",'caseload data'!$B:$B,{"licence","community"}))</f>
        <v>0</v>
      </c>
      <c r="O99" s="94" cm="1">
        <f t="array" ref="O99">SUM(SUMIFS('caseload data'!P:P,'caseload data'!$D:$D,"TPO",'caseload data'!$A:$A,"London",'caseload data'!$B:$B,{"licence","community"}))</f>
        <v>0</v>
      </c>
      <c r="P99" s="94" cm="1">
        <f t="array" ref="P99">SUM(SUMIFS('caseload data'!Q:Q,'caseload data'!$D:$D,"TPO",'caseload data'!$A:$A,"London",'caseload data'!$B:$B,{"licence","community"}))</f>
        <v>0</v>
      </c>
      <c r="Q99" s="94" cm="1">
        <f t="array" ref="Q99">SUM(SUMIFS('caseload data'!R:R,'caseload data'!$D:$D,"TPO",'caseload data'!$A:$A,"London",'caseload data'!$B:$B,{"licence","community"}))</f>
        <v>0</v>
      </c>
      <c r="R99" s="94" cm="1">
        <f t="array" ref="R99">SUM(SUMIFS('caseload data'!S:S,'caseload data'!$D:$D,"TPO",'caseload data'!$A:$A,"London",'caseload data'!$B:$B,{"licence","community"}))</f>
        <v>0</v>
      </c>
      <c r="S99" s="94" cm="1">
        <f t="array" ref="S99">SUM(SUMIFS('caseload data'!T:T,'caseload data'!$D:$D,"TPO",'caseload data'!$A:$A,"London",'caseload data'!$B:$B,{"licence","community"}))</f>
        <v>0</v>
      </c>
      <c r="T99" s="94" cm="1">
        <f t="array" ref="T99">SUM(SUMIFS('caseload data'!V:V,'caseload data'!D:D,"TPO",'caseload data'!A:A,"London",'caseload data'!B:B,{"licence","community"}))</f>
        <v>0</v>
      </c>
      <c r="U99" s="64"/>
      <c r="V99" s="64"/>
      <c r="W99" s="474"/>
      <c r="X99" s="129" t="s">
        <v>1003</v>
      </c>
      <c r="Y99" s="167" t="e">
        <f t="shared" si="57"/>
        <v>#DIV/0!</v>
      </c>
      <c r="Z99" s="167" t="e">
        <f t="shared" si="56"/>
        <v>#DIV/0!</v>
      </c>
      <c r="AA99" s="167" t="e">
        <f t="shared" si="56"/>
        <v>#DIV/0!</v>
      </c>
      <c r="AB99" s="167" t="e">
        <f t="shared" si="56"/>
        <v>#DIV/0!</v>
      </c>
      <c r="AC99" s="167" t="e">
        <f t="shared" si="56"/>
        <v>#DIV/0!</v>
      </c>
      <c r="AD99" s="167" t="e">
        <f t="shared" si="56"/>
        <v>#DIV/0!</v>
      </c>
      <c r="AE99" s="167" t="e">
        <f t="shared" si="56"/>
        <v>#DIV/0!</v>
      </c>
      <c r="AF99" s="167" t="e">
        <f t="shared" si="56"/>
        <v>#DIV/0!</v>
      </c>
      <c r="AG99" s="167" t="e">
        <f t="shared" si="56"/>
        <v>#DIV/0!</v>
      </c>
      <c r="AH99" s="167" t="e">
        <f t="shared" si="56"/>
        <v>#DIV/0!</v>
      </c>
      <c r="AI99" s="167" t="e">
        <f t="shared" si="56"/>
        <v>#DIV/0!</v>
      </c>
      <c r="AJ99" s="167" t="e">
        <f t="shared" si="56"/>
        <v>#DIV/0!</v>
      </c>
      <c r="AK99" s="167" t="e">
        <f t="shared" si="56"/>
        <v>#DIV/0!</v>
      </c>
      <c r="AL99" s="167" t="e">
        <f t="shared" si="56"/>
        <v>#DIV/0!</v>
      </c>
      <c r="AM99" s="167" t="e">
        <f t="shared" si="56"/>
        <v>#DIV/0!</v>
      </c>
      <c r="AN99" s="167" t="e">
        <f t="shared" si="56"/>
        <v>#DIV/0!</v>
      </c>
      <c r="AO99" s="167" t="e">
        <f t="shared" si="56"/>
        <v>#DIV/0!</v>
      </c>
    </row>
    <row r="100" spans="2:41" x14ac:dyDescent="0.15">
      <c r="B100" s="474"/>
      <c r="C100" s="129" t="s">
        <v>1004</v>
      </c>
      <c r="D100" s="94" cm="1">
        <f t="array" ref="D100">SUM(SUMIFS('caseload data'!E:E,'caseload data'!$D:$D,"SPO",'caseload data'!$A:$A,"London",'caseload data'!$B:$B,{"licence","community"}))</f>
        <v>0</v>
      </c>
      <c r="E100" s="94" cm="1">
        <f t="array" ref="E100">SUM(SUMIFS('caseload data'!F:F,'caseload data'!$D:$D,"SPO",'caseload data'!$A:$A,"London",'caseload data'!$B:$B,{"licence","community"}))</f>
        <v>0</v>
      </c>
      <c r="F100" s="94" cm="1">
        <f t="array" ref="F100">SUM(SUMIFS('caseload data'!G:G,'caseload data'!$D:$D,"SPO",'caseload data'!$A:$A,"London",'caseload data'!$B:$B,{"licence","community"}))</f>
        <v>0</v>
      </c>
      <c r="G100" s="94" cm="1">
        <f t="array" ref="G100">SUM(SUMIFS('caseload data'!H:H,'caseload data'!$D:$D,"SPO",'caseload data'!$A:$A,"London",'caseload data'!$B:$B,{"licence","community"}))</f>
        <v>0</v>
      </c>
      <c r="H100" s="94" cm="1">
        <f t="array" ref="H100">SUM(SUMIFS('caseload data'!I:I,'caseload data'!$D:$D,"SPO",'caseload data'!$A:$A,"London",'caseload data'!$B:$B,{"licence","community"}))</f>
        <v>0</v>
      </c>
      <c r="I100" s="94" cm="1">
        <f t="array" ref="I100">SUM(SUMIFS('caseload data'!J:J,'caseload data'!$D:$D,"SPO",'caseload data'!$A:$A,"London",'caseload data'!$B:$B,{"licence","community"}))</f>
        <v>0</v>
      </c>
      <c r="J100" s="94" cm="1">
        <f t="array" ref="J100">SUM(SUMIFS('caseload data'!K:K,'caseload data'!$D:$D,"SPO",'caseload data'!$A:$A,"London",'caseload data'!$B:$B,{"licence","community"}))</f>
        <v>0</v>
      </c>
      <c r="K100" s="94" cm="1">
        <f t="array" ref="K100">SUM(SUMIFS('caseload data'!L:L,'caseload data'!$D:$D,"SPO",'caseload data'!$A:$A,"London",'caseload data'!$B:$B,{"licence","community"}))</f>
        <v>0</v>
      </c>
      <c r="L100" s="94" cm="1">
        <f t="array" ref="L100">SUM(SUMIFS('caseload data'!M:M,'caseload data'!$D:$D,"SPO",'caseload data'!$A:$A,"London",'caseload data'!$B:$B,{"licence","community"}))</f>
        <v>0</v>
      </c>
      <c r="M100" s="94" cm="1">
        <f t="array" ref="M100">SUM(SUMIFS('caseload data'!N:N,'caseload data'!$D:$D,"SPO",'caseload data'!$A:$A,"London",'caseload data'!$B:$B,{"licence","community"}))</f>
        <v>0</v>
      </c>
      <c r="N100" s="94" cm="1">
        <f t="array" ref="N100">SUM(SUMIFS('caseload data'!O:O,'caseload data'!$D:$D,"SPO",'caseload data'!$A:$A,"London",'caseload data'!$B:$B,{"licence","community"}))</f>
        <v>0</v>
      </c>
      <c r="O100" s="94" cm="1">
        <f t="array" ref="O100">SUM(SUMIFS('caseload data'!P:P,'caseload data'!$D:$D,"SPO",'caseload data'!$A:$A,"London",'caseload data'!$B:$B,{"licence","community"}))</f>
        <v>0</v>
      </c>
      <c r="P100" s="94" cm="1">
        <f t="array" ref="P100">SUM(SUMIFS('caseload data'!Q:Q,'caseload data'!$D:$D,"SPO",'caseload data'!$A:$A,"London",'caseload data'!$B:$B,{"licence","community"}))</f>
        <v>0</v>
      </c>
      <c r="Q100" s="94" cm="1">
        <f t="array" ref="Q100">SUM(SUMIFS('caseload data'!R:R,'caseload data'!$D:$D,"SPO",'caseload data'!$A:$A,"London",'caseload data'!$B:$B,{"licence","community"}))</f>
        <v>0</v>
      </c>
      <c r="R100" s="94" cm="1">
        <f t="array" ref="R100">SUM(SUMIFS('caseload data'!S:S,'caseload data'!$D:$D,"SPO",'caseload data'!$A:$A,"London",'caseload data'!$B:$B,{"licence","community"}))</f>
        <v>0</v>
      </c>
      <c r="S100" s="94" cm="1">
        <f t="array" ref="S100">SUM(SUMIFS('caseload data'!T:T,'caseload data'!$D:$D,"SPO",'caseload data'!$A:$A,"London",'caseload data'!$B:$B,{"licence","community"}))</f>
        <v>0</v>
      </c>
      <c r="T100" s="94" cm="1">
        <f t="array" ref="T100">SUM(SUMIFS('caseload data'!V:V,'caseload data'!$D:$D,"SPO",'caseload data'!$A:$A,"London",'caseload data'!$B:$B,{"licence","community"}))</f>
        <v>0</v>
      </c>
      <c r="U100" s="64"/>
      <c r="V100" s="64"/>
      <c r="W100" s="474"/>
      <c r="X100" s="129" t="s">
        <v>1004</v>
      </c>
      <c r="Y100" s="167" t="e">
        <f t="shared" si="57"/>
        <v>#DIV/0!</v>
      </c>
      <c r="Z100" s="167" t="e">
        <f t="shared" si="56"/>
        <v>#DIV/0!</v>
      </c>
      <c r="AA100" s="167" t="e">
        <f t="shared" si="56"/>
        <v>#DIV/0!</v>
      </c>
      <c r="AB100" s="167" t="e">
        <f t="shared" si="56"/>
        <v>#DIV/0!</v>
      </c>
      <c r="AC100" s="167" t="e">
        <f t="shared" si="56"/>
        <v>#DIV/0!</v>
      </c>
      <c r="AD100" s="167" t="e">
        <f t="shared" si="56"/>
        <v>#DIV/0!</v>
      </c>
      <c r="AE100" s="167" t="e">
        <f t="shared" si="56"/>
        <v>#DIV/0!</v>
      </c>
      <c r="AF100" s="167" t="e">
        <f t="shared" si="56"/>
        <v>#DIV/0!</v>
      </c>
      <c r="AG100" s="167" t="e">
        <f t="shared" si="56"/>
        <v>#DIV/0!</v>
      </c>
      <c r="AH100" s="167" t="e">
        <f t="shared" si="56"/>
        <v>#DIV/0!</v>
      </c>
      <c r="AI100" s="167" t="e">
        <f t="shared" si="56"/>
        <v>#DIV/0!</v>
      </c>
      <c r="AJ100" s="167" t="e">
        <f t="shared" si="56"/>
        <v>#DIV/0!</v>
      </c>
      <c r="AK100" s="167" t="e">
        <f t="shared" si="56"/>
        <v>#DIV/0!</v>
      </c>
      <c r="AL100" s="167" t="e">
        <f t="shared" si="56"/>
        <v>#DIV/0!</v>
      </c>
      <c r="AM100" s="167" t="e">
        <f t="shared" si="56"/>
        <v>#DIV/0!</v>
      </c>
      <c r="AN100" s="167" t="e">
        <f t="shared" si="56"/>
        <v>#DIV/0!</v>
      </c>
      <c r="AO100" s="167" t="e">
        <f t="shared" si="56"/>
        <v>#DIV/0!</v>
      </c>
    </row>
    <row r="101" spans="2:41" x14ac:dyDescent="0.15">
      <c r="B101" s="475"/>
      <c r="C101" s="130" t="s">
        <v>1339</v>
      </c>
      <c r="D101" s="94" cm="1">
        <f t="array" ref="D101">SUM(SUMIFS('caseload data'!E:E,'caseload data'!$D:$D,"DMY",'caseload data'!$A:$A,"London",'caseload data'!$B:$B,{"licence","community"}))</f>
        <v>0</v>
      </c>
      <c r="E101" s="94" cm="1">
        <f t="array" ref="E101">SUM(SUMIFS('caseload data'!F:F,'caseload data'!$D:$D,"DMY",'caseload data'!$A:$A,"London",'caseload data'!$B:$B,{"licence","community"}))</f>
        <v>0</v>
      </c>
      <c r="F101" s="94" cm="1">
        <f t="array" ref="F101">SUM(SUMIFS('caseload data'!G:G,'caseload data'!$D:$D,"DMY",'caseload data'!$A:$A,"London",'caseload data'!$B:$B,{"licence","community"}))</f>
        <v>0</v>
      </c>
      <c r="G101" s="94" cm="1">
        <f t="array" ref="G101">SUM(SUMIFS('caseload data'!H:H,'caseload data'!$D:$D,"DMY",'caseload data'!$A:$A,"London",'caseload data'!$B:$B,{"licence","community"}))</f>
        <v>0</v>
      </c>
      <c r="H101" s="94" cm="1">
        <f t="array" ref="H101">SUM(SUMIFS('caseload data'!I:I,'caseload data'!$D:$D,"DMY",'caseload data'!$A:$A,"London",'caseload data'!$B:$B,{"licence","community"}))</f>
        <v>0</v>
      </c>
      <c r="I101" s="94" cm="1">
        <f t="array" ref="I101">SUM(SUMIFS('caseload data'!J:J,'caseload data'!$D:$D,"DMY",'caseload data'!$A:$A,"London",'caseload data'!$B:$B,{"licence","community"}))</f>
        <v>0</v>
      </c>
      <c r="J101" s="94" cm="1">
        <f t="array" ref="J101">SUM(SUMIFS('caseload data'!K:K,'caseload data'!$D:$D,"DMY",'caseload data'!$A:$A,"London",'caseload data'!$B:$B,{"licence","community"}))</f>
        <v>0</v>
      </c>
      <c r="K101" s="94" cm="1">
        <f t="array" ref="K101">SUM(SUMIFS('caseload data'!L:L,'caseload data'!$D:$D,"DMY",'caseload data'!$A:$A,"London",'caseload data'!$B:$B,{"licence","community"}))</f>
        <v>0</v>
      </c>
      <c r="L101" s="94" cm="1">
        <f t="array" ref="L101">SUM(SUMIFS('caseload data'!M:M,'caseload data'!$D:$D,"DMY",'caseload data'!$A:$A,"London",'caseload data'!$B:$B,{"licence","community"}))</f>
        <v>0</v>
      </c>
      <c r="M101" s="94" cm="1">
        <f t="array" ref="M101">SUM(SUMIFS('caseload data'!N:N,'caseload data'!$D:$D,"DMY",'caseload data'!$A:$A,"London",'caseload data'!$B:$B,{"licence","community"}))</f>
        <v>0</v>
      </c>
      <c r="N101" s="94" cm="1">
        <f t="array" ref="N101">SUM(SUMIFS('caseload data'!O:O,'caseload data'!$D:$D,"DMY",'caseload data'!$A:$A,"London",'caseload data'!$B:$B,{"licence","community"}))</f>
        <v>0</v>
      </c>
      <c r="O101" s="94" cm="1">
        <f t="array" ref="O101">SUM(SUMIFS('caseload data'!P:P,'caseload data'!$D:$D,"DMY",'caseload data'!$A:$A,"London",'caseload data'!$B:$B,{"licence","community"}))</f>
        <v>0</v>
      </c>
      <c r="P101" s="94" cm="1">
        <f t="array" ref="P101">SUM(SUMIFS('caseload data'!Q:Q,'caseload data'!$D:$D,"DMY",'caseload data'!$A:$A,"London",'caseload data'!$B:$B,{"licence","community"}))</f>
        <v>0</v>
      </c>
      <c r="Q101" s="94" cm="1">
        <f t="array" ref="Q101">SUM(SUMIFS('caseload data'!R:R,'caseload data'!$D:$D,"DMY",'caseload data'!$A:$A,"London",'caseload data'!$B:$B,{"licence","community"}))</f>
        <v>0</v>
      </c>
      <c r="R101" s="94" cm="1">
        <f t="array" ref="R101">SUM(SUMIFS('caseload data'!S:S,'caseload data'!$D:$D,"DMY",'caseload data'!$A:$A,"London",'caseload data'!$B:$B,{"licence","community"}))</f>
        <v>0</v>
      </c>
      <c r="S101" s="94" cm="1">
        <f t="array" ref="S101">SUM(SUMIFS('caseload data'!T:T,'caseload data'!$D:$D,"DMY",'caseload data'!$A:$A,"London",'caseload data'!$B:$B,{"licence","community"}))</f>
        <v>0</v>
      </c>
      <c r="T101" s="94" cm="1">
        <f t="array" ref="T101">SUM(SUMIFS('caseload data'!V:V,'caseload data'!$D:$D,"DMY",'caseload data'!$A:$A,"London",'caseload data'!$B:$B,{"licence","community"}))</f>
        <v>0</v>
      </c>
      <c r="U101" s="64"/>
      <c r="V101" s="64"/>
      <c r="W101" s="475"/>
      <c r="X101" s="130" t="s">
        <v>1339</v>
      </c>
      <c r="Y101" s="167" t="e">
        <f t="shared" si="57"/>
        <v>#DIV/0!</v>
      </c>
      <c r="Z101" s="167" t="e">
        <f t="shared" si="56"/>
        <v>#DIV/0!</v>
      </c>
      <c r="AA101" s="167" t="e">
        <f t="shared" si="56"/>
        <v>#DIV/0!</v>
      </c>
      <c r="AB101" s="167" t="e">
        <f t="shared" si="56"/>
        <v>#DIV/0!</v>
      </c>
      <c r="AC101" s="167" t="e">
        <f t="shared" si="56"/>
        <v>#DIV/0!</v>
      </c>
      <c r="AD101" s="167" t="e">
        <f t="shared" si="56"/>
        <v>#DIV/0!</v>
      </c>
      <c r="AE101" s="167" t="e">
        <f t="shared" si="56"/>
        <v>#DIV/0!</v>
      </c>
      <c r="AF101" s="167" t="e">
        <f t="shared" si="56"/>
        <v>#DIV/0!</v>
      </c>
      <c r="AG101" s="167" t="e">
        <f t="shared" si="56"/>
        <v>#DIV/0!</v>
      </c>
      <c r="AH101" s="167" t="e">
        <f t="shared" si="56"/>
        <v>#DIV/0!</v>
      </c>
      <c r="AI101" s="167" t="e">
        <f t="shared" si="56"/>
        <v>#DIV/0!</v>
      </c>
      <c r="AJ101" s="167" t="e">
        <f t="shared" si="56"/>
        <v>#DIV/0!</v>
      </c>
      <c r="AK101" s="167" t="e">
        <f t="shared" si="56"/>
        <v>#DIV/0!</v>
      </c>
      <c r="AL101" s="167" t="e">
        <f t="shared" si="56"/>
        <v>#DIV/0!</v>
      </c>
      <c r="AM101" s="167" t="e">
        <f t="shared" si="56"/>
        <v>#DIV/0!</v>
      </c>
      <c r="AN101" s="167" t="e">
        <f t="shared" si="56"/>
        <v>#DIV/0!</v>
      </c>
      <c r="AO101" s="167" t="e">
        <f t="shared" si="56"/>
        <v>#DIV/0!</v>
      </c>
    </row>
    <row r="102" spans="2:41" x14ac:dyDescent="0.15">
      <c r="B102" s="473" t="s">
        <v>22</v>
      </c>
      <c r="C102" s="128" t="s">
        <v>997</v>
      </c>
      <c r="D102" s="94" cm="1">
        <f t="array" ref="D102">SUM(SUMIFS('caseload data'!E:E,'caseload data'!$D:$D,"PO",'caseload data'!$A:$A,$B$102,'caseload data'!$B:$B,{"licence","community"}))</f>
        <v>0</v>
      </c>
      <c r="E102" s="94" cm="1">
        <f t="array" ref="E102">SUM(SUMIFS('caseload data'!F:F,'caseload data'!$D:$D,"PO",'caseload data'!$A:$A,$B$102,'caseload data'!$B:$B,{"licence","community"}))</f>
        <v>0</v>
      </c>
      <c r="F102" s="94" cm="1">
        <f t="array" ref="F102">SUM(SUMIFS('caseload data'!G:G,'caseload data'!$D:$D,"PO",'caseload data'!$A:$A,$B$102,'caseload data'!$B:$B,{"licence","community"}))</f>
        <v>0</v>
      </c>
      <c r="G102" s="94" cm="1">
        <f t="array" ref="G102">SUM(SUMIFS('caseload data'!H:H,'caseload data'!$D:$D,"PO",'caseload data'!$A:$A,$B$102,'caseload data'!$B:$B,{"licence","community"}))</f>
        <v>0</v>
      </c>
      <c r="H102" s="94" cm="1">
        <f t="array" ref="H102">SUM(SUMIFS('caseload data'!I:I,'caseload data'!$D:$D,"PO",'caseload data'!$A:$A,$B$102,'caseload data'!$B:$B,{"licence","community"}))</f>
        <v>0</v>
      </c>
      <c r="I102" s="94" cm="1">
        <f t="array" ref="I102">SUM(SUMIFS('caseload data'!J:J,'caseload data'!$D:$D,"PO",'caseload data'!$A:$A,$B$102,'caseload data'!$B:$B,{"licence","community"}))</f>
        <v>0</v>
      </c>
      <c r="J102" s="94" cm="1">
        <f t="array" ref="J102">SUM(SUMIFS('caseload data'!K:K,'caseload data'!$D:$D,"PO",'caseload data'!$A:$A,$B$102,'caseload data'!$B:$B,{"licence","community"}))</f>
        <v>0</v>
      </c>
      <c r="K102" s="94" cm="1">
        <f t="array" ref="K102">SUM(SUMIFS('caseload data'!L:L,'caseload data'!$D:$D,"PO",'caseload data'!$A:$A,$B$102,'caseload data'!$B:$B,{"licence","community"}))</f>
        <v>0</v>
      </c>
      <c r="L102" s="94" cm="1">
        <f t="array" ref="L102">SUM(SUMIFS('caseload data'!M:M,'caseload data'!$D:$D,"PO",'caseload data'!$A:$A,$B$102,'caseload data'!$B:$B,{"licence","community"}))</f>
        <v>0</v>
      </c>
      <c r="M102" s="94" cm="1">
        <f t="array" ref="M102">SUM(SUMIFS('caseload data'!N:N,'caseload data'!$D:$D,"PO",'caseload data'!$A:$A,$B$102,'caseload data'!$B:$B,{"licence","community"}))</f>
        <v>0</v>
      </c>
      <c r="N102" s="94" cm="1">
        <f t="array" ref="N102">SUM(SUMIFS('caseload data'!O:O,'caseload data'!$D:$D,"PO",'caseload data'!$A:$A,$B$102,'caseload data'!$B:$B,{"licence","community"}))</f>
        <v>0</v>
      </c>
      <c r="O102" s="94" cm="1">
        <f t="array" ref="O102">SUM(SUMIFS('caseload data'!P:P,'caseload data'!$D:$D,"PO",'caseload data'!$A:$A,$B$102,'caseload data'!$B:$B,{"licence","community"}))</f>
        <v>0</v>
      </c>
      <c r="P102" s="94" cm="1">
        <f t="array" ref="P102">SUM(SUMIFS('caseload data'!Q:Q,'caseload data'!$D:$D,"PO",'caseload data'!$A:$A,$B$102,'caseload data'!$B:$B,{"licence","community"}))</f>
        <v>0</v>
      </c>
      <c r="Q102" s="94" cm="1">
        <f t="array" ref="Q102">SUM(SUMIFS('caseload data'!R:R,'caseload data'!$D:$D,"PO",'caseload data'!$A:$A,$B$102,'caseload data'!$B:$B,{"licence","community"}))</f>
        <v>0</v>
      </c>
      <c r="R102" s="94" cm="1">
        <f t="array" ref="R102">SUM(SUMIFS('caseload data'!S:S,'caseload data'!$D:$D,"PO",'caseload data'!$A:$A,$B$102,'caseload data'!$B:$B,{"licence","community"}))</f>
        <v>0</v>
      </c>
      <c r="S102" s="94" cm="1">
        <f t="array" ref="S102">SUM(SUMIFS('caseload data'!T:T,'caseload data'!$D:$D,"PO",'caseload data'!$A:$A,$B$102,'caseload data'!$B:$B,{"licence","community"}))</f>
        <v>0</v>
      </c>
      <c r="T102" s="94">
        <f>SUM(SUMIFS('caseload data'!V:V,'caseload data'!D:D,"PO",'caseload data'!A:A,B102,'caseload data'!B:B,{"licence","community"}))</f>
        <v>0</v>
      </c>
      <c r="U102" s="64"/>
      <c r="V102" s="64"/>
      <c r="W102" s="473" t="s">
        <v>22</v>
      </c>
      <c r="X102" s="128" t="s">
        <v>997</v>
      </c>
      <c r="Y102" s="167" t="e">
        <f>SUM(D102)/SUM(D$102:D$106)</f>
        <v>#DIV/0!</v>
      </c>
      <c r="Z102" s="167" t="e">
        <f t="shared" ref="Z102:AO106" si="58">SUM(E102)/SUM(E$102:E$106)</f>
        <v>#DIV/0!</v>
      </c>
      <c r="AA102" s="167" t="e">
        <f t="shared" si="58"/>
        <v>#DIV/0!</v>
      </c>
      <c r="AB102" s="167" t="e">
        <f t="shared" si="58"/>
        <v>#DIV/0!</v>
      </c>
      <c r="AC102" s="167" t="e">
        <f t="shared" si="58"/>
        <v>#DIV/0!</v>
      </c>
      <c r="AD102" s="167" t="e">
        <f t="shared" si="58"/>
        <v>#DIV/0!</v>
      </c>
      <c r="AE102" s="167" t="e">
        <f t="shared" si="58"/>
        <v>#DIV/0!</v>
      </c>
      <c r="AF102" s="167" t="e">
        <f t="shared" si="58"/>
        <v>#DIV/0!</v>
      </c>
      <c r="AG102" s="167" t="e">
        <f t="shared" si="58"/>
        <v>#DIV/0!</v>
      </c>
      <c r="AH102" s="167" t="e">
        <f t="shared" si="58"/>
        <v>#DIV/0!</v>
      </c>
      <c r="AI102" s="167" t="e">
        <f t="shared" si="58"/>
        <v>#DIV/0!</v>
      </c>
      <c r="AJ102" s="167" t="e">
        <f t="shared" si="58"/>
        <v>#DIV/0!</v>
      </c>
      <c r="AK102" s="167" t="e">
        <f t="shared" si="58"/>
        <v>#DIV/0!</v>
      </c>
      <c r="AL102" s="167" t="e">
        <f t="shared" si="58"/>
        <v>#DIV/0!</v>
      </c>
      <c r="AM102" s="167" t="e">
        <f t="shared" si="58"/>
        <v>#DIV/0!</v>
      </c>
      <c r="AN102" s="167" t="e">
        <f t="shared" si="58"/>
        <v>#DIV/0!</v>
      </c>
      <c r="AO102" s="167" t="e">
        <f t="shared" si="58"/>
        <v>#DIV/0!</v>
      </c>
    </row>
    <row r="103" spans="2:41" x14ac:dyDescent="0.15">
      <c r="B103" s="474"/>
      <c r="C103" s="129" t="s">
        <v>1002</v>
      </c>
      <c r="D103" s="94" cm="1">
        <f t="array" ref="D103">SUM(SUMIFS('caseload data'!E:E,'caseload data'!$D:$D,"PSO",'caseload data'!$A:$A,"North East Region",'caseload data'!$B:$B,{"licence","community"}))</f>
        <v>0</v>
      </c>
      <c r="E103" s="94" cm="1">
        <f t="array" ref="E103">SUM(SUMIFS('caseload data'!F:F,'caseload data'!$D:$D,"PSO",'caseload data'!$A:$A,"North East Region",'caseload data'!$B:$B,{"licence","community"}))</f>
        <v>0</v>
      </c>
      <c r="F103" s="94" cm="1">
        <f t="array" ref="F103">SUM(SUMIFS('caseload data'!G:G,'caseload data'!$D:$D,"PSO",'caseload data'!$A:$A,"North East Region",'caseload data'!$B:$B,{"licence","community"}))</f>
        <v>0</v>
      </c>
      <c r="G103" s="94" cm="1">
        <f t="array" ref="G103">SUM(SUMIFS('caseload data'!H:H,'caseload data'!$D:$D,"PSO",'caseload data'!$A:$A,"North East Region",'caseload data'!$B:$B,{"licence","community"}))</f>
        <v>0</v>
      </c>
      <c r="H103" s="94" cm="1">
        <f t="array" ref="H103">SUM(SUMIFS('caseload data'!I:I,'caseload data'!$D:$D,"PSO",'caseload data'!$A:$A,"North East Region",'caseload data'!$B:$B,{"licence","community"}))</f>
        <v>0</v>
      </c>
      <c r="I103" s="94" cm="1">
        <f t="array" ref="I103">SUM(SUMIFS('caseload data'!J:J,'caseload data'!$D:$D,"PSO",'caseload data'!$A:$A,"North East Region",'caseload data'!$B:$B,{"licence","community"}))</f>
        <v>0</v>
      </c>
      <c r="J103" s="94" cm="1">
        <f t="array" ref="J103">SUM(SUMIFS('caseload data'!K:K,'caseload data'!$D:$D,"PSO",'caseload data'!$A:$A,"North East Region",'caseload data'!$B:$B,{"licence","community"}))</f>
        <v>0</v>
      </c>
      <c r="K103" s="94" cm="1">
        <f t="array" ref="K103">SUM(SUMIFS('caseload data'!L:L,'caseload data'!$D:$D,"PSO",'caseload data'!$A:$A,"North East Region",'caseload data'!$B:$B,{"licence","community"}))</f>
        <v>0</v>
      </c>
      <c r="L103" s="94" cm="1">
        <f t="array" ref="L103">SUM(SUMIFS('caseload data'!M:M,'caseload data'!$D:$D,"PSO",'caseload data'!$A:$A,"North East Region",'caseload data'!$B:$B,{"licence","community"}))</f>
        <v>0</v>
      </c>
      <c r="M103" s="94" cm="1">
        <f t="array" ref="M103">SUM(SUMIFS('caseload data'!N:N,'caseload data'!$D:$D,"PSO",'caseload data'!$A:$A,"North East Region",'caseload data'!$B:$B,{"licence","community"}))</f>
        <v>0</v>
      </c>
      <c r="N103" s="94" cm="1">
        <f t="array" ref="N103">SUM(SUMIFS('caseload data'!O:O,'caseload data'!$D:$D,"PSO",'caseload data'!$A:$A,"North East Region",'caseload data'!$B:$B,{"licence","community"}))</f>
        <v>0</v>
      </c>
      <c r="O103" s="94" cm="1">
        <f t="array" ref="O103">SUM(SUMIFS('caseload data'!P:P,'caseload data'!$D:$D,"PSO",'caseload data'!$A:$A,"North East Region",'caseload data'!$B:$B,{"licence","community"}))</f>
        <v>0</v>
      </c>
      <c r="P103" s="94" cm="1">
        <f t="array" ref="P103">SUM(SUMIFS('caseload data'!Q:Q,'caseload data'!$D:$D,"PSO",'caseload data'!$A:$A,"North East Region",'caseload data'!$B:$B,{"licence","community"}))</f>
        <v>0</v>
      </c>
      <c r="Q103" s="94" cm="1">
        <f t="array" ref="Q103">SUM(SUMIFS('caseload data'!R:R,'caseload data'!$D:$D,"PSO",'caseload data'!$A:$A,"North East Region",'caseload data'!$B:$B,{"licence","community"}))</f>
        <v>0</v>
      </c>
      <c r="R103" s="94" cm="1">
        <f t="array" ref="R103">SUM(SUMIFS('caseload data'!S:S,'caseload data'!$D:$D,"PSO",'caseload data'!$A:$A,"North East Region",'caseload data'!$B:$B,{"licence","community"}))</f>
        <v>0</v>
      </c>
      <c r="S103" s="94" cm="1">
        <f t="array" ref="S103">SUM(SUMIFS('caseload data'!T:T,'caseload data'!$D:$D,"PSO",'caseload data'!$A:$A,"North East Region",'caseload data'!$B:$B,{"licence","community"}))</f>
        <v>0</v>
      </c>
      <c r="T103" s="94" cm="1">
        <f t="array" ref="T103">SUM(SUMIFS('caseload data'!V:V,'caseload data'!D:D,"PSO",'caseload data'!A:A,"North East Region",'caseload data'!B:B,{"licence","community"}))</f>
        <v>0</v>
      </c>
      <c r="U103" s="64"/>
      <c r="V103" s="64"/>
      <c r="W103" s="474"/>
      <c r="X103" s="129" t="s">
        <v>1002</v>
      </c>
      <c r="Y103" s="167" t="e">
        <f t="shared" ref="Y103:Y106" si="59">SUM(D103)/SUM(D$102:D$106)</f>
        <v>#DIV/0!</v>
      </c>
      <c r="Z103" s="167" t="e">
        <f t="shared" si="58"/>
        <v>#DIV/0!</v>
      </c>
      <c r="AA103" s="167" t="e">
        <f t="shared" si="58"/>
        <v>#DIV/0!</v>
      </c>
      <c r="AB103" s="167" t="e">
        <f t="shared" si="58"/>
        <v>#DIV/0!</v>
      </c>
      <c r="AC103" s="167" t="e">
        <f t="shared" si="58"/>
        <v>#DIV/0!</v>
      </c>
      <c r="AD103" s="167" t="e">
        <f t="shared" si="58"/>
        <v>#DIV/0!</v>
      </c>
      <c r="AE103" s="167" t="e">
        <f t="shared" si="58"/>
        <v>#DIV/0!</v>
      </c>
      <c r="AF103" s="167" t="e">
        <f t="shared" si="58"/>
        <v>#DIV/0!</v>
      </c>
      <c r="AG103" s="167" t="e">
        <f t="shared" si="58"/>
        <v>#DIV/0!</v>
      </c>
      <c r="AH103" s="167" t="e">
        <f t="shared" si="58"/>
        <v>#DIV/0!</v>
      </c>
      <c r="AI103" s="167" t="e">
        <f t="shared" si="58"/>
        <v>#DIV/0!</v>
      </c>
      <c r="AJ103" s="167" t="e">
        <f t="shared" si="58"/>
        <v>#DIV/0!</v>
      </c>
      <c r="AK103" s="167" t="e">
        <f t="shared" si="58"/>
        <v>#DIV/0!</v>
      </c>
      <c r="AL103" s="167" t="e">
        <f t="shared" si="58"/>
        <v>#DIV/0!</v>
      </c>
      <c r="AM103" s="167" t="e">
        <f t="shared" si="58"/>
        <v>#DIV/0!</v>
      </c>
      <c r="AN103" s="167" t="e">
        <f t="shared" si="58"/>
        <v>#DIV/0!</v>
      </c>
      <c r="AO103" s="167" t="e">
        <f t="shared" si="58"/>
        <v>#DIV/0!</v>
      </c>
    </row>
    <row r="104" spans="2:41" x14ac:dyDescent="0.15">
      <c r="B104" s="474"/>
      <c r="C104" s="129" t="s">
        <v>1003</v>
      </c>
      <c r="D104" s="94" cm="1">
        <f t="array" ref="D104">SUM(SUMIFS('caseload data'!E:E,'caseload data'!$D:$D,"TPO",'caseload data'!$A:$A,"North East Region",'caseload data'!$B:$B,{"licence","community"}))</f>
        <v>0</v>
      </c>
      <c r="E104" s="94" cm="1">
        <f t="array" ref="E104">SUM(SUMIFS('caseload data'!F:F,'caseload data'!$D:$D,"TPO",'caseload data'!$A:$A,"North East Region",'caseload data'!$B:$B,{"licence","community"}))</f>
        <v>0</v>
      </c>
      <c r="F104" s="94" cm="1">
        <f t="array" ref="F104">SUM(SUMIFS('caseload data'!G:G,'caseload data'!$D:$D,"TPO",'caseload data'!$A:$A,"North East Region",'caseload data'!$B:$B,{"licence","community"}))</f>
        <v>0</v>
      </c>
      <c r="G104" s="94" cm="1">
        <f t="array" ref="G104">SUM(SUMIFS('caseload data'!H:H,'caseload data'!$D:$D,"TPO",'caseload data'!$A:$A,"North East Region",'caseload data'!$B:$B,{"licence","community"}))</f>
        <v>0</v>
      </c>
      <c r="H104" s="94" cm="1">
        <f t="array" ref="H104">SUM(SUMIFS('caseload data'!I:I,'caseload data'!$D:$D,"TPO",'caseload data'!$A:$A,"North East Region",'caseload data'!$B:$B,{"licence","community"}))</f>
        <v>0</v>
      </c>
      <c r="I104" s="94" cm="1">
        <f t="array" ref="I104">SUM(SUMIFS('caseload data'!J:J,'caseload data'!$D:$D,"TPO",'caseload data'!$A:$A,"North East Region",'caseload data'!$B:$B,{"licence","community"}))</f>
        <v>0</v>
      </c>
      <c r="J104" s="94" cm="1">
        <f t="array" ref="J104">SUM(SUMIFS('caseload data'!K:K,'caseload data'!$D:$D,"TPO",'caseload data'!$A:$A,"North East Region",'caseload data'!$B:$B,{"licence","community"}))</f>
        <v>0</v>
      </c>
      <c r="K104" s="94" cm="1">
        <f t="array" ref="K104">SUM(SUMIFS('caseload data'!L:L,'caseload data'!$D:$D,"TPO",'caseload data'!$A:$A,"North East Region",'caseload data'!$B:$B,{"licence","community"}))</f>
        <v>0</v>
      </c>
      <c r="L104" s="94" cm="1">
        <f t="array" ref="L104">SUM(SUMIFS('caseload data'!M:M,'caseload data'!$D:$D,"TPO",'caseload data'!$A:$A,"North East Region",'caseload data'!$B:$B,{"licence","community"}))</f>
        <v>0</v>
      </c>
      <c r="M104" s="94" cm="1">
        <f t="array" ref="M104">SUM(SUMIFS('caseload data'!N:N,'caseload data'!$D:$D,"TPO",'caseload data'!$A:$A,"North East Region",'caseload data'!$B:$B,{"licence","community"}))</f>
        <v>0</v>
      </c>
      <c r="N104" s="94" cm="1">
        <f t="array" ref="N104">SUM(SUMIFS('caseload data'!O:O,'caseload data'!$D:$D,"TPO",'caseload data'!$A:$A,"North East Region",'caseload data'!$B:$B,{"licence","community"}))</f>
        <v>0</v>
      </c>
      <c r="O104" s="94" cm="1">
        <f t="array" ref="O104">SUM(SUMIFS('caseload data'!P:P,'caseload data'!$D:$D,"TPO",'caseload data'!$A:$A,"North East Region",'caseload data'!$B:$B,{"licence","community"}))</f>
        <v>0</v>
      </c>
      <c r="P104" s="94" cm="1">
        <f t="array" ref="P104">SUM(SUMIFS('caseload data'!Q:Q,'caseload data'!$D:$D,"TPO",'caseload data'!$A:$A,"North East Region",'caseload data'!$B:$B,{"licence","community"}))</f>
        <v>0</v>
      </c>
      <c r="Q104" s="94" cm="1">
        <f t="array" ref="Q104">SUM(SUMIFS('caseload data'!R:R,'caseload data'!$D:$D,"TPO",'caseload data'!$A:$A,"North East Region",'caseload data'!$B:$B,{"licence","community"}))</f>
        <v>0</v>
      </c>
      <c r="R104" s="94" cm="1">
        <f t="array" ref="R104">SUM(SUMIFS('caseload data'!S:S,'caseload data'!$D:$D,"TPO",'caseload data'!$A:$A,"North East Region",'caseload data'!$B:$B,{"licence","community"}))</f>
        <v>0</v>
      </c>
      <c r="S104" s="94" cm="1">
        <f t="array" ref="S104">SUM(SUMIFS('caseload data'!T:T,'caseload data'!$D:$D,"TPO",'caseload data'!$A:$A,"North East Region",'caseload data'!$B:$B,{"licence","community"}))</f>
        <v>0</v>
      </c>
      <c r="T104" s="94" cm="1">
        <f t="array" ref="T104">SUM(SUMIFS('caseload data'!V:V,'caseload data'!D:D,"TPO",'caseload data'!A:A,"North East Region",'caseload data'!B:B,{"licence","community"}))</f>
        <v>0</v>
      </c>
      <c r="U104" s="64"/>
      <c r="V104" s="64"/>
      <c r="W104" s="474"/>
      <c r="X104" s="129" t="s">
        <v>1003</v>
      </c>
      <c r="Y104" s="167" t="e">
        <f t="shared" si="59"/>
        <v>#DIV/0!</v>
      </c>
      <c r="Z104" s="167" t="e">
        <f t="shared" si="58"/>
        <v>#DIV/0!</v>
      </c>
      <c r="AA104" s="167" t="e">
        <f t="shared" si="58"/>
        <v>#DIV/0!</v>
      </c>
      <c r="AB104" s="167" t="e">
        <f t="shared" si="58"/>
        <v>#DIV/0!</v>
      </c>
      <c r="AC104" s="167" t="e">
        <f t="shared" si="58"/>
        <v>#DIV/0!</v>
      </c>
      <c r="AD104" s="167" t="e">
        <f t="shared" si="58"/>
        <v>#DIV/0!</v>
      </c>
      <c r="AE104" s="167" t="e">
        <f t="shared" si="58"/>
        <v>#DIV/0!</v>
      </c>
      <c r="AF104" s="167" t="e">
        <f t="shared" si="58"/>
        <v>#DIV/0!</v>
      </c>
      <c r="AG104" s="167" t="e">
        <f t="shared" si="58"/>
        <v>#DIV/0!</v>
      </c>
      <c r="AH104" s="167" t="e">
        <f t="shared" si="58"/>
        <v>#DIV/0!</v>
      </c>
      <c r="AI104" s="167" t="e">
        <f t="shared" si="58"/>
        <v>#DIV/0!</v>
      </c>
      <c r="AJ104" s="167" t="e">
        <f t="shared" si="58"/>
        <v>#DIV/0!</v>
      </c>
      <c r="AK104" s="167" t="e">
        <f t="shared" si="58"/>
        <v>#DIV/0!</v>
      </c>
      <c r="AL104" s="167" t="e">
        <f t="shared" si="58"/>
        <v>#DIV/0!</v>
      </c>
      <c r="AM104" s="167" t="e">
        <f t="shared" si="58"/>
        <v>#DIV/0!</v>
      </c>
      <c r="AN104" s="167" t="e">
        <f t="shared" si="58"/>
        <v>#DIV/0!</v>
      </c>
      <c r="AO104" s="167" t="e">
        <f t="shared" si="58"/>
        <v>#DIV/0!</v>
      </c>
    </row>
    <row r="105" spans="2:41" x14ac:dyDescent="0.15">
      <c r="B105" s="474"/>
      <c r="C105" s="129" t="s">
        <v>1004</v>
      </c>
      <c r="D105" s="94" cm="1">
        <f t="array" ref="D105">SUM(SUMIFS('caseload data'!E:E,'caseload data'!$D:$D,"SPO",'caseload data'!$A:$A,"North East Region",'caseload data'!$B:$B,{"licence","community"}))</f>
        <v>0</v>
      </c>
      <c r="E105" s="94" cm="1">
        <f t="array" ref="E105">SUM(SUMIFS('caseload data'!F:F,'caseload data'!$D:$D,"SPO",'caseload data'!$A:$A,"North East Region",'caseload data'!$B:$B,{"licence","community"}))</f>
        <v>0</v>
      </c>
      <c r="F105" s="94" cm="1">
        <f t="array" ref="F105">SUM(SUMIFS('caseload data'!G:G,'caseload data'!$D:$D,"SPO",'caseload data'!$A:$A,"North East Region",'caseload data'!$B:$B,{"licence","community"}))</f>
        <v>0</v>
      </c>
      <c r="G105" s="94" cm="1">
        <f t="array" ref="G105">SUM(SUMIFS('caseload data'!H:H,'caseload data'!$D:$D,"SPO",'caseload data'!$A:$A,"North East Region",'caseload data'!$B:$B,{"licence","community"}))</f>
        <v>0</v>
      </c>
      <c r="H105" s="94" cm="1">
        <f t="array" ref="H105">SUM(SUMIFS('caseload data'!I:I,'caseload data'!$D:$D,"SPO",'caseload data'!$A:$A,"North East Region",'caseload data'!$B:$B,{"licence","community"}))</f>
        <v>0</v>
      </c>
      <c r="I105" s="94" cm="1">
        <f t="array" ref="I105">SUM(SUMIFS('caseload data'!J:J,'caseload data'!$D:$D,"SPO",'caseload data'!$A:$A,"North East Region",'caseload data'!$B:$B,{"licence","community"}))</f>
        <v>0</v>
      </c>
      <c r="J105" s="94" cm="1">
        <f t="array" ref="J105">SUM(SUMIFS('caseload data'!K:K,'caseload data'!$D:$D,"SPO",'caseload data'!$A:$A,"North East Region",'caseload data'!$B:$B,{"licence","community"}))</f>
        <v>0</v>
      </c>
      <c r="K105" s="94" cm="1">
        <f t="array" ref="K105">SUM(SUMIFS('caseload data'!L:L,'caseload data'!$D:$D,"SPO",'caseload data'!$A:$A,"North East Region",'caseload data'!$B:$B,{"licence","community"}))</f>
        <v>0</v>
      </c>
      <c r="L105" s="94" cm="1">
        <f t="array" ref="L105">SUM(SUMIFS('caseload data'!M:M,'caseload data'!$D:$D,"SPO",'caseload data'!$A:$A,"North East Region",'caseload data'!$B:$B,{"licence","community"}))</f>
        <v>0</v>
      </c>
      <c r="M105" s="94" cm="1">
        <f t="array" ref="M105">SUM(SUMIFS('caseload data'!N:N,'caseload data'!$D:$D,"SPO",'caseload data'!$A:$A,"North East Region",'caseload data'!$B:$B,{"licence","community"}))</f>
        <v>0</v>
      </c>
      <c r="N105" s="94" cm="1">
        <f t="array" ref="N105">SUM(SUMIFS('caseload data'!O:O,'caseload data'!$D:$D,"SPO",'caseload data'!$A:$A,"North East Region",'caseload data'!$B:$B,{"licence","community"}))</f>
        <v>0</v>
      </c>
      <c r="O105" s="94" cm="1">
        <f t="array" ref="O105">SUM(SUMIFS('caseload data'!P:P,'caseload data'!$D:$D,"SPO",'caseload data'!$A:$A,"North East Region",'caseload data'!$B:$B,{"licence","community"}))</f>
        <v>0</v>
      </c>
      <c r="P105" s="94" cm="1">
        <f t="array" ref="P105">SUM(SUMIFS('caseload data'!Q:Q,'caseload data'!$D:$D,"SPO",'caseload data'!$A:$A,"North East Region",'caseload data'!$B:$B,{"licence","community"}))</f>
        <v>0</v>
      </c>
      <c r="Q105" s="94" cm="1">
        <f t="array" ref="Q105">SUM(SUMIFS('caseload data'!R:R,'caseload data'!$D:$D,"SPO",'caseload data'!$A:$A,"North East Region",'caseload data'!$B:$B,{"licence","community"}))</f>
        <v>0</v>
      </c>
      <c r="R105" s="94" cm="1">
        <f t="array" ref="R105">SUM(SUMIFS('caseload data'!S:S,'caseload data'!$D:$D,"SPO",'caseload data'!$A:$A,"North East Region",'caseload data'!$B:$B,{"licence","community"}))</f>
        <v>0</v>
      </c>
      <c r="S105" s="94" cm="1">
        <f t="array" ref="S105">SUM(SUMIFS('caseload data'!T:T,'caseload data'!$D:$D,"SPO",'caseload data'!$A:$A,"North East Region",'caseload data'!$B:$B,{"licence","community"}))</f>
        <v>0</v>
      </c>
      <c r="T105" s="94" cm="1">
        <f t="array" ref="T105">SUM(SUMIFS('caseload data'!V:V,'caseload data'!$D:$D,"SPO",'caseload data'!$A:$A,"North East Region",'caseload data'!$B:$B,{"licence","community"}))</f>
        <v>0</v>
      </c>
      <c r="U105" s="64"/>
      <c r="V105" s="64"/>
      <c r="W105" s="474"/>
      <c r="X105" s="129" t="s">
        <v>1004</v>
      </c>
      <c r="Y105" s="167" t="e">
        <f t="shared" si="59"/>
        <v>#DIV/0!</v>
      </c>
      <c r="Z105" s="167" t="e">
        <f t="shared" si="58"/>
        <v>#DIV/0!</v>
      </c>
      <c r="AA105" s="167" t="e">
        <f t="shared" si="58"/>
        <v>#DIV/0!</v>
      </c>
      <c r="AB105" s="167" t="e">
        <f t="shared" si="58"/>
        <v>#DIV/0!</v>
      </c>
      <c r="AC105" s="167" t="e">
        <f t="shared" si="58"/>
        <v>#DIV/0!</v>
      </c>
      <c r="AD105" s="167" t="e">
        <f t="shared" si="58"/>
        <v>#DIV/0!</v>
      </c>
      <c r="AE105" s="167" t="e">
        <f t="shared" si="58"/>
        <v>#DIV/0!</v>
      </c>
      <c r="AF105" s="167" t="e">
        <f t="shared" si="58"/>
        <v>#DIV/0!</v>
      </c>
      <c r="AG105" s="167" t="e">
        <f t="shared" si="58"/>
        <v>#DIV/0!</v>
      </c>
      <c r="AH105" s="167" t="e">
        <f t="shared" si="58"/>
        <v>#DIV/0!</v>
      </c>
      <c r="AI105" s="167" t="e">
        <f t="shared" si="58"/>
        <v>#DIV/0!</v>
      </c>
      <c r="AJ105" s="167" t="e">
        <f t="shared" si="58"/>
        <v>#DIV/0!</v>
      </c>
      <c r="AK105" s="167" t="e">
        <f t="shared" si="58"/>
        <v>#DIV/0!</v>
      </c>
      <c r="AL105" s="167" t="e">
        <f t="shared" si="58"/>
        <v>#DIV/0!</v>
      </c>
      <c r="AM105" s="167" t="e">
        <f t="shared" si="58"/>
        <v>#DIV/0!</v>
      </c>
      <c r="AN105" s="167" t="e">
        <f t="shared" si="58"/>
        <v>#DIV/0!</v>
      </c>
      <c r="AO105" s="167" t="e">
        <f t="shared" si="58"/>
        <v>#DIV/0!</v>
      </c>
    </row>
    <row r="106" spans="2:41" x14ac:dyDescent="0.15">
      <c r="B106" s="475"/>
      <c r="C106" s="130" t="s">
        <v>1339</v>
      </c>
      <c r="D106" s="94" cm="1">
        <f t="array" ref="D106">SUM(SUMIFS('caseload data'!E:E,'caseload data'!$D:$D,"DMY",'caseload data'!$A:$A,"North East Region",'caseload data'!$B:$B,{"licence","community"}))</f>
        <v>0</v>
      </c>
      <c r="E106" s="94" cm="1">
        <f t="array" ref="E106">SUM(SUMIFS('caseload data'!F:F,'caseload data'!$D:$D,"DMY",'caseload data'!$A:$A,"North East Region",'caseload data'!$B:$B,{"licence","community"}))</f>
        <v>0</v>
      </c>
      <c r="F106" s="94" cm="1">
        <f t="array" ref="F106">SUM(SUMIFS('caseload data'!G:G,'caseload data'!$D:$D,"DMY",'caseload data'!$A:$A,"North East Region",'caseload data'!$B:$B,{"licence","community"}))</f>
        <v>0</v>
      </c>
      <c r="G106" s="94" cm="1">
        <f t="array" ref="G106">SUM(SUMIFS('caseload data'!H:H,'caseload data'!$D:$D,"DMY",'caseload data'!$A:$A,"North East Region",'caseload data'!$B:$B,{"licence","community"}))</f>
        <v>0</v>
      </c>
      <c r="H106" s="94" cm="1">
        <f t="array" ref="H106">SUM(SUMIFS('caseload data'!I:I,'caseload data'!$D:$D,"DMY",'caseload data'!$A:$A,"North East Region",'caseload data'!$B:$B,{"licence","community"}))</f>
        <v>0</v>
      </c>
      <c r="I106" s="94" cm="1">
        <f t="array" ref="I106">SUM(SUMIFS('caseload data'!J:J,'caseload data'!$D:$D,"DMY",'caseload data'!$A:$A,"North East Region",'caseload data'!$B:$B,{"licence","community"}))</f>
        <v>0</v>
      </c>
      <c r="J106" s="94" cm="1">
        <f t="array" ref="J106">SUM(SUMIFS('caseload data'!K:K,'caseload data'!$D:$D,"DMY",'caseload data'!$A:$A,"North East Region",'caseload data'!$B:$B,{"licence","community"}))</f>
        <v>0</v>
      </c>
      <c r="K106" s="94" cm="1">
        <f t="array" ref="K106">SUM(SUMIFS('caseload data'!L:L,'caseload data'!$D:$D,"DMY",'caseload data'!$A:$A,"North East Region",'caseload data'!$B:$B,{"licence","community"}))</f>
        <v>0</v>
      </c>
      <c r="L106" s="94" cm="1">
        <f t="array" ref="L106">SUM(SUMIFS('caseload data'!M:M,'caseload data'!$D:$D,"DMY",'caseload data'!$A:$A,"North East Region",'caseload data'!$B:$B,{"licence","community"}))</f>
        <v>0</v>
      </c>
      <c r="M106" s="94" cm="1">
        <f t="array" ref="M106">SUM(SUMIFS('caseload data'!N:N,'caseload data'!$D:$D,"DMY",'caseload data'!$A:$A,"North East Region",'caseload data'!$B:$B,{"licence","community"}))</f>
        <v>0</v>
      </c>
      <c r="N106" s="94" cm="1">
        <f t="array" ref="N106">SUM(SUMIFS('caseload data'!O:O,'caseload data'!$D:$D,"DMY",'caseload data'!$A:$A,"North East Region",'caseload data'!$B:$B,{"licence","community"}))</f>
        <v>0</v>
      </c>
      <c r="O106" s="94" cm="1">
        <f t="array" ref="O106">SUM(SUMIFS('caseload data'!P:P,'caseload data'!$D:$D,"DMY",'caseload data'!$A:$A,"North East Region",'caseload data'!$B:$B,{"licence","community"}))</f>
        <v>0</v>
      </c>
      <c r="P106" s="94" cm="1">
        <f t="array" ref="P106">SUM(SUMIFS('caseload data'!Q:Q,'caseload data'!$D:$D,"DMY",'caseload data'!$A:$A,"North East Region",'caseload data'!$B:$B,{"licence","community"}))</f>
        <v>0</v>
      </c>
      <c r="Q106" s="94" cm="1">
        <f t="array" ref="Q106">SUM(SUMIFS('caseload data'!R:R,'caseload data'!$D:$D,"DMY",'caseload data'!$A:$A,"North East Region",'caseload data'!$B:$B,{"licence","community"}))</f>
        <v>0</v>
      </c>
      <c r="R106" s="94" cm="1">
        <f t="array" ref="R106">SUM(SUMIFS('caseload data'!S:S,'caseload data'!$D:$D,"DMY",'caseload data'!$A:$A,"North East Region",'caseload data'!$B:$B,{"licence","community"}))</f>
        <v>0</v>
      </c>
      <c r="S106" s="94" cm="1">
        <f t="array" ref="S106">SUM(SUMIFS('caseload data'!T:T,'caseload data'!$D:$D,"DMY",'caseload data'!$A:$A,"North East Region",'caseload data'!$B:$B,{"licence","community"}))</f>
        <v>0</v>
      </c>
      <c r="T106" s="94" cm="1">
        <f t="array" ref="T106">SUM(SUMIFS('caseload data'!V:V,'caseload data'!$D:$D,"DMY",'caseload data'!$A:$A,"North East Region",'caseload data'!$B:$B,{"licence","community"}))</f>
        <v>0</v>
      </c>
      <c r="U106" s="64"/>
      <c r="V106" s="64"/>
      <c r="W106" s="475"/>
      <c r="X106" s="130" t="s">
        <v>1339</v>
      </c>
      <c r="Y106" s="167" t="e">
        <f t="shared" si="59"/>
        <v>#DIV/0!</v>
      </c>
      <c r="Z106" s="167" t="e">
        <f t="shared" si="58"/>
        <v>#DIV/0!</v>
      </c>
      <c r="AA106" s="167" t="e">
        <f t="shared" si="58"/>
        <v>#DIV/0!</v>
      </c>
      <c r="AB106" s="167" t="e">
        <f t="shared" si="58"/>
        <v>#DIV/0!</v>
      </c>
      <c r="AC106" s="167" t="e">
        <f t="shared" si="58"/>
        <v>#DIV/0!</v>
      </c>
      <c r="AD106" s="167" t="e">
        <f t="shared" si="58"/>
        <v>#DIV/0!</v>
      </c>
      <c r="AE106" s="167" t="e">
        <f t="shared" si="58"/>
        <v>#DIV/0!</v>
      </c>
      <c r="AF106" s="167" t="e">
        <f t="shared" si="58"/>
        <v>#DIV/0!</v>
      </c>
      <c r="AG106" s="167" t="e">
        <f t="shared" si="58"/>
        <v>#DIV/0!</v>
      </c>
      <c r="AH106" s="167" t="e">
        <f t="shared" si="58"/>
        <v>#DIV/0!</v>
      </c>
      <c r="AI106" s="167" t="e">
        <f t="shared" si="58"/>
        <v>#DIV/0!</v>
      </c>
      <c r="AJ106" s="167" t="e">
        <f t="shared" si="58"/>
        <v>#DIV/0!</v>
      </c>
      <c r="AK106" s="167" t="e">
        <f t="shared" si="58"/>
        <v>#DIV/0!</v>
      </c>
      <c r="AL106" s="167" t="e">
        <f t="shared" si="58"/>
        <v>#DIV/0!</v>
      </c>
      <c r="AM106" s="167" t="e">
        <f t="shared" si="58"/>
        <v>#DIV/0!</v>
      </c>
      <c r="AN106" s="167" t="e">
        <f t="shared" si="58"/>
        <v>#DIV/0!</v>
      </c>
      <c r="AO106" s="167" t="e">
        <f t="shared" si="58"/>
        <v>#DIV/0!</v>
      </c>
    </row>
    <row r="107" spans="2:41" x14ac:dyDescent="0.15">
      <c r="B107" s="473" t="s">
        <v>23</v>
      </c>
      <c r="C107" s="128" t="s">
        <v>997</v>
      </c>
      <c r="D107" s="94" cm="1">
        <f t="array" ref="D107">SUM(SUMIFS('caseload data'!E:E,'caseload data'!$D:$D,"PO",'caseload data'!$A:$A,"North West Region",'caseload data'!$B:$B,{"licence","community"}))</f>
        <v>0</v>
      </c>
      <c r="E107" s="94" cm="1">
        <f t="array" ref="E107">SUM(SUMIFS('caseload data'!F:F,'caseload data'!$D:$D,"PO",'caseload data'!$A:$A,"North West Region",'caseload data'!$B:$B,{"licence","community"}))</f>
        <v>0</v>
      </c>
      <c r="F107" s="94" cm="1">
        <f t="array" ref="F107">SUM(SUMIFS('caseload data'!G:G,'caseload data'!$D:$D,"PO",'caseload data'!$A:$A,"North West Region",'caseload data'!$B:$B,{"licence","community"}))</f>
        <v>0</v>
      </c>
      <c r="G107" s="94" cm="1">
        <f t="array" ref="G107">SUM(SUMIFS('caseload data'!H:H,'caseload data'!$D:$D,"PO",'caseload data'!$A:$A,"North West Region",'caseload data'!$B:$B,{"licence","community"}))</f>
        <v>0</v>
      </c>
      <c r="H107" s="94" cm="1">
        <f t="array" ref="H107">SUM(SUMIFS('caseload data'!I:I,'caseload data'!$D:$D,"PO",'caseload data'!$A:$A,"North West Region",'caseload data'!$B:$B,{"licence","community"}))</f>
        <v>0</v>
      </c>
      <c r="I107" s="94" cm="1">
        <f t="array" ref="I107">SUM(SUMIFS('caseload data'!J:J,'caseload data'!$D:$D,"PO",'caseload data'!$A:$A,"North West Region",'caseload data'!$B:$B,{"licence","community"}))</f>
        <v>0</v>
      </c>
      <c r="J107" s="94" cm="1">
        <f t="array" ref="J107">SUM(SUMIFS('caseload data'!K:K,'caseload data'!$D:$D,"PO",'caseload data'!$A:$A,"North West Region",'caseload data'!$B:$B,{"licence","community"}))</f>
        <v>0</v>
      </c>
      <c r="K107" s="94" cm="1">
        <f t="array" ref="K107">SUM(SUMIFS('caseload data'!L:L,'caseload data'!$D:$D,"PO",'caseload data'!$A:$A,"North West Region",'caseload data'!$B:$B,{"licence","community"}))</f>
        <v>0</v>
      </c>
      <c r="L107" s="94" cm="1">
        <f t="array" ref="L107">SUM(SUMIFS('caseload data'!M:M,'caseload data'!$D:$D,"PO",'caseload data'!$A:$A,"North West Region",'caseload data'!$B:$B,{"licence","community"}))</f>
        <v>0</v>
      </c>
      <c r="M107" s="94" cm="1">
        <f t="array" ref="M107">SUM(SUMIFS('caseload data'!N:N,'caseload data'!$D:$D,"PO",'caseload data'!$A:$A,"North West Region",'caseload data'!$B:$B,{"licence","community"}))</f>
        <v>0</v>
      </c>
      <c r="N107" s="94" cm="1">
        <f t="array" ref="N107">SUM(SUMIFS('caseload data'!O:O,'caseload data'!$D:$D,"PO",'caseload data'!$A:$A,"North West Region",'caseload data'!$B:$B,{"licence","community"}))</f>
        <v>0</v>
      </c>
      <c r="O107" s="94" cm="1">
        <f t="array" ref="O107">SUM(SUMIFS('caseload data'!P:P,'caseload data'!$D:$D,"PO",'caseload data'!$A:$A,"North West Region",'caseload data'!$B:$B,{"licence","community"}))</f>
        <v>0</v>
      </c>
      <c r="P107" s="94" cm="1">
        <f t="array" ref="P107">SUM(SUMIFS('caseload data'!Q:Q,'caseload data'!$D:$D,"PO",'caseload data'!$A:$A,"North West Region",'caseload data'!$B:$B,{"licence","community"}))</f>
        <v>0</v>
      </c>
      <c r="Q107" s="94" cm="1">
        <f t="array" ref="Q107">SUM(SUMIFS('caseload data'!R:R,'caseload data'!$D:$D,"PO",'caseload data'!$A:$A,"North West Region",'caseload data'!$B:$B,{"licence","community"}))</f>
        <v>0</v>
      </c>
      <c r="R107" s="94" cm="1">
        <f t="array" ref="R107">SUM(SUMIFS('caseload data'!S:S,'caseload data'!$D:$D,"PO",'caseload data'!$A:$A,"North West Region",'caseload data'!$B:$B,{"licence","community"}))</f>
        <v>0</v>
      </c>
      <c r="S107" s="94" cm="1">
        <f t="array" ref="S107">SUM(SUMIFS('caseload data'!T:T,'caseload data'!$D:$D,"PO",'caseload data'!$A:$A,"North West Region",'caseload data'!$B:$B,{"licence","community"}))</f>
        <v>0</v>
      </c>
      <c r="T107" s="94">
        <f>SUM(SUMIFS('caseload data'!V:V,'caseload data'!D:D,"PO",'caseload data'!A:A,B107,'caseload data'!B:B,{"licence","community"}))</f>
        <v>0</v>
      </c>
      <c r="U107" s="64"/>
      <c r="V107" s="64"/>
      <c r="W107" s="473" t="s">
        <v>23</v>
      </c>
      <c r="X107" s="128" t="s">
        <v>997</v>
      </c>
      <c r="Y107" s="167" t="e">
        <f>SUM(D107)/SUM(D$107:D$111)</f>
        <v>#DIV/0!</v>
      </c>
      <c r="Z107" s="167" t="e">
        <f t="shared" ref="Z107:AO111" si="60">SUM(E107)/SUM(E$107:E$111)</f>
        <v>#DIV/0!</v>
      </c>
      <c r="AA107" s="167" t="e">
        <f t="shared" si="60"/>
        <v>#DIV/0!</v>
      </c>
      <c r="AB107" s="167" t="e">
        <f t="shared" si="60"/>
        <v>#DIV/0!</v>
      </c>
      <c r="AC107" s="167" t="e">
        <f t="shared" si="60"/>
        <v>#DIV/0!</v>
      </c>
      <c r="AD107" s="167" t="e">
        <f t="shared" si="60"/>
        <v>#DIV/0!</v>
      </c>
      <c r="AE107" s="167" t="e">
        <f t="shared" si="60"/>
        <v>#DIV/0!</v>
      </c>
      <c r="AF107" s="167" t="e">
        <f t="shared" si="60"/>
        <v>#DIV/0!</v>
      </c>
      <c r="AG107" s="167" t="e">
        <f t="shared" si="60"/>
        <v>#DIV/0!</v>
      </c>
      <c r="AH107" s="167" t="e">
        <f t="shared" si="60"/>
        <v>#DIV/0!</v>
      </c>
      <c r="AI107" s="167" t="e">
        <f t="shared" si="60"/>
        <v>#DIV/0!</v>
      </c>
      <c r="AJ107" s="167" t="e">
        <f t="shared" si="60"/>
        <v>#DIV/0!</v>
      </c>
      <c r="AK107" s="167" t="e">
        <f t="shared" si="60"/>
        <v>#DIV/0!</v>
      </c>
      <c r="AL107" s="167" t="e">
        <f t="shared" si="60"/>
        <v>#DIV/0!</v>
      </c>
      <c r="AM107" s="167" t="e">
        <f t="shared" si="60"/>
        <v>#DIV/0!</v>
      </c>
      <c r="AN107" s="167" t="e">
        <f t="shared" si="60"/>
        <v>#DIV/0!</v>
      </c>
      <c r="AO107" s="167" t="e">
        <f t="shared" si="60"/>
        <v>#DIV/0!</v>
      </c>
    </row>
    <row r="108" spans="2:41" x14ac:dyDescent="0.15">
      <c r="B108" s="474"/>
      <c r="C108" s="129" t="s">
        <v>1002</v>
      </c>
      <c r="D108" s="94" cm="1">
        <f t="array" ref="D108">SUM(SUMIFS('caseload data'!E:E,'caseload data'!$D:$D,"PSO",'caseload data'!$A:$A,"North West Region",'caseload data'!$B:$B,{"licence","community"}))</f>
        <v>0</v>
      </c>
      <c r="E108" s="94" cm="1">
        <f t="array" ref="E108">SUM(SUMIFS('caseload data'!F:F,'caseload data'!$D:$D,"PSO",'caseload data'!$A:$A,"North West Region",'caseload data'!$B:$B,{"licence","community"}))</f>
        <v>0</v>
      </c>
      <c r="F108" s="94" cm="1">
        <f t="array" ref="F108">SUM(SUMIFS('caseload data'!G:G,'caseload data'!$D:$D,"PSO",'caseload data'!$A:$A,"North West Region",'caseload data'!$B:$B,{"licence","community"}))</f>
        <v>0</v>
      </c>
      <c r="G108" s="94" cm="1">
        <f t="array" ref="G108">SUM(SUMIFS('caseload data'!H:H,'caseload data'!$D:$D,"PSO",'caseload data'!$A:$A,"North West Region",'caseload data'!$B:$B,{"licence","community"}))</f>
        <v>0</v>
      </c>
      <c r="H108" s="94" cm="1">
        <f t="array" ref="H108">SUM(SUMIFS('caseload data'!I:I,'caseload data'!$D:$D,"PSO",'caseload data'!$A:$A,"North West Region",'caseload data'!$B:$B,{"licence","community"}))</f>
        <v>0</v>
      </c>
      <c r="I108" s="94" cm="1">
        <f t="array" ref="I108">SUM(SUMIFS('caseload data'!J:J,'caseload data'!$D:$D,"PSO",'caseload data'!$A:$A,"North West Region",'caseload data'!$B:$B,{"licence","community"}))</f>
        <v>0</v>
      </c>
      <c r="J108" s="94" cm="1">
        <f t="array" ref="J108">SUM(SUMIFS('caseload data'!K:K,'caseload data'!$D:$D,"PSO",'caseload data'!$A:$A,"North West Region",'caseload data'!$B:$B,{"licence","community"}))</f>
        <v>0</v>
      </c>
      <c r="K108" s="94" cm="1">
        <f t="array" ref="K108">SUM(SUMIFS('caseload data'!L:L,'caseload data'!$D:$D,"PSO",'caseload data'!$A:$A,"North West Region",'caseload data'!$B:$B,{"licence","community"}))</f>
        <v>0</v>
      </c>
      <c r="L108" s="94" cm="1">
        <f t="array" ref="L108">SUM(SUMIFS('caseload data'!M:M,'caseload data'!$D:$D,"PSO",'caseload data'!$A:$A,"North West Region",'caseload data'!$B:$B,{"licence","community"}))</f>
        <v>0</v>
      </c>
      <c r="M108" s="94" cm="1">
        <f t="array" ref="M108">SUM(SUMIFS('caseload data'!N:N,'caseload data'!$D:$D,"PSO",'caseload data'!$A:$A,"North West Region",'caseload data'!$B:$B,{"licence","community"}))</f>
        <v>0</v>
      </c>
      <c r="N108" s="94" cm="1">
        <f t="array" ref="N108">SUM(SUMIFS('caseload data'!O:O,'caseload data'!$D:$D,"PSO",'caseload data'!$A:$A,"North West Region",'caseload data'!$B:$B,{"licence","community"}))</f>
        <v>0</v>
      </c>
      <c r="O108" s="94" cm="1">
        <f t="array" ref="O108">SUM(SUMIFS('caseload data'!P:P,'caseload data'!$D:$D,"PSO",'caseload data'!$A:$A,"North West Region",'caseload data'!$B:$B,{"licence","community"}))</f>
        <v>0</v>
      </c>
      <c r="P108" s="94" cm="1">
        <f t="array" ref="P108">SUM(SUMIFS('caseload data'!Q:Q,'caseload data'!$D:$D,"PSO",'caseload data'!$A:$A,"North West Region",'caseload data'!$B:$B,{"licence","community"}))</f>
        <v>0</v>
      </c>
      <c r="Q108" s="94" cm="1">
        <f t="array" ref="Q108">SUM(SUMIFS('caseload data'!R:R,'caseload data'!$D:$D,"PSO",'caseload data'!$A:$A,"North West Region",'caseload data'!$B:$B,{"licence","community"}))</f>
        <v>0</v>
      </c>
      <c r="R108" s="94" cm="1">
        <f t="array" ref="R108">SUM(SUMIFS('caseload data'!S:S,'caseload data'!$D:$D,"PSO",'caseload data'!$A:$A,"North West Region",'caseload data'!$B:$B,{"licence","community"}))</f>
        <v>0</v>
      </c>
      <c r="S108" s="94" cm="1">
        <f t="array" ref="S108">SUM(SUMIFS('caseload data'!T:T,'caseload data'!$D:$D,"PSO",'caseload data'!$A:$A,"North West Region",'caseload data'!$B:$B,{"licence","community"}))</f>
        <v>0</v>
      </c>
      <c r="T108" s="94" cm="1">
        <f t="array" ref="T108">SUM(SUMIFS('caseload data'!V:V,'caseload data'!D:D,"PSO",'caseload data'!A:A,"North West Region",'caseload data'!B:B,{"licence","community"}))</f>
        <v>0</v>
      </c>
      <c r="U108" s="64"/>
      <c r="V108" s="64"/>
      <c r="W108" s="474"/>
      <c r="X108" s="129" t="s">
        <v>1002</v>
      </c>
      <c r="Y108" s="167" t="e">
        <f t="shared" ref="Y108:Y111" si="61">SUM(D108)/SUM(D$107:D$111)</f>
        <v>#DIV/0!</v>
      </c>
      <c r="Z108" s="167" t="e">
        <f t="shared" si="60"/>
        <v>#DIV/0!</v>
      </c>
      <c r="AA108" s="167" t="e">
        <f t="shared" si="60"/>
        <v>#DIV/0!</v>
      </c>
      <c r="AB108" s="167" t="e">
        <f t="shared" si="60"/>
        <v>#DIV/0!</v>
      </c>
      <c r="AC108" s="167" t="e">
        <f t="shared" si="60"/>
        <v>#DIV/0!</v>
      </c>
      <c r="AD108" s="167" t="e">
        <f t="shared" si="60"/>
        <v>#DIV/0!</v>
      </c>
      <c r="AE108" s="167" t="e">
        <f t="shared" si="60"/>
        <v>#DIV/0!</v>
      </c>
      <c r="AF108" s="167" t="e">
        <f t="shared" si="60"/>
        <v>#DIV/0!</v>
      </c>
      <c r="AG108" s="167" t="e">
        <f t="shared" si="60"/>
        <v>#DIV/0!</v>
      </c>
      <c r="AH108" s="167" t="e">
        <f t="shared" si="60"/>
        <v>#DIV/0!</v>
      </c>
      <c r="AI108" s="167" t="e">
        <f t="shared" si="60"/>
        <v>#DIV/0!</v>
      </c>
      <c r="AJ108" s="167" t="e">
        <f t="shared" si="60"/>
        <v>#DIV/0!</v>
      </c>
      <c r="AK108" s="167" t="e">
        <f t="shared" si="60"/>
        <v>#DIV/0!</v>
      </c>
      <c r="AL108" s="167" t="e">
        <f t="shared" si="60"/>
        <v>#DIV/0!</v>
      </c>
      <c r="AM108" s="167" t="e">
        <f t="shared" si="60"/>
        <v>#DIV/0!</v>
      </c>
      <c r="AN108" s="167" t="e">
        <f t="shared" si="60"/>
        <v>#DIV/0!</v>
      </c>
      <c r="AO108" s="167" t="e">
        <f t="shared" si="60"/>
        <v>#DIV/0!</v>
      </c>
    </row>
    <row r="109" spans="2:41" x14ac:dyDescent="0.15">
      <c r="B109" s="474"/>
      <c r="C109" s="129" t="s">
        <v>1003</v>
      </c>
      <c r="D109" s="94" cm="1">
        <f t="array" ref="D109">SUM(SUMIFS('caseload data'!E:E,'caseload data'!$D:$D,"TPO",'caseload data'!$A:$A,"North West Region",'caseload data'!$B:$B,{"licence","community"}))</f>
        <v>0</v>
      </c>
      <c r="E109" s="94" cm="1">
        <f t="array" ref="E109">SUM(SUMIFS('caseload data'!F:F,'caseload data'!$D:$D,"TPO",'caseload data'!$A:$A,"North West Region",'caseload data'!$B:$B,{"licence","community"}))</f>
        <v>0</v>
      </c>
      <c r="F109" s="94" cm="1">
        <f t="array" ref="F109">SUM(SUMIFS('caseload data'!G:G,'caseload data'!$D:$D,"TPO",'caseload data'!$A:$A,"North West Region",'caseload data'!$B:$B,{"licence","community"}))</f>
        <v>0</v>
      </c>
      <c r="G109" s="94" cm="1">
        <f t="array" ref="G109">SUM(SUMIFS('caseload data'!H:H,'caseload data'!$D:$D,"TPO",'caseload data'!$A:$A,"North West Region",'caseload data'!$B:$B,{"licence","community"}))</f>
        <v>0</v>
      </c>
      <c r="H109" s="94" cm="1">
        <f t="array" ref="H109">SUM(SUMIFS('caseload data'!I:I,'caseload data'!$D:$D,"TPO",'caseload data'!$A:$A,"North West Region",'caseload data'!$B:$B,{"licence","community"}))</f>
        <v>0</v>
      </c>
      <c r="I109" s="94" cm="1">
        <f t="array" ref="I109">SUM(SUMIFS('caseload data'!J:J,'caseload data'!$D:$D,"TPO",'caseload data'!$A:$A,"North West Region",'caseload data'!$B:$B,{"licence","community"}))</f>
        <v>0</v>
      </c>
      <c r="J109" s="94" cm="1">
        <f t="array" ref="J109">SUM(SUMIFS('caseload data'!K:K,'caseload data'!$D:$D,"TPO",'caseload data'!$A:$A,"North West Region",'caseload data'!$B:$B,{"licence","community"}))</f>
        <v>0</v>
      </c>
      <c r="K109" s="94" cm="1">
        <f t="array" ref="K109">SUM(SUMIFS('caseload data'!L:L,'caseload data'!$D:$D,"TPO",'caseload data'!$A:$A,"North West Region",'caseload data'!$B:$B,{"licence","community"}))</f>
        <v>0</v>
      </c>
      <c r="L109" s="94" cm="1">
        <f t="array" ref="L109">SUM(SUMIFS('caseload data'!M:M,'caseload data'!$D:$D,"TPO",'caseload data'!$A:$A,"North West Region",'caseload data'!$B:$B,{"licence","community"}))</f>
        <v>0</v>
      </c>
      <c r="M109" s="94" cm="1">
        <f t="array" ref="M109">SUM(SUMIFS('caseload data'!N:N,'caseload data'!$D:$D,"TPO",'caseload data'!$A:$A,"North West Region",'caseload data'!$B:$B,{"licence","community"}))</f>
        <v>0</v>
      </c>
      <c r="N109" s="94" cm="1">
        <f t="array" ref="N109">SUM(SUMIFS('caseload data'!O:O,'caseload data'!$D:$D,"TPO",'caseload data'!$A:$A,"North West Region",'caseload data'!$B:$B,{"licence","community"}))</f>
        <v>0</v>
      </c>
      <c r="O109" s="94" cm="1">
        <f t="array" ref="O109">SUM(SUMIFS('caseload data'!P:P,'caseload data'!$D:$D,"TPO",'caseload data'!$A:$A,"North West Region",'caseload data'!$B:$B,{"licence","community"}))</f>
        <v>0</v>
      </c>
      <c r="P109" s="94" cm="1">
        <f t="array" ref="P109">SUM(SUMIFS('caseload data'!Q:Q,'caseload data'!$D:$D,"TPO",'caseload data'!$A:$A,"North West Region",'caseload data'!$B:$B,{"licence","community"}))</f>
        <v>0</v>
      </c>
      <c r="Q109" s="94" cm="1">
        <f t="array" ref="Q109">SUM(SUMIFS('caseload data'!R:R,'caseload data'!$D:$D,"TPO",'caseload data'!$A:$A,"North West Region",'caseload data'!$B:$B,{"licence","community"}))</f>
        <v>0</v>
      </c>
      <c r="R109" s="94" cm="1">
        <f t="array" ref="R109">SUM(SUMIFS('caseload data'!S:S,'caseload data'!$D:$D,"TPO",'caseload data'!$A:$A,"North West Region",'caseload data'!$B:$B,{"licence","community"}))</f>
        <v>0</v>
      </c>
      <c r="S109" s="94" cm="1">
        <f t="array" ref="S109">SUM(SUMIFS('caseload data'!T:T,'caseload data'!$D:$D,"TPO",'caseload data'!$A:$A,"North West Region",'caseload data'!$B:$B,{"licence","community"}))</f>
        <v>0</v>
      </c>
      <c r="T109" s="94" cm="1">
        <f t="array" ref="T109">SUM(SUMIFS('caseload data'!V:V,'caseload data'!D:D,"TPO",'caseload data'!A:A,"North West Region",'caseload data'!B:B,{"licence","community"}))</f>
        <v>0</v>
      </c>
      <c r="U109" s="64"/>
      <c r="V109" s="64"/>
      <c r="W109" s="474"/>
      <c r="X109" s="129" t="s">
        <v>1003</v>
      </c>
      <c r="Y109" s="167" t="e">
        <f t="shared" si="61"/>
        <v>#DIV/0!</v>
      </c>
      <c r="Z109" s="167" t="e">
        <f t="shared" si="60"/>
        <v>#DIV/0!</v>
      </c>
      <c r="AA109" s="167" t="e">
        <f t="shared" si="60"/>
        <v>#DIV/0!</v>
      </c>
      <c r="AB109" s="167" t="e">
        <f t="shared" si="60"/>
        <v>#DIV/0!</v>
      </c>
      <c r="AC109" s="167" t="e">
        <f t="shared" si="60"/>
        <v>#DIV/0!</v>
      </c>
      <c r="AD109" s="167" t="e">
        <f t="shared" si="60"/>
        <v>#DIV/0!</v>
      </c>
      <c r="AE109" s="167" t="e">
        <f t="shared" si="60"/>
        <v>#DIV/0!</v>
      </c>
      <c r="AF109" s="167" t="e">
        <f t="shared" si="60"/>
        <v>#DIV/0!</v>
      </c>
      <c r="AG109" s="167" t="e">
        <f t="shared" si="60"/>
        <v>#DIV/0!</v>
      </c>
      <c r="AH109" s="167" t="e">
        <f t="shared" si="60"/>
        <v>#DIV/0!</v>
      </c>
      <c r="AI109" s="167" t="e">
        <f t="shared" si="60"/>
        <v>#DIV/0!</v>
      </c>
      <c r="AJ109" s="167" t="e">
        <f t="shared" si="60"/>
        <v>#DIV/0!</v>
      </c>
      <c r="AK109" s="167" t="e">
        <f t="shared" si="60"/>
        <v>#DIV/0!</v>
      </c>
      <c r="AL109" s="167" t="e">
        <f t="shared" si="60"/>
        <v>#DIV/0!</v>
      </c>
      <c r="AM109" s="167" t="e">
        <f t="shared" si="60"/>
        <v>#DIV/0!</v>
      </c>
      <c r="AN109" s="167" t="e">
        <f t="shared" si="60"/>
        <v>#DIV/0!</v>
      </c>
      <c r="AO109" s="167" t="e">
        <f t="shared" si="60"/>
        <v>#DIV/0!</v>
      </c>
    </row>
    <row r="110" spans="2:41" x14ac:dyDescent="0.15">
      <c r="B110" s="474"/>
      <c r="C110" s="129" t="s">
        <v>1004</v>
      </c>
      <c r="D110" s="94">
        <f>SUMIFS('caseload data'!E:E,'caseload data'!$D:$D,"SPO",'caseload data'!$A:$A,"North West Region",'caseload data'!$B:$B,{"licence","community"})</f>
        <v>0</v>
      </c>
      <c r="E110" s="94">
        <f>SUMIFS('caseload data'!F:F,'caseload data'!$D:$D,"SPO",'caseload data'!$A:$A,"North West Region",'caseload data'!$B:$B,{"licence","community"})</f>
        <v>0</v>
      </c>
      <c r="F110" s="94">
        <f>SUMIFS('caseload data'!G:G,'caseload data'!$D:$D,"SPO",'caseload data'!$A:$A,"North West Region",'caseload data'!$B:$B,{"licence","community"})</f>
        <v>0</v>
      </c>
      <c r="G110" s="94">
        <f>SUMIFS('caseload data'!H:H,'caseload data'!$D:$D,"SPO",'caseload data'!$A:$A,"North West Region",'caseload data'!$B:$B,{"licence","community"})</f>
        <v>0</v>
      </c>
      <c r="H110" s="94" cm="1">
        <f t="array" ref="H110">SUM(SUMIFS('caseload data'!I:I,'caseload data'!$D:$D,"SPO",'caseload data'!$A:$A,"North West Region",'caseload data'!$B:$B,{"licence","community"}))</f>
        <v>0</v>
      </c>
      <c r="I110" s="94">
        <f>SUMIFS('caseload data'!J:J,'caseload data'!$D:$D,"SPO",'caseload data'!$A:$A,"North West Region",'caseload data'!$B:$B,{"licence","community"})</f>
        <v>0</v>
      </c>
      <c r="J110" s="94">
        <f>SUMIFS('caseload data'!K:K,'caseload data'!$D:$D,"SPO",'caseload data'!$A:$A,"North West Region",'caseload data'!$B:$B,{"licence","community"})</f>
        <v>0</v>
      </c>
      <c r="K110" s="94">
        <f>SUMIFS('caseload data'!L:L,'caseload data'!$D:$D,"SPO",'caseload data'!$A:$A,"North West Region",'caseload data'!$B:$B,{"licence","community"})</f>
        <v>0</v>
      </c>
      <c r="L110" s="94">
        <f>SUMIFS('caseload data'!M:M,'caseload data'!$D:$D,"SPO",'caseload data'!$A:$A,"North West Region",'caseload data'!$B:$B,{"licence","community"})</f>
        <v>0</v>
      </c>
      <c r="M110" s="94">
        <f>SUMIFS('caseload data'!N:N,'caseload data'!$D:$D,"SPO",'caseload data'!$A:$A,"North West Region",'caseload data'!$B:$B,{"licence","community"})</f>
        <v>0</v>
      </c>
      <c r="N110" s="94">
        <f>SUMIFS('caseload data'!O:O,'caseload data'!$D:$D,"SPO",'caseload data'!$A:$A,"North West Region",'caseload data'!$B:$B,{"licence","community"})</f>
        <v>0</v>
      </c>
      <c r="O110" s="94">
        <f>SUMIFS('caseload data'!P:P,'caseload data'!$D:$D,"SPO",'caseload data'!$A:$A,"North West Region",'caseload data'!$B:$B,{"licence","community"})</f>
        <v>0</v>
      </c>
      <c r="P110" s="94">
        <f>SUMIFS('caseload data'!Q:Q,'caseload data'!$D:$D,"SPO",'caseload data'!$A:$A,"North West Region",'caseload data'!$B:$B,{"licence","community"})</f>
        <v>0</v>
      </c>
      <c r="Q110" s="94">
        <f>SUMIFS('caseload data'!R:R,'caseload data'!$D:$D,"SPO",'caseload data'!$A:$A,"North West Region",'caseload data'!$B:$B,{"licence","community"})</f>
        <v>0</v>
      </c>
      <c r="R110" s="94">
        <f>SUMIFS('caseload data'!S:S,'caseload data'!$D:$D,"SPO",'caseload data'!$A:$A,"North West Region",'caseload data'!$B:$B,{"licence","community"})</f>
        <v>0</v>
      </c>
      <c r="S110" s="94">
        <f>SUMIFS('caseload data'!T:T,'caseload data'!$D:$D,"SPO",'caseload data'!$A:$A,"North West Region",'caseload data'!$B:$B,{"licence","community"})</f>
        <v>0</v>
      </c>
      <c r="T110" s="94" cm="1">
        <f t="array" ref="T110">SUM(SUMIFS('caseload data'!V:V,'caseload data'!$D:$D,"SPO",'caseload data'!$A:$A,"North West Region",'caseload data'!$B:$B,{"licence","community"}))</f>
        <v>0</v>
      </c>
      <c r="U110" s="64"/>
      <c r="V110" s="64"/>
      <c r="W110" s="474"/>
      <c r="X110" s="129" t="s">
        <v>1004</v>
      </c>
      <c r="Y110" s="167" t="e">
        <f t="shared" si="61"/>
        <v>#DIV/0!</v>
      </c>
      <c r="Z110" s="167" t="e">
        <f t="shared" si="60"/>
        <v>#DIV/0!</v>
      </c>
      <c r="AA110" s="167" t="e">
        <f t="shared" si="60"/>
        <v>#DIV/0!</v>
      </c>
      <c r="AB110" s="167" t="e">
        <f t="shared" si="60"/>
        <v>#DIV/0!</v>
      </c>
      <c r="AC110" s="167" t="e">
        <f t="shared" si="60"/>
        <v>#DIV/0!</v>
      </c>
      <c r="AD110" s="167" t="e">
        <f t="shared" si="60"/>
        <v>#DIV/0!</v>
      </c>
      <c r="AE110" s="167" t="e">
        <f t="shared" si="60"/>
        <v>#DIV/0!</v>
      </c>
      <c r="AF110" s="167" t="e">
        <f t="shared" si="60"/>
        <v>#DIV/0!</v>
      </c>
      <c r="AG110" s="167" t="e">
        <f t="shared" si="60"/>
        <v>#DIV/0!</v>
      </c>
      <c r="AH110" s="167" t="e">
        <f t="shared" si="60"/>
        <v>#DIV/0!</v>
      </c>
      <c r="AI110" s="167" t="e">
        <f t="shared" si="60"/>
        <v>#DIV/0!</v>
      </c>
      <c r="AJ110" s="167" t="e">
        <f t="shared" si="60"/>
        <v>#DIV/0!</v>
      </c>
      <c r="AK110" s="167" t="e">
        <f t="shared" si="60"/>
        <v>#DIV/0!</v>
      </c>
      <c r="AL110" s="167" t="e">
        <f t="shared" si="60"/>
        <v>#DIV/0!</v>
      </c>
      <c r="AM110" s="167" t="e">
        <f t="shared" si="60"/>
        <v>#DIV/0!</v>
      </c>
      <c r="AN110" s="167" t="e">
        <f t="shared" si="60"/>
        <v>#DIV/0!</v>
      </c>
      <c r="AO110" s="167" t="e">
        <f t="shared" si="60"/>
        <v>#DIV/0!</v>
      </c>
    </row>
    <row r="111" spans="2:41" x14ac:dyDescent="0.15">
      <c r="B111" s="475"/>
      <c r="C111" s="130" t="s">
        <v>1339</v>
      </c>
      <c r="D111" s="94" cm="1">
        <f t="array" ref="D111">SUM(SUMIFS('caseload data'!E:E,'caseload data'!$D:$D,"DMY",'caseload data'!$A:$A,"North West Region",'caseload data'!$B:$B,{"licence","community"}))</f>
        <v>0</v>
      </c>
      <c r="E111" s="94" cm="1">
        <f t="array" ref="E111">SUM(SUMIFS('caseload data'!F:F,'caseload data'!$D:$D,"DMY",'caseload data'!$A:$A,"North West Region",'caseload data'!$B:$B,{"licence","community"}))</f>
        <v>0</v>
      </c>
      <c r="F111" s="94" cm="1">
        <f t="array" ref="F111">SUM(SUMIFS('caseload data'!G:G,'caseload data'!$D:$D,"DMY",'caseload data'!$A:$A,"North West Region",'caseload data'!$B:$B,{"licence","community"}))</f>
        <v>0</v>
      </c>
      <c r="G111" s="94" cm="1">
        <f t="array" ref="G111">SUM(SUMIFS('caseload data'!H:H,'caseload data'!$D:$D,"DMY",'caseload data'!$A:$A,"North West Region",'caseload data'!$B:$B,{"licence","community"}))</f>
        <v>0</v>
      </c>
      <c r="H111" s="94" cm="1">
        <f t="array" ref="H111">SUM(SUMIFS('caseload data'!I:I,'caseload data'!$D:$D,"DMY",'caseload data'!$A:$A,"North West Region",'caseload data'!$B:$B,{"licence","community"}))</f>
        <v>0</v>
      </c>
      <c r="I111" s="94" cm="1">
        <f t="array" ref="I111">SUM(SUMIFS('caseload data'!J:J,'caseload data'!$D:$D,"DMY",'caseload data'!$A:$A,"North West Region",'caseload data'!$B:$B,{"licence","community"}))</f>
        <v>0</v>
      </c>
      <c r="J111" s="94" cm="1">
        <f t="array" ref="J111">SUM(SUMIFS('caseload data'!K:K,'caseload data'!$D:$D,"DMY",'caseload data'!$A:$A,"North West Region",'caseload data'!$B:$B,{"licence","community"}))</f>
        <v>0</v>
      </c>
      <c r="K111" s="94" cm="1">
        <f t="array" ref="K111">SUM(SUMIFS('caseload data'!L:L,'caseload data'!$D:$D,"DMY",'caseload data'!$A:$A,"North West Region",'caseload data'!$B:$B,{"licence","community"}))</f>
        <v>0</v>
      </c>
      <c r="L111" s="94" cm="1">
        <f t="array" ref="L111">SUM(SUMIFS('caseload data'!M:M,'caseload data'!$D:$D,"DMY",'caseload data'!$A:$A,"North West Region",'caseload data'!$B:$B,{"licence","community"}))</f>
        <v>0</v>
      </c>
      <c r="M111" s="94" cm="1">
        <f t="array" ref="M111">SUM(SUMIFS('caseload data'!N:N,'caseload data'!$D:$D,"DMY",'caseload data'!$A:$A,"North West Region",'caseload data'!$B:$B,{"licence","community"}))</f>
        <v>0</v>
      </c>
      <c r="N111" s="94" cm="1">
        <f t="array" ref="N111">SUM(SUMIFS('caseload data'!O:O,'caseload data'!$D:$D,"DMY",'caseload data'!$A:$A,"North West Region",'caseload data'!$B:$B,{"licence","community"}))</f>
        <v>0</v>
      </c>
      <c r="O111" s="94" cm="1">
        <f t="array" ref="O111">SUM(SUMIFS('caseload data'!P:P,'caseload data'!$D:$D,"DMY",'caseload data'!$A:$A,"North West Region",'caseload data'!$B:$B,{"licence","community"}))</f>
        <v>0</v>
      </c>
      <c r="P111" s="94" cm="1">
        <f t="array" ref="P111">SUM(SUMIFS('caseload data'!Q:Q,'caseload data'!$D:$D,"DMY",'caseload data'!$A:$A,"North West Region",'caseload data'!$B:$B,{"licence","community"}))</f>
        <v>0</v>
      </c>
      <c r="Q111" s="94" cm="1">
        <f t="array" ref="Q111">SUM(SUMIFS('caseload data'!R:R,'caseload data'!$D:$D,"DMY",'caseload data'!$A:$A,"North West Region",'caseload data'!$B:$B,{"licence","community"}))</f>
        <v>0</v>
      </c>
      <c r="R111" s="94" cm="1">
        <f t="array" ref="R111">SUM(SUMIFS('caseload data'!S:S,'caseload data'!$D:$D,"DMY",'caseload data'!$A:$A,"North West Region",'caseload data'!$B:$B,{"licence","community"}))</f>
        <v>0</v>
      </c>
      <c r="S111" s="94" cm="1">
        <f t="array" ref="S111">SUM(SUMIFS('caseload data'!T:T,'caseload data'!$D:$D,"DMY",'caseload data'!$A:$A,"North West Region",'caseload data'!$B:$B,{"licence","community"}))</f>
        <v>0</v>
      </c>
      <c r="T111" s="94" cm="1">
        <f t="array" ref="T111">SUM(SUMIFS('caseload data'!V:V,'caseload data'!$D:$D,"DMY",'caseload data'!$A:$A,"North West Region",'caseload data'!$B:$B,{"licence","community"}))</f>
        <v>0</v>
      </c>
      <c r="U111" s="64"/>
      <c r="V111" s="64"/>
      <c r="W111" s="475"/>
      <c r="X111" s="130" t="s">
        <v>1339</v>
      </c>
      <c r="Y111" s="167" t="e">
        <f t="shared" si="61"/>
        <v>#DIV/0!</v>
      </c>
      <c r="Z111" s="167" t="e">
        <f t="shared" si="60"/>
        <v>#DIV/0!</v>
      </c>
      <c r="AA111" s="167" t="e">
        <f t="shared" si="60"/>
        <v>#DIV/0!</v>
      </c>
      <c r="AB111" s="167" t="e">
        <f t="shared" si="60"/>
        <v>#DIV/0!</v>
      </c>
      <c r="AC111" s="167" t="e">
        <f t="shared" si="60"/>
        <v>#DIV/0!</v>
      </c>
      <c r="AD111" s="167" t="e">
        <f t="shared" si="60"/>
        <v>#DIV/0!</v>
      </c>
      <c r="AE111" s="167" t="e">
        <f t="shared" si="60"/>
        <v>#DIV/0!</v>
      </c>
      <c r="AF111" s="167" t="e">
        <f t="shared" si="60"/>
        <v>#DIV/0!</v>
      </c>
      <c r="AG111" s="167" t="e">
        <f t="shared" si="60"/>
        <v>#DIV/0!</v>
      </c>
      <c r="AH111" s="167" t="e">
        <f t="shared" si="60"/>
        <v>#DIV/0!</v>
      </c>
      <c r="AI111" s="167" t="e">
        <f t="shared" si="60"/>
        <v>#DIV/0!</v>
      </c>
      <c r="AJ111" s="167" t="e">
        <f t="shared" si="60"/>
        <v>#DIV/0!</v>
      </c>
      <c r="AK111" s="167" t="e">
        <f t="shared" si="60"/>
        <v>#DIV/0!</v>
      </c>
      <c r="AL111" s="167" t="e">
        <f t="shared" si="60"/>
        <v>#DIV/0!</v>
      </c>
      <c r="AM111" s="167" t="e">
        <f t="shared" si="60"/>
        <v>#DIV/0!</v>
      </c>
      <c r="AN111" s="167" t="e">
        <f t="shared" si="60"/>
        <v>#DIV/0!</v>
      </c>
      <c r="AO111" s="167" t="e">
        <f t="shared" si="60"/>
        <v>#DIV/0!</v>
      </c>
    </row>
    <row r="112" spans="2:41" x14ac:dyDescent="0.15">
      <c r="B112" s="473" t="s">
        <v>24</v>
      </c>
      <c r="C112" s="128" t="s">
        <v>997</v>
      </c>
      <c r="D112" s="94" cm="1">
        <f t="array" ref="D112">SUM(SUMIFS('caseload data'!E:E,'caseload data'!$D:$D,"PO",'caseload data'!$A:$A,$B$112,'caseload data'!$B:$B,{"licence","community"}))</f>
        <v>0</v>
      </c>
      <c r="E112" s="94" cm="1">
        <f t="array" ref="E112">SUM(SUMIFS('caseload data'!F:F,'caseload data'!$D:$D,"PO",'caseload data'!$A:$A,$B$112,'caseload data'!$B:$B,{"licence","community"}))</f>
        <v>0</v>
      </c>
      <c r="F112" s="94" cm="1">
        <f t="array" ref="F112">SUM(SUMIFS('caseload data'!G:G,'caseload data'!$D:$D,"PO",'caseload data'!$A:$A,$B$112,'caseload data'!$B:$B,{"licence","community"}))</f>
        <v>0</v>
      </c>
      <c r="G112" s="94" cm="1">
        <f t="array" ref="G112">SUM(SUMIFS('caseload data'!H:H,'caseload data'!$D:$D,"PO",'caseload data'!$A:$A,$B$112,'caseload data'!$B:$B,{"licence","community"}))</f>
        <v>0</v>
      </c>
      <c r="H112" s="94" cm="1">
        <f t="array" ref="H112">SUM(SUMIFS('caseload data'!I:I,'caseload data'!$D:$D,"PO",'caseload data'!$A:$A,$B$112,'caseload data'!$B:$B,{"licence","community"}))</f>
        <v>0</v>
      </c>
      <c r="I112" s="94" cm="1">
        <f t="array" ref="I112">SUM(SUMIFS('caseload data'!J:J,'caseload data'!$D:$D,"PO",'caseload data'!$A:$A,$B$112,'caseload data'!$B:$B,{"licence","community"}))</f>
        <v>0</v>
      </c>
      <c r="J112" s="94" cm="1">
        <f t="array" ref="J112">SUM(SUMIFS('caseload data'!K:K,'caseload data'!$D:$D,"PO",'caseload data'!$A:$A,$B$112,'caseload data'!$B:$B,{"licence","community"}))</f>
        <v>0</v>
      </c>
      <c r="K112" s="94" cm="1">
        <f t="array" ref="K112">SUM(SUMIFS('caseload data'!L:L,'caseload data'!$D:$D,"PO",'caseload data'!$A:$A,$B$112,'caseload data'!$B:$B,{"licence","community"}))</f>
        <v>0</v>
      </c>
      <c r="L112" s="94" cm="1">
        <f t="array" ref="L112">SUM(SUMIFS('caseload data'!M:M,'caseload data'!$D:$D,"PO",'caseload data'!$A:$A,$B$112,'caseload data'!$B:$B,{"licence","community"}))</f>
        <v>0</v>
      </c>
      <c r="M112" s="94" cm="1">
        <f t="array" ref="M112">SUM(SUMIFS('caseload data'!N:N,'caseload data'!$D:$D,"PO",'caseload data'!$A:$A,$B$112,'caseload data'!$B:$B,{"licence","community"}))</f>
        <v>0</v>
      </c>
      <c r="N112" s="94" cm="1">
        <f t="array" ref="N112">SUM(SUMIFS('caseload data'!O:O,'caseload data'!$D:$D,"PO",'caseload data'!$A:$A,$B$112,'caseload data'!$B:$B,{"licence","community"}))</f>
        <v>0</v>
      </c>
      <c r="O112" s="94" cm="1">
        <f t="array" ref="O112">SUM(SUMIFS('caseload data'!P:P,'caseload data'!$D:$D,"PO",'caseload data'!$A:$A,$B$112,'caseload data'!$B:$B,{"licence","community"}))</f>
        <v>0</v>
      </c>
      <c r="P112" s="94" cm="1">
        <f t="array" ref="P112">SUM(SUMIFS('caseload data'!Q:Q,'caseload data'!$D:$D,"PO",'caseload data'!$A:$A,$B$112,'caseload data'!$B:$B,{"licence","community"}))</f>
        <v>0</v>
      </c>
      <c r="Q112" s="94" cm="1">
        <f t="array" ref="Q112">SUM(SUMIFS('caseload data'!R:R,'caseload data'!$D:$D,"PO",'caseload data'!$A:$A,$B$112,'caseload data'!$B:$B,{"licence","community"}))</f>
        <v>0</v>
      </c>
      <c r="R112" s="94" cm="1">
        <f t="array" ref="R112">SUM(SUMIFS('caseload data'!S:S,'caseload data'!$D:$D,"PO",'caseload data'!$A:$A,$B$112,'caseload data'!$B:$B,{"licence","community"}))</f>
        <v>0</v>
      </c>
      <c r="S112" s="94" cm="1">
        <f t="array" ref="S112">SUM(SUMIFS('caseload data'!T:T,'caseload data'!$D:$D,"PO",'caseload data'!$A:$A,$B$112,'caseload data'!$B:$B,{"licence","community"}))</f>
        <v>0</v>
      </c>
      <c r="T112" s="94">
        <f>SUM(SUMIFS('caseload data'!V:V,'caseload data'!D:D,"PO",'caseload data'!A:A,B112,'caseload data'!B:B,{"licence","community"}))</f>
        <v>0</v>
      </c>
      <c r="U112" s="64"/>
      <c r="V112" s="64"/>
      <c r="W112" s="473" t="s">
        <v>24</v>
      </c>
      <c r="X112" s="128" t="s">
        <v>997</v>
      </c>
      <c r="Y112" s="167" t="e">
        <f>SUM(D112)/SUM(D$112:D$116)</f>
        <v>#DIV/0!</v>
      </c>
      <c r="Z112" s="167" t="e">
        <f t="shared" ref="Z112:AO116" si="62">SUM(E112)/SUM(E$112:E$116)</f>
        <v>#DIV/0!</v>
      </c>
      <c r="AA112" s="167" t="e">
        <f t="shared" si="62"/>
        <v>#DIV/0!</v>
      </c>
      <c r="AB112" s="167" t="e">
        <f t="shared" si="62"/>
        <v>#DIV/0!</v>
      </c>
      <c r="AC112" s="167" t="e">
        <f t="shared" si="62"/>
        <v>#DIV/0!</v>
      </c>
      <c r="AD112" s="167" t="e">
        <f t="shared" si="62"/>
        <v>#DIV/0!</v>
      </c>
      <c r="AE112" s="167" t="e">
        <f t="shared" si="62"/>
        <v>#DIV/0!</v>
      </c>
      <c r="AF112" s="167" t="e">
        <f t="shared" si="62"/>
        <v>#DIV/0!</v>
      </c>
      <c r="AG112" s="167" t="e">
        <f t="shared" si="62"/>
        <v>#DIV/0!</v>
      </c>
      <c r="AH112" s="167" t="e">
        <f t="shared" si="62"/>
        <v>#DIV/0!</v>
      </c>
      <c r="AI112" s="167" t="e">
        <f t="shared" si="62"/>
        <v>#DIV/0!</v>
      </c>
      <c r="AJ112" s="167" t="e">
        <f t="shared" si="62"/>
        <v>#DIV/0!</v>
      </c>
      <c r="AK112" s="167" t="e">
        <f t="shared" si="62"/>
        <v>#DIV/0!</v>
      </c>
      <c r="AL112" s="167" t="e">
        <f t="shared" si="62"/>
        <v>#DIV/0!</v>
      </c>
      <c r="AM112" s="167" t="e">
        <f t="shared" si="62"/>
        <v>#DIV/0!</v>
      </c>
      <c r="AN112" s="167" t="e">
        <f t="shared" si="62"/>
        <v>#DIV/0!</v>
      </c>
      <c r="AO112" s="167" t="e">
        <f t="shared" si="62"/>
        <v>#DIV/0!</v>
      </c>
    </row>
    <row r="113" spans="2:41" x14ac:dyDescent="0.15">
      <c r="B113" s="474"/>
      <c r="C113" s="129" t="s">
        <v>1002</v>
      </c>
      <c r="D113" s="94" cm="1">
        <f t="array" ref="D113">SUM(SUMIFS('caseload data'!E:E,'caseload data'!$D:$D,"PSO",'caseload data'!$A:$A,"South Central",'caseload data'!$B:$B,{"licence","community"}))</f>
        <v>0</v>
      </c>
      <c r="E113" s="94" cm="1">
        <f t="array" ref="E113">SUM(SUMIFS('caseload data'!F:F,'caseload data'!$D:$D,"PSO",'caseload data'!$A:$A,"South Central",'caseload data'!$B:$B,{"licence","community"}))</f>
        <v>0</v>
      </c>
      <c r="F113" s="94" cm="1">
        <f t="array" ref="F113">SUM(SUMIFS('caseload data'!G:G,'caseload data'!$D:$D,"PSO",'caseload data'!$A:$A,"South Central",'caseload data'!$B:$B,{"licence","community"}))</f>
        <v>0</v>
      </c>
      <c r="G113" s="94" cm="1">
        <f t="array" ref="G113">SUM(SUMIFS('caseload data'!H:H,'caseload data'!$D:$D,"PSO",'caseload data'!$A:$A,"South Central",'caseload data'!$B:$B,{"licence","community"}))</f>
        <v>0</v>
      </c>
      <c r="H113" s="94" cm="1">
        <f t="array" ref="H113">SUM(SUMIFS('caseload data'!I:I,'caseload data'!$D:$D,"PSO",'caseload data'!$A:$A,"South Central",'caseload data'!$B:$B,{"licence","community"}))</f>
        <v>0</v>
      </c>
      <c r="I113" s="94" cm="1">
        <f t="array" ref="I113">SUM(SUMIFS('caseload data'!J:J,'caseload data'!$D:$D,"PSO",'caseload data'!$A:$A,"South Central",'caseload data'!$B:$B,{"licence","community"}))</f>
        <v>0</v>
      </c>
      <c r="J113" s="94" cm="1">
        <f t="array" ref="J113">SUM(SUMIFS('caseload data'!K:K,'caseload data'!$D:$D,"PSO",'caseload data'!$A:$A,"South Central",'caseload data'!$B:$B,{"licence","community"}))</f>
        <v>0</v>
      </c>
      <c r="K113" s="94" cm="1">
        <f t="array" ref="K113">SUM(SUMIFS('caseload data'!L:L,'caseload data'!$D:$D,"PSO",'caseload data'!$A:$A,"South Central",'caseload data'!$B:$B,{"licence","community"}))</f>
        <v>0</v>
      </c>
      <c r="L113" s="94" cm="1">
        <f t="array" ref="L113">SUM(SUMIFS('caseload data'!M:M,'caseload data'!$D:$D,"PSO",'caseload data'!$A:$A,"South Central",'caseload data'!$B:$B,{"licence","community"}))</f>
        <v>0</v>
      </c>
      <c r="M113" s="94" cm="1">
        <f t="array" ref="M113">SUM(SUMIFS('caseload data'!N:N,'caseload data'!$D:$D,"PSO",'caseload data'!$A:$A,"South Central",'caseload data'!$B:$B,{"licence","community"}))</f>
        <v>0</v>
      </c>
      <c r="N113" s="94" cm="1">
        <f t="array" ref="N113">SUM(SUMIFS('caseload data'!O:O,'caseload data'!$D:$D,"PSO",'caseload data'!$A:$A,"South Central",'caseload data'!$B:$B,{"licence","community"}))</f>
        <v>0</v>
      </c>
      <c r="O113" s="94" cm="1">
        <f t="array" ref="O113">SUM(SUMIFS('caseload data'!P:P,'caseload data'!$D:$D,"PSO",'caseload data'!$A:$A,"South Central",'caseload data'!$B:$B,{"licence","community"}))</f>
        <v>0</v>
      </c>
      <c r="P113" s="94" cm="1">
        <f t="array" ref="P113">SUM(SUMIFS('caseload data'!Q:Q,'caseload data'!$D:$D,"PSO",'caseload data'!$A:$A,"South Central",'caseload data'!$B:$B,{"licence","community"}))</f>
        <v>0</v>
      </c>
      <c r="Q113" s="94" cm="1">
        <f t="array" ref="Q113">SUM(SUMIFS('caseload data'!R:R,'caseload data'!$D:$D,"PSO",'caseload data'!$A:$A,"South Central",'caseload data'!$B:$B,{"licence","community"}))</f>
        <v>0</v>
      </c>
      <c r="R113" s="94" cm="1">
        <f t="array" ref="R113">SUM(SUMIFS('caseload data'!S:S,'caseload data'!$D:$D,"PSO",'caseload data'!$A:$A,"South Central",'caseload data'!$B:$B,{"licence","community"}))</f>
        <v>0</v>
      </c>
      <c r="S113" s="94" cm="1">
        <f t="array" ref="S113">SUM(SUMIFS('caseload data'!T:T,'caseload data'!$D:$D,"PSO",'caseload data'!$A:$A,"South Central",'caseload data'!$B:$B,{"licence","community"}))</f>
        <v>0</v>
      </c>
      <c r="T113" s="94" cm="1">
        <f t="array" ref="T113">SUM(SUMIFS('caseload data'!V:V,'caseload data'!D:D,"PSO",'caseload data'!A:A,"South Central",'caseload data'!B:B,{"licence","community"}))</f>
        <v>0</v>
      </c>
      <c r="U113" s="64"/>
      <c r="V113" s="64"/>
      <c r="W113" s="474"/>
      <c r="X113" s="129" t="s">
        <v>1002</v>
      </c>
      <c r="Y113" s="167" t="e">
        <f t="shared" ref="Y113:Y115" si="63">SUM(D113)/SUM(D$112:D$116)</f>
        <v>#DIV/0!</v>
      </c>
      <c r="Z113" s="167" t="e">
        <f t="shared" si="62"/>
        <v>#DIV/0!</v>
      </c>
      <c r="AA113" s="167" t="e">
        <f t="shared" si="62"/>
        <v>#DIV/0!</v>
      </c>
      <c r="AB113" s="167" t="e">
        <f t="shared" si="62"/>
        <v>#DIV/0!</v>
      </c>
      <c r="AC113" s="167" t="e">
        <f t="shared" si="62"/>
        <v>#DIV/0!</v>
      </c>
      <c r="AD113" s="167" t="e">
        <f t="shared" si="62"/>
        <v>#DIV/0!</v>
      </c>
      <c r="AE113" s="167" t="e">
        <f t="shared" si="62"/>
        <v>#DIV/0!</v>
      </c>
      <c r="AF113" s="167" t="e">
        <f t="shared" si="62"/>
        <v>#DIV/0!</v>
      </c>
      <c r="AG113" s="167" t="e">
        <f t="shared" si="62"/>
        <v>#DIV/0!</v>
      </c>
      <c r="AH113" s="167" t="e">
        <f t="shared" si="62"/>
        <v>#DIV/0!</v>
      </c>
      <c r="AI113" s="167" t="e">
        <f t="shared" si="62"/>
        <v>#DIV/0!</v>
      </c>
      <c r="AJ113" s="167" t="e">
        <f t="shared" si="62"/>
        <v>#DIV/0!</v>
      </c>
      <c r="AK113" s="167" t="e">
        <f t="shared" si="62"/>
        <v>#DIV/0!</v>
      </c>
      <c r="AL113" s="167" t="e">
        <f t="shared" si="62"/>
        <v>#DIV/0!</v>
      </c>
      <c r="AM113" s="167" t="e">
        <f t="shared" si="62"/>
        <v>#DIV/0!</v>
      </c>
      <c r="AN113" s="167" t="e">
        <f t="shared" si="62"/>
        <v>#DIV/0!</v>
      </c>
      <c r="AO113" s="167" t="e">
        <f t="shared" si="62"/>
        <v>#DIV/0!</v>
      </c>
    </row>
    <row r="114" spans="2:41" x14ac:dyDescent="0.15">
      <c r="B114" s="474"/>
      <c r="C114" s="129" t="s">
        <v>1003</v>
      </c>
      <c r="D114" s="94" cm="1">
        <f t="array" ref="D114">SUM(SUMIFS('caseload data'!E:E,'caseload data'!$D:$D,"TPO",'caseload data'!$A:$A,"South Central",'caseload data'!$B:$B,{"licence","community"}))</f>
        <v>0</v>
      </c>
      <c r="E114" s="94" cm="1">
        <f t="array" ref="E114">SUM(SUMIFS('caseload data'!F:F,'caseload data'!$D:$D,"TPO",'caseload data'!$A:$A,"South Central",'caseload data'!$B:$B,{"licence","community"}))</f>
        <v>0</v>
      </c>
      <c r="F114" s="94" cm="1">
        <f t="array" ref="F114">SUM(SUMIFS('caseload data'!G:G,'caseload data'!$D:$D,"TPO",'caseload data'!$A:$A,"South Central",'caseload data'!$B:$B,{"licence","community"}))</f>
        <v>0</v>
      </c>
      <c r="G114" s="94" cm="1">
        <f t="array" ref="G114">SUM(SUMIFS('caseload data'!H:H,'caseload data'!$D:$D,"TPO",'caseload data'!$A:$A,"South Central",'caseload data'!$B:$B,{"licence","community"}))</f>
        <v>0</v>
      </c>
      <c r="H114" s="94" cm="1">
        <f t="array" ref="H114">SUM(SUMIFS('caseload data'!I:I,'caseload data'!$D:$D,"TPO",'caseload data'!$A:$A,"South Central",'caseload data'!$B:$B,{"licence","community"}))</f>
        <v>0</v>
      </c>
      <c r="I114" s="94" cm="1">
        <f t="array" ref="I114">SUM(SUMIFS('caseload data'!J:J,'caseload data'!$D:$D,"TPO",'caseload data'!$A:$A,"South Central",'caseload data'!$B:$B,{"licence","community"}))</f>
        <v>0</v>
      </c>
      <c r="J114" s="94" cm="1">
        <f t="array" ref="J114">SUM(SUMIFS('caseload data'!K:K,'caseload data'!$D:$D,"TPO",'caseload data'!$A:$A,"South Central",'caseload data'!$B:$B,{"licence","community"}))</f>
        <v>0</v>
      </c>
      <c r="K114" s="94" cm="1">
        <f t="array" ref="K114">SUM(SUMIFS('caseload data'!L:L,'caseload data'!$D:$D,"TPO",'caseload data'!$A:$A,"South Central",'caseload data'!$B:$B,{"licence","community"}))</f>
        <v>0</v>
      </c>
      <c r="L114" s="94" cm="1">
        <f t="array" ref="L114">SUM(SUMIFS('caseload data'!M:M,'caseload data'!$D:$D,"TPO",'caseload data'!$A:$A,"South Central",'caseload data'!$B:$B,{"licence","community"}))</f>
        <v>0</v>
      </c>
      <c r="M114" s="94" cm="1">
        <f t="array" ref="M114">SUM(SUMIFS('caseload data'!N:N,'caseload data'!$D:$D,"TPO",'caseload data'!$A:$A,"South Central",'caseload data'!$B:$B,{"licence","community"}))</f>
        <v>0</v>
      </c>
      <c r="N114" s="94" cm="1">
        <f t="array" ref="N114">SUM(SUMIFS('caseload data'!O:O,'caseload data'!$D:$D,"TPO",'caseload data'!$A:$A,"South Central",'caseload data'!$B:$B,{"licence","community"}))</f>
        <v>0</v>
      </c>
      <c r="O114" s="94" cm="1">
        <f t="array" ref="O114">SUM(SUMIFS('caseload data'!P:P,'caseload data'!$D:$D,"TPO",'caseload data'!$A:$A,"South Central",'caseload data'!$B:$B,{"licence","community"}))</f>
        <v>0</v>
      </c>
      <c r="P114" s="94" cm="1">
        <f t="array" ref="P114">SUM(SUMIFS('caseload data'!Q:Q,'caseload data'!$D:$D,"TPO",'caseload data'!$A:$A,"South Central",'caseload data'!$B:$B,{"licence","community"}))</f>
        <v>0</v>
      </c>
      <c r="Q114" s="94" cm="1">
        <f t="array" ref="Q114">SUM(SUMIFS('caseload data'!R:R,'caseload data'!$D:$D,"TPO",'caseload data'!$A:$A,"South Central",'caseload data'!$B:$B,{"licence","community"}))</f>
        <v>0</v>
      </c>
      <c r="R114" s="94" cm="1">
        <f t="array" ref="R114">SUM(SUMIFS('caseload data'!S:S,'caseload data'!$D:$D,"TPO",'caseload data'!$A:$A,"South Central",'caseload data'!$B:$B,{"licence","community"}))</f>
        <v>0</v>
      </c>
      <c r="S114" s="94" cm="1">
        <f t="array" ref="S114">SUM(SUMIFS('caseload data'!T:T,'caseload data'!$D:$D,"TPO",'caseload data'!$A:$A,"South Central",'caseload data'!$B:$B,{"licence","community"}))</f>
        <v>0</v>
      </c>
      <c r="T114" s="94" cm="1">
        <f t="array" ref="T114">SUM(SUMIFS('caseload data'!V:V,'caseload data'!D:D,"TPO",'caseload data'!A:A,"South Central",'caseload data'!B:B,{"licence","community"}))</f>
        <v>0</v>
      </c>
      <c r="U114" s="64"/>
      <c r="V114" s="64"/>
      <c r="W114" s="474"/>
      <c r="X114" s="129" t="s">
        <v>1003</v>
      </c>
      <c r="Y114" s="167" t="e">
        <f t="shared" si="63"/>
        <v>#DIV/0!</v>
      </c>
      <c r="Z114" s="167" t="e">
        <f t="shared" si="62"/>
        <v>#DIV/0!</v>
      </c>
      <c r="AA114" s="167" t="e">
        <f t="shared" si="62"/>
        <v>#DIV/0!</v>
      </c>
      <c r="AB114" s="167" t="e">
        <f t="shared" si="62"/>
        <v>#DIV/0!</v>
      </c>
      <c r="AC114" s="167" t="e">
        <f t="shared" si="62"/>
        <v>#DIV/0!</v>
      </c>
      <c r="AD114" s="167" t="e">
        <f t="shared" si="62"/>
        <v>#DIV/0!</v>
      </c>
      <c r="AE114" s="167" t="e">
        <f t="shared" si="62"/>
        <v>#DIV/0!</v>
      </c>
      <c r="AF114" s="167" t="e">
        <f t="shared" si="62"/>
        <v>#DIV/0!</v>
      </c>
      <c r="AG114" s="167" t="e">
        <f t="shared" si="62"/>
        <v>#DIV/0!</v>
      </c>
      <c r="AH114" s="167" t="e">
        <f t="shared" si="62"/>
        <v>#DIV/0!</v>
      </c>
      <c r="AI114" s="167" t="e">
        <f t="shared" si="62"/>
        <v>#DIV/0!</v>
      </c>
      <c r="AJ114" s="167" t="e">
        <f t="shared" si="62"/>
        <v>#DIV/0!</v>
      </c>
      <c r="AK114" s="167" t="e">
        <f t="shared" si="62"/>
        <v>#DIV/0!</v>
      </c>
      <c r="AL114" s="167" t="e">
        <f t="shared" si="62"/>
        <v>#DIV/0!</v>
      </c>
      <c r="AM114" s="167" t="e">
        <f t="shared" si="62"/>
        <v>#DIV/0!</v>
      </c>
      <c r="AN114" s="167" t="e">
        <f t="shared" si="62"/>
        <v>#DIV/0!</v>
      </c>
      <c r="AO114" s="167" t="e">
        <f t="shared" si="62"/>
        <v>#DIV/0!</v>
      </c>
    </row>
    <row r="115" spans="2:41" x14ac:dyDescent="0.15">
      <c r="B115" s="474"/>
      <c r="C115" s="129" t="s">
        <v>1004</v>
      </c>
      <c r="D115" s="94" cm="1">
        <f t="array" ref="D115">SUM(SUMIFS('caseload data'!E:E,'caseload data'!$D:$D,"SPO",'caseload data'!$A:$A,"South Central",'caseload data'!$B:$B,{"licence","community"}))</f>
        <v>0</v>
      </c>
      <c r="E115" s="94" cm="1">
        <f t="array" ref="E115">SUM(SUMIFS('caseload data'!F:F,'caseload data'!$D:$D,"SPO",'caseload data'!$A:$A,"South Central",'caseload data'!$B:$B,{"licence","community"}))</f>
        <v>0</v>
      </c>
      <c r="F115" s="94" cm="1">
        <f t="array" ref="F115">SUM(SUMIFS('caseload data'!G:G,'caseload data'!$D:$D,"SPO",'caseload data'!$A:$A,"South Central",'caseload data'!$B:$B,{"licence","community"}))</f>
        <v>0</v>
      </c>
      <c r="G115" s="94" cm="1">
        <f t="array" ref="G115">SUM(SUMIFS('caseload data'!H:H,'caseload data'!$D:$D,"SPO",'caseload data'!$A:$A,"South Central",'caseload data'!$B:$B,{"licence","community"}))</f>
        <v>0</v>
      </c>
      <c r="H115" s="94" cm="1">
        <f t="array" ref="H115">SUM(SUMIFS('caseload data'!I:I,'caseload data'!$D:$D,"SPO",'caseload data'!$A:$A,"South Central",'caseload data'!$B:$B,{"licence","community"}))</f>
        <v>0</v>
      </c>
      <c r="I115" s="94" cm="1">
        <f t="array" ref="I115">SUM(SUMIFS('caseload data'!J:J,'caseload data'!$D:$D,"SPO",'caseload data'!$A:$A,"South Central",'caseload data'!$B:$B,{"licence","community"}))</f>
        <v>0</v>
      </c>
      <c r="J115" s="94" cm="1">
        <f t="array" ref="J115">SUM(SUMIFS('caseload data'!K:K,'caseload data'!$D:$D,"SPO",'caseload data'!$A:$A,"South Central",'caseload data'!$B:$B,{"licence","community"}))</f>
        <v>0</v>
      </c>
      <c r="K115" s="94" cm="1">
        <f t="array" ref="K115">SUM(SUMIFS('caseload data'!L:L,'caseload data'!$D:$D,"SPO",'caseload data'!$A:$A,"South Central",'caseload data'!$B:$B,{"licence","community"}))</f>
        <v>0</v>
      </c>
      <c r="L115" s="94" cm="1">
        <f t="array" ref="L115">SUM(SUMIFS('caseload data'!M:M,'caseload data'!$D:$D,"SPO",'caseload data'!$A:$A,"South Central",'caseload data'!$B:$B,{"licence","community"}))</f>
        <v>0</v>
      </c>
      <c r="M115" s="94" cm="1">
        <f t="array" ref="M115">SUM(SUMIFS('caseload data'!N:N,'caseload data'!$D:$D,"SPO",'caseload data'!$A:$A,"South Central",'caseload data'!$B:$B,{"licence","community"}))</f>
        <v>0</v>
      </c>
      <c r="N115" s="94" cm="1">
        <f t="array" ref="N115">SUM(SUMIFS('caseload data'!O:O,'caseload data'!$D:$D,"SPO",'caseload data'!$A:$A,"South Central",'caseload data'!$B:$B,{"licence","community"}))</f>
        <v>0</v>
      </c>
      <c r="O115" s="94" cm="1">
        <f t="array" ref="O115">SUM(SUMIFS('caseload data'!P:P,'caseload data'!$D:$D,"SPO",'caseload data'!$A:$A,"South Central",'caseload data'!$B:$B,{"licence","community"}))</f>
        <v>0</v>
      </c>
      <c r="P115" s="94" cm="1">
        <f t="array" ref="P115">SUM(SUMIFS('caseload data'!Q:Q,'caseload data'!$D:$D,"SPO",'caseload data'!$A:$A,"South Central",'caseload data'!$B:$B,{"licence","community"}))</f>
        <v>0</v>
      </c>
      <c r="Q115" s="94" cm="1">
        <f t="array" ref="Q115">SUM(SUMIFS('caseload data'!R:R,'caseload data'!$D:$D,"SPO",'caseload data'!$A:$A,"South Central",'caseload data'!$B:$B,{"licence","community"}))</f>
        <v>0</v>
      </c>
      <c r="R115" s="94" cm="1">
        <f t="array" ref="R115">SUM(SUMIFS('caseload data'!S:S,'caseload data'!$D:$D,"SPO",'caseload data'!$A:$A,"South Central",'caseload data'!$B:$B,{"licence","community"}))</f>
        <v>0</v>
      </c>
      <c r="S115" s="94" cm="1">
        <f t="array" ref="S115">SUM(SUMIFS('caseload data'!T:T,'caseload data'!$D:$D,"SPO",'caseload data'!$A:$A,"South Central",'caseload data'!$B:$B,{"licence","community"}))</f>
        <v>0</v>
      </c>
      <c r="T115" s="94" cm="1">
        <f t="array" ref="T115">SUM(SUMIFS('caseload data'!V:V,'caseload data'!$D:$D,"SPO",'caseload data'!$A:$A,"South Central",'caseload data'!$B:$B,{"licence","community"}))</f>
        <v>0</v>
      </c>
      <c r="U115" s="64"/>
      <c r="V115" s="64"/>
      <c r="W115" s="474"/>
      <c r="X115" s="129" t="s">
        <v>1004</v>
      </c>
      <c r="Y115" s="167" t="e">
        <f t="shared" si="63"/>
        <v>#DIV/0!</v>
      </c>
      <c r="Z115" s="167" t="e">
        <f t="shared" si="62"/>
        <v>#DIV/0!</v>
      </c>
      <c r="AA115" s="167" t="e">
        <f t="shared" si="62"/>
        <v>#DIV/0!</v>
      </c>
      <c r="AB115" s="167" t="e">
        <f t="shared" si="62"/>
        <v>#DIV/0!</v>
      </c>
      <c r="AC115" s="167" t="e">
        <f t="shared" si="62"/>
        <v>#DIV/0!</v>
      </c>
      <c r="AD115" s="167" t="e">
        <f t="shared" si="62"/>
        <v>#DIV/0!</v>
      </c>
      <c r="AE115" s="167" t="e">
        <f t="shared" si="62"/>
        <v>#DIV/0!</v>
      </c>
      <c r="AF115" s="167" t="e">
        <f t="shared" si="62"/>
        <v>#DIV/0!</v>
      </c>
      <c r="AG115" s="167" t="e">
        <f t="shared" si="62"/>
        <v>#DIV/0!</v>
      </c>
      <c r="AH115" s="167" t="e">
        <f t="shared" si="62"/>
        <v>#DIV/0!</v>
      </c>
      <c r="AI115" s="167" t="e">
        <f t="shared" si="62"/>
        <v>#DIV/0!</v>
      </c>
      <c r="AJ115" s="167" t="e">
        <f t="shared" si="62"/>
        <v>#DIV/0!</v>
      </c>
      <c r="AK115" s="167" t="e">
        <f t="shared" si="62"/>
        <v>#DIV/0!</v>
      </c>
      <c r="AL115" s="167" t="e">
        <f t="shared" si="62"/>
        <v>#DIV/0!</v>
      </c>
      <c r="AM115" s="167" t="e">
        <f t="shared" si="62"/>
        <v>#DIV/0!</v>
      </c>
      <c r="AN115" s="167" t="e">
        <f t="shared" si="62"/>
        <v>#DIV/0!</v>
      </c>
      <c r="AO115" s="167" t="e">
        <f t="shared" si="62"/>
        <v>#DIV/0!</v>
      </c>
    </row>
    <row r="116" spans="2:41" x14ac:dyDescent="0.15">
      <c r="B116" s="475"/>
      <c r="C116" s="130" t="s">
        <v>1339</v>
      </c>
      <c r="D116" s="94" cm="1">
        <f t="array" ref="D116">SUM(SUMIFS('caseload data'!E:E,'caseload data'!$D:$D,"DMY",'caseload data'!$A:$A,"South Central",'caseload data'!$B:$B,{"licence","community"}))</f>
        <v>0</v>
      </c>
      <c r="E116" s="94" cm="1">
        <f t="array" ref="E116">SUM(SUMIFS('caseload data'!F:F,'caseload data'!$D:$D,"DMY",'caseload data'!$A:$A,"South Central",'caseload data'!$B:$B,{"licence","community"}))</f>
        <v>0</v>
      </c>
      <c r="F116" s="94" cm="1">
        <f t="array" ref="F116">SUM(SUMIFS('caseload data'!G:G,'caseload data'!$D:$D,"DMY",'caseload data'!$A:$A,"South Central",'caseload data'!$B:$B,{"licence","community"}))</f>
        <v>0</v>
      </c>
      <c r="G116" s="94" cm="1">
        <f t="array" ref="G116">SUM(SUMIFS('caseload data'!H:H,'caseload data'!$D:$D,"DMY",'caseload data'!$A:$A,"South Central",'caseload data'!$B:$B,{"licence","community"}))</f>
        <v>0</v>
      </c>
      <c r="H116" s="94" cm="1">
        <f t="array" ref="H116">SUM(SUMIFS('caseload data'!I:I,'caseload data'!$D:$D,"DMY",'caseload data'!$A:$A,"South Central",'caseload data'!$B:$B,{"licence","community"}))</f>
        <v>0</v>
      </c>
      <c r="I116" s="94" cm="1">
        <f t="array" ref="I116">SUM(SUMIFS('caseload data'!J:J,'caseload data'!$D:$D,"DMY",'caseload data'!$A:$A,"South Central",'caseload data'!$B:$B,{"licence","community"}))</f>
        <v>0</v>
      </c>
      <c r="J116" s="94" cm="1">
        <f t="array" ref="J116">SUM(SUMIFS('caseload data'!K:K,'caseload data'!$D:$D,"DMY",'caseload data'!$A:$A,"South Central",'caseload data'!$B:$B,{"licence","community"}))</f>
        <v>0</v>
      </c>
      <c r="K116" s="94" cm="1">
        <f t="array" ref="K116">SUM(SUMIFS('caseload data'!L:L,'caseload data'!$D:$D,"DMY",'caseload data'!$A:$A,"South Central",'caseload data'!$B:$B,{"licence","community"}))</f>
        <v>0</v>
      </c>
      <c r="L116" s="94" cm="1">
        <f t="array" ref="L116">SUM(SUMIFS('caseload data'!M:M,'caseload data'!$D:$D,"DMY",'caseload data'!$A:$A,"South Central",'caseload data'!$B:$B,{"licence","community"}))</f>
        <v>0</v>
      </c>
      <c r="M116" s="94" cm="1">
        <f t="array" ref="M116">SUM(SUMIFS('caseload data'!N:N,'caseload data'!$D:$D,"DMY",'caseload data'!$A:$A,"South Central",'caseload data'!$B:$B,{"licence","community"}))</f>
        <v>0</v>
      </c>
      <c r="N116" s="94" cm="1">
        <f t="array" ref="N116">SUM(SUMIFS('caseload data'!O:O,'caseload data'!$D:$D,"DMY",'caseload data'!$A:$A,"South Central",'caseload data'!$B:$B,{"licence","community"}))</f>
        <v>0</v>
      </c>
      <c r="O116" s="94" cm="1">
        <f t="array" ref="O116">SUM(SUMIFS('caseload data'!P:P,'caseload data'!$D:$D,"DMY",'caseload data'!$A:$A,"South Central",'caseload data'!$B:$B,{"licence","community"}))</f>
        <v>0</v>
      </c>
      <c r="P116" s="94" cm="1">
        <f t="array" ref="P116">SUM(SUMIFS('caseload data'!Q:Q,'caseload data'!$D:$D,"DMY",'caseload data'!$A:$A,"South Central",'caseload data'!$B:$B,{"licence","community"}))</f>
        <v>0</v>
      </c>
      <c r="Q116" s="94" cm="1">
        <f t="array" ref="Q116">SUM(SUMIFS('caseload data'!R:R,'caseload data'!$D:$D,"DMY",'caseload data'!$A:$A,"South Central",'caseload data'!$B:$B,{"licence","community"}))</f>
        <v>0</v>
      </c>
      <c r="R116" s="94" cm="1">
        <f t="array" ref="R116">SUM(SUMIFS('caseload data'!S:S,'caseload data'!$D:$D,"DMY",'caseload data'!$A:$A,"South Central",'caseload data'!$B:$B,{"licence","community"}))</f>
        <v>0</v>
      </c>
      <c r="S116" s="94" cm="1">
        <f t="array" ref="S116">SUM(SUMIFS('caseload data'!T:T,'caseload data'!$D:$D,"DMY",'caseload data'!$A:$A,"South Central",'caseload data'!$B:$B,{"licence","community"}))</f>
        <v>0</v>
      </c>
      <c r="T116" s="94" cm="1">
        <f t="array" ref="T116">SUM(SUMIFS('caseload data'!V:V,'caseload data'!$D:$D,"DMY",'caseload data'!$A:$A,"South Central",'caseload data'!$B:$B,{"licence","community"}))</f>
        <v>0</v>
      </c>
      <c r="U116" s="64"/>
      <c r="V116" s="64"/>
      <c r="W116" s="475"/>
      <c r="X116" s="130" t="s">
        <v>1339</v>
      </c>
      <c r="Y116" s="167" t="e">
        <f>SUM(D116)/SUM(D$112:D$116)</f>
        <v>#DIV/0!</v>
      </c>
      <c r="Z116" s="167" t="e">
        <f t="shared" si="62"/>
        <v>#DIV/0!</v>
      </c>
      <c r="AA116" s="167" t="e">
        <f t="shared" si="62"/>
        <v>#DIV/0!</v>
      </c>
      <c r="AB116" s="167" t="e">
        <f t="shared" si="62"/>
        <v>#DIV/0!</v>
      </c>
      <c r="AC116" s="167" t="e">
        <f t="shared" si="62"/>
        <v>#DIV/0!</v>
      </c>
      <c r="AD116" s="167" t="e">
        <f t="shared" si="62"/>
        <v>#DIV/0!</v>
      </c>
      <c r="AE116" s="167" t="e">
        <f t="shared" si="62"/>
        <v>#DIV/0!</v>
      </c>
      <c r="AF116" s="167" t="e">
        <f t="shared" si="62"/>
        <v>#DIV/0!</v>
      </c>
      <c r="AG116" s="167" t="e">
        <f t="shared" si="62"/>
        <v>#DIV/0!</v>
      </c>
      <c r="AH116" s="167" t="e">
        <f t="shared" si="62"/>
        <v>#DIV/0!</v>
      </c>
      <c r="AI116" s="167" t="e">
        <f t="shared" si="62"/>
        <v>#DIV/0!</v>
      </c>
      <c r="AJ116" s="167" t="e">
        <f t="shared" si="62"/>
        <v>#DIV/0!</v>
      </c>
      <c r="AK116" s="167" t="e">
        <f t="shared" si="62"/>
        <v>#DIV/0!</v>
      </c>
      <c r="AL116" s="167" t="e">
        <f t="shared" si="62"/>
        <v>#DIV/0!</v>
      </c>
      <c r="AM116" s="167" t="e">
        <f t="shared" si="62"/>
        <v>#DIV/0!</v>
      </c>
      <c r="AN116" s="167" t="e">
        <f t="shared" si="62"/>
        <v>#DIV/0!</v>
      </c>
      <c r="AO116" s="167" t="e">
        <f t="shared" si="62"/>
        <v>#DIV/0!</v>
      </c>
    </row>
    <row r="117" spans="2:41" x14ac:dyDescent="0.15">
      <c r="B117" s="473" t="s">
        <v>25</v>
      </c>
      <c r="C117" s="128" t="s">
        <v>997</v>
      </c>
      <c r="D117" s="94" cm="1">
        <f t="array" ref="D117">SUM(SUMIFS('caseload data'!E:E,'caseload data'!$D:$D,"PO",'caseload data'!$A:$A,$B$117,'caseload data'!$B:$B,{"licence","community"}))</f>
        <v>0</v>
      </c>
      <c r="E117" s="94" cm="1">
        <f t="array" ref="E117">SUM(SUMIFS('caseload data'!F:F,'caseload data'!$D:$D,"PO",'caseload data'!$A:$A,$B$117,'caseload data'!$B:$B,{"licence","community"}))</f>
        <v>0</v>
      </c>
      <c r="F117" s="94" cm="1">
        <f t="array" ref="F117">SUM(SUMIFS('caseload data'!G:G,'caseload data'!$D:$D,"PO",'caseload data'!$A:$A,$B$117,'caseload data'!$B:$B,{"licence","community"}))</f>
        <v>0</v>
      </c>
      <c r="G117" s="94" cm="1">
        <f t="array" ref="G117">SUM(SUMIFS('caseload data'!H:H,'caseload data'!$D:$D,"PO",'caseload data'!$A:$A,$B$117,'caseload data'!$B:$B,{"licence","community"}))</f>
        <v>0</v>
      </c>
      <c r="H117" s="94" cm="1">
        <f t="array" ref="H117">SUM(SUMIFS('caseload data'!I:I,'caseload data'!$D:$D,"PO",'caseload data'!$A:$A,$B$117,'caseload data'!$B:$B,{"licence","community"}))</f>
        <v>0</v>
      </c>
      <c r="I117" s="94" cm="1">
        <f t="array" ref="I117">SUM(SUMIFS('caseload data'!J:J,'caseload data'!$D:$D,"PO",'caseload data'!$A:$A,$B$117,'caseload data'!$B:$B,{"licence","community"}))</f>
        <v>0</v>
      </c>
      <c r="J117" s="94" cm="1">
        <f t="array" ref="J117">SUM(SUMIFS('caseload data'!K:K,'caseload data'!$D:$D,"PO",'caseload data'!$A:$A,$B$117,'caseload data'!$B:$B,{"licence","community"}))</f>
        <v>0</v>
      </c>
      <c r="K117" s="94" cm="1">
        <f t="array" ref="K117">SUM(SUMIFS('caseload data'!L:L,'caseload data'!$D:$D,"PO",'caseload data'!$A:$A,$B$117,'caseload data'!$B:$B,{"licence","community"}))</f>
        <v>0</v>
      </c>
      <c r="L117" s="94" cm="1">
        <f t="array" ref="L117">SUM(SUMIFS('caseload data'!M:M,'caseload data'!$D:$D,"PO",'caseload data'!$A:$A,$B$117,'caseload data'!$B:$B,{"licence","community"}))</f>
        <v>0</v>
      </c>
      <c r="M117" s="94" cm="1">
        <f t="array" ref="M117">SUM(SUMIFS('caseload data'!N:N,'caseload data'!$D:$D,"PO",'caseload data'!$A:$A,$B$117,'caseload data'!$B:$B,{"licence","community"}))</f>
        <v>0</v>
      </c>
      <c r="N117" s="94" cm="1">
        <f t="array" ref="N117">SUM(SUMIFS('caseload data'!O:O,'caseload data'!$D:$D,"PO",'caseload data'!$A:$A,$B$117,'caseload data'!$B:$B,{"licence","community"}))</f>
        <v>0</v>
      </c>
      <c r="O117" s="94" cm="1">
        <f t="array" ref="O117">SUM(SUMIFS('caseload data'!P:P,'caseload data'!$D:$D,"PO",'caseload data'!$A:$A,$B$117,'caseload data'!$B:$B,{"licence","community"}))</f>
        <v>0</v>
      </c>
      <c r="P117" s="94" cm="1">
        <f t="array" ref="P117">SUM(SUMIFS('caseload data'!Q:Q,'caseload data'!$D:$D,"PO",'caseload data'!$A:$A,$B$117,'caseload data'!$B:$B,{"licence","community"}))</f>
        <v>0</v>
      </c>
      <c r="Q117" s="94" cm="1">
        <f t="array" ref="Q117">SUM(SUMIFS('caseload data'!R:R,'caseload data'!$D:$D,"PO",'caseload data'!$A:$A,$B$117,'caseload data'!$B:$B,{"licence","community"}))</f>
        <v>0</v>
      </c>
      <c r="R117" s="94" cm="1">
        <f t="array" ref="R117">SUM(SUMIFS('caseload data'!S:S,'caseload data'!$D:$D,"PO",'caseload data'!$A:$A,$B$117,'caseload data'!$B:$B,{"licence","community"}))</f>
        <v>0</v>
      </c>
      <c r="S117" s="94" cm="1">
        <f t="array" ref="S117">SUM(SUMIFS('caseload data'!T:T,'caseload data'!$D:$D,"PO",'caseload data'!$A:$A,$B$117,'caseload data'!$B:$B,{"licence","community"}))</f>
        <v>0</v>
      </c>
      <c r="T117" s="94">
        <f>SUM(SUMIFS('caseload data'!V:V,'caseload data'!D:D,"PO",'caseload data'!A:A,B117,'caseload data'!B:B,{"licence","community"}))</f>
        <v>0</v>
      </c>
      <c r="U117" s="64"/>
      <c r="V117" s="64"/>
      <c r="W117" s="473" t="s">
        <v>25</v>
      </c>
      <c r="X117" s="128" t="s">
        <v>997</v>
      </c>
      <c r="Y117" s="167" t="e">
        <f>SUM(D117)/SUM(D$117:D$121)</f>
        <v>#DIV/0!</v>
      </c>
      <c r="Z117" s="167" t="e">
        <f t="shared" ref="Z117:AO121" si="64">SUM(E117)/SUM(E$117:E$121)</f>
        <v>#DIV/0!</v>
      </c>
      <c r="AA117" s="167" t="e">
        <f t="shared" si="64"/>
        <v>#DIV/0!</v>
      </c>
      <c r="AB117" s="167" t="e">
        <f t="shared" si="64"/>
        <v>#DIV/0!</v>
      </c>
      <c r="AC117" s="167" t="e">
        <f t="shared" si="64"/>
        <v>#DIV/0!</v>
      </c>
      <c r="AD117" s="167" t="e">
        <f t="shared" si="64"/>
        <v>#DIV/0!</v>
      </c>
      <c r="AE117" s="167" t="e">
        <f t="shared" si="64"/>
        <v>#DIV/0!</v>
      </c>
      <c r="AF117" s="167" t="e">
        <f t="shared" si="64"/>
        <v>#DIV/0!</v>
      </c>
      <c r="AG117" s="167" t="e">
        <f t="shared" si="64"/>
        <v>#DIV/0!</v>
      </c>
      <c r="AH117" s="167" t="e">
        <f t="shared" si="64"/>
        <v>#DIV/0!</v>
      </c>
      <c r="AI117" s="167" t="e">
        <f t="shared" si="64"/>
        <v>#DIV/0!</v>
      </c>
      <c r="AJ117" s="167" t="e">
        <f t="shared" si="64"/>
        <v>#DIV/0!</v>
      </c>
      <c r="AK117" s="167" t="e">
        <f t="shared" si="64"/>
        <v>#DIV/0!</v>
      </c>
      <c r="AL117" s="167" t="e">
        <f t="shared" si="64"/>
        <v>#DIV/0!</v>
      </c>
      <c r="AM117" s="167" t="e">
        <f t="shared" si="64"/>
        <v>#DIV/0!</v>
      </c>
      <c r="AN117" s="167" t="e">
        <f t="shared" si="64"/>
        <v>#DIV/0!</v>
      </c>
      <c r="AO117" s="167" t="e">
        <f t="shared" si="64"/>
        <v>#DIV/0!</v>
      </c>
    </row>
    <row r="118" spans="2:41" x14ac:dyDescent="0.15">
      <c r="B118" s="474"/>
      <c r="C118" s="129" t="s">
        <v>1002</v>
      </c>
      <c r="D118" s="94" cm="1">
        <f t="array" ref="D118">SUM(SUMIFS('caseload data'!E:E,'caseload data'!$D:$D,"PSO",'caseload data'!$A:$A,"South West",'caseload data'!$B:$B,{"licence","community"}))</f>
        <v>0</v>
      </c>
      <c r="E118" s="94" cm="1">
        <f t="array" ref="E118">SUM(SUMIFS('caseload data'!F:F,'caseload data'!$D:$D,"PSO",'caseload data'!$A:$A,"South West",'caseload data'!$B:$B,{"licence","community"}))</f>
        <v>0</v>
      </c>
      <c r="F118" s="94" cm="1">
        <f t="array" ref="F118">SUM(SUMIFS('caseload data'!G:G,'caseload data'!$D:$D,"PSO",'caseload data'!$A:$A,"South West",'caseload data'!$B:$B,{"licence","community"}))</f>
        <v>0</v>
      </c>
      <c r="G118" s="94" cm="1">
        <f t="array" ref="G118">SUM(SUMIFS('caseload data'!H:H,'caseload data'!$D:$D,"PSO",'caseload data'!$A:$A,"South West",'caseload data'!$B:$B,{"licence","community"}))</f>
        <v>0</v>
      </c>
      <c r="H118" s="94" cm="1">
        <f t="array" ref="H118">SUM(SUMIFS('caseload data'!I:I,'caseload data'!$D:$D,"PSO",'caseload data'!$A:$A,"South West",'caseload data'!$B:$B,{"licence","community"}))</f>
        <v>0</v>
      </c>
      <c r="I118" s="94" cm="1">
        <f t="array" ref="I118">SUM(SUMIFS('caseload data'!J:J,'caseload data'!$D:$D,"PSO",'caseload data'!$A:$A,"South West",'caseload data'!$B:$B,{"licence","community"}))</f>
        <v>0</v>
      </c>
      <c r="J118" s="94" cm="1">
        <f t="array" ref="J118">SUM(SUMIFS('caseload data'!K:K,'caseload data'!$D:$D,"PSO",'caseload data'!$A:$A,"South West",'caseload data'!$B:$B,{"licence","community"}))</f>
        <v>0</v>
      </c>
      <c r="K118" s="94" cm="1">
        <f t="array" ref="K118">SUM(SUMIFS('caseload data'!L:L,'caseload data'!$D:$D,"PSO",'caseload data'!$A:$A,"South West",'caseload data'!$B:$B,{"licence","community"}))</f>
        <v>0</v>
      </c>
      <c r="L118" s="94" cm="1">
        <f t="array" ref="L118">SUM(SUMIFS('caseload data'!M:M,'caseload data'!$D:$D,"PSO",'caseload data'!$A:$A,"South West",'caseload data'!$B:$B,{"licence","community"}))</f>
        <v>0</v>
      </c>
      <c r="M118" s="94" cm="1">
        <f t="array" ref="M118">SUM(SUMIFS('caseload data'!N:N,'caseload data'!$D:$D,"PSO",'caseload data'!$A:$A,"South West",'caseload data'!$B:$B,{"licence","community"}))</f>
        <v>0</v>
      </c>
      <c r="N118" s="94" cm="1">
        <f t="array" ref="N118">SUM(SUMIFS('caseload data'!O:O,'caseload data'!$D:$D,"PSO",'caseload data'!$A:$A,"South West",'caseload data'!$B:$B,{"licence","community"}))</f>
        <v>0</v>
      </c>
      <c r="O118" s="94" cm="1">
        <f t="array" ref="O118">SUM(SUMIFS('caseload data'!P:P,'caseload data'!$D:$D,"PSO",'caseload data'!$A:$A,"South West",'caseload data'!$B:$B,{"licence","community"}))</f>
        <v>0</v>
      </c>
      <c r="P118" s="94" cm="1">
        <f t="array" ref="P118">SUM(SUMIFS('caseload data'!Q:Q,'caseload data'!$D:$D,"PSO",'caseload data'!$A:$A,"South West",'caseload data'!$B:$B,{"licence","community"}))</f>
        <v>0</v>
      </c>
      <c r="Q118" s="94" cm="1">
        <f t="array" ref="Q118">SUM(SUMIFS('caseload data'!R:R,'caseload data'!$D:$D,"PSO",'caseload data'!$A:$A,"South West",'caseload data'!$B:$B,{"licence","community"}))</f>
        <v>0</v>
      </c>
      <c r="R118" s="94" cm="1">
        <f t="array" ref="R118">SUM(SUMIFS('caseload data'!S:S,'caseload data'!$D:$D,"PSO",'caseload data'!$A:$A,"South West",'caseload data'!$B:$B,{"licence","community"}))</f>
        <v>0</v>
      </c>
      <c r="S118" s="94" cm="1">
        <f t="array" ref="S118">SUM(SUMIFS('caseload data'!T:T,'caseload data'!$D:$D,"PSO",'caseload data'!$A:$A,"South West",'caseload data'!$B:$B,{"licence","community"}))</f>
        <v>0</v>
      </c>
      <c r="T118" s="94" cm="1">
        <f t="array" ref="T118">SUM(SUMIFS('caseload data'!V:V,'caseload data'!D:D,"PSO",'caseload data'!A:A,"South West",'caseload data'!B:B,{"licence","community"}))</f>
        <v>0</v>
      </c>
      <c r="U118" s="64"/>
      <c r="V118" s="64"/>
      <c r="W118" s="474"/>
      <c r="X118" s="129" t="s">
        <v>1002</v>
      </c>
      <c r="Y118" s="167" t="e">
        <f t="shared" ref="Y118:Y121" si="65">SUM(D118)/SUM(D$117:D$121)</f>
        <v>#DIV/0!</v>
      </c>
      <c r="Z118" s="167" t="e">
        <f t="shared" si="64"/>
        <v>#DIV/0!</v>
      </c>
      <c r="AA118" s="167" t="e">
        <f t="shared" si="64"/>
        <v>#DIV/0!</v>
      </c>
      <c r="AB118" s="167" t="e">
        <f t="shared" si="64"/>
        <v>#DIV/0!</v>
      </c>
      <c r="AC118" s="167" t="e">
        <f t="shared" si="64"/>
        <v>#DIV/0!</v>
      </c>
      <c r="AD118" s="167" t="e">
        <f t="shared" si="64"/>
        <v>#DIV/0!</v>
      </c>
      <c r="AE118" s="167" t="e">
        <f t="shared" si="64"/>
        <v>#DIV/0!</v>
      </c>
      <c r="AF118" s="167" t="e">
        <f t="shared" si="64"/>
        <v>#DIV/0!</v>
      </c>
      <c r="AG118" s="167" t="e">
        <f t="shared" si="64"/>
        <v>#DIV/0!</v>
      </c>
      <c r="AH118" s="167" t="e">
        <f t="shared" si="64"/>
        <v>#DIV/0!</v>
      </c>
      <c r="AI118" s="167" t="e">
        <f t="shared" si="64"/>
        <v>#DIV/0!</v>
      </c>
      <c r="AJ118" s="167" t="e">
        <f t="shared" si="64"/>
        <v>#DIV/0!</v>
      </c>
      <c r="AK118" s="167" t="e">
        <f t="shared" si="64"/>
        <v>#DIV/0!</v>
      </c>
      <c r="AL118" s="167" t="e">
        <f t="shared" si="64"/>
        <v>#DIV/0!</v>
      </c>
      <c r="AM118" s="167" t="e">
        <f t="shared" si="64"/>
        <v>#DIV/0!</v>
      </c>
      <c r="AN118" s="167" t="e">
        <f t="shared" si="64"/>
        <v>#DIV/0!</v>
      </c>
      <c r="AO118" s="167" t="e">
        <f t="shared" si="64"/>
        <v>#DIV/0!</v>
      </c>
    </row>
    <row r="119" spans="2:41" x14ac:dyDescent="0.15">
      <c r="B119" s="474"/>
      <c r="C119" s="129" t="s">
        <v>1003</v>
      </c>
      <c r="D119" s="94" cm="1">
        <f t="array" ref="D119">SUM(SUMIFS('caseload data'!E:E,'caseload data'!$D:$D,"TPO",'caseload data'!$A:$A,"South West",'caseload data'!$B:$B,{"licence","community"}))</f>
        <v>0</v>
      </c>
      <c r="E119" s="94" cm="1">
        <f t="array" ref="E119">SUM(SUMIFS('caseload data'!F:F,'caseload data'!$D:$D,"TPO",'caseload data'!$A:$A,"South West",'caseload data'!$B:$B,{"licence","community"}))</f>
        <v>0</v>
      </c>
      <c r="F119" s="94" cm="1">
        <f t="array" ref="F119">SUM(SUMIFS('caseload data'!G:G,'caseload data'!$D:$D,"TPO",'caseload data'!$A:$A,"South West",'caseload data'!$B:$B,{"licence","community"}))</f>
        <v>0</v>
      </c>
      <c r="G119" s="94" cm="1">
        <f t="array" ref="G119">SUM(SUMIFS('caseload data'!H:H,'caseload data'!$D:$D,"TPO",'caseload data'!$A:$A,"South West",'caseload data'!$B:$B,{"licence","community"}))</f>
        <v>0</v>
      </c>
      <c r="H119" s="94" cm="1">
        <f t="array" ref="H119">SUM(SUMIFS('caseload data'!I:I,'caseload data'!$D:$D,"TPO",'caseload data'!$A:$A,"South West",'caseload data'!$B:$B,{"licence","community"}))</f>
        <v>0</v>
      </c>
      <c r="I119" s="94" cm="1">
        <f t="array" ref="I119">SUM(SUMIFS('caseload data'!J:J,'caseload data'!$D:$D,"TPO",'caseload data'!$A:$A,"South West",'caseload data'!$B:$B,{"licence","community"}))</f>
        <v>0</v>
      </c>
      <c r="J119" s="94" cm="1">
        <f t="array" ref="J119">SUM(SUMIFS('caseload data'!K:K,'caseload data'!$D:$D,"TPO",'caseload data'!$A:$A,"South West",'caseload data'!$B:$B,{"licence","community"}))</f>
        <v>0</v>
      </c>
      <c r="K119" s="94" cm="1">
        <f t="array" ref="K119">SUM(SUMIFS('caseload data'!L:L,'caseload data'!$D:$D,"TPO",'caseload data'!$A:$A,"South West",'caseload data'!$B:$B,{"licence","community"}))</f>
        <v>0</v>
      </c>
      <c r="L119" s="94" cm="1">
        <f t="array" ref="L119">SUM(SUMIFS('caseload data'!M:M,'caseload data'!$D:$D,"TPO",'caseload data'!$A:$A,"South West",'caseload data'!$B:$B,{"licence","community"}))</f>
        <v>0</v>
      </c>
      <c r="M119" s="94" cm="1">
        <f t="array" ref="M119">SUM(SUMIFS('caseload data'!N:N,'caseload data'!$D:$D,"TPO",'caseload data'!$A:$A,"South West",'caseload data'!$B:$B,{"licence","community"}))</f>
        <v>0</v>
      </c>
      <c r="N119" s="94" cm="1">
        <f t="array" ref="N119">SUM(SUMIFS('caseload data'!O:O,'caseload data'!$D:$D,"TPO",'caseload data'!$A:$A,"South West",'caseload data'!$B:$B,{"licence","community"}))</f>
        <v>0</v>
      </c>
      <c r="O119" s="94" cm="1">
        <f t="array" ref="O119">SUM(SUMIFS('caseload data'!P:P,'caseload data'!$D:$D,"TPO",'caseload data'!$A:$A,"South West",'caseload data'!$B:$B,{"licence","community"}))</f>
        <v>0</v>
      </c>
      <c r="P119" s="94" cm="1">
        <f t="array" ref="P119">SUM(SUMIFS('caseload data'!Q:Q,'caseload data'!$D:$D,"TPO",'caseload data'!$A:$A,"South West",'caseload data'!$B:$B,{"licence","community"}))</f>
        <v>0</v>
      </c>
      <c r="Q119" s="94" cm="1">
        <f t="array" ref="Q119">SUM(SUMIFS('caseload data'!R:R,'caseload data'!$D:$D,"TPO",'caseload data'!$A:$A,"South West",'caseload data'!$B:$B,{"licence","community"}))</f>
        <v>0</v>
      </c>
      <c r="R119" s="94" cm="1">
        <f t="array" ref="R119">SUM(SUMIFS('caseload data'!S:S,'caseload data'!$D:$D,"TPO",'caseload data'!$A:$A,"South West",'caseload data'!$B:$B,{"licence","community"}))</f>
        <v>0</v>
      </c>
      <c r="S119" s="94" cm="1">
        <f t="array" ref="S119">SUM(SUMIFS('caseload data'!T:T,'caseload data'!$D:$D,"TPO",'caseload data'!$A:$A,"South West",'caseload data'!$B:$B,{"licence","community"}))</f>
        <v>0</v>
      </c>
      <c r="T119" s="94" cm="1">
        <f t="array" ref="T119">SUM(SUMIFS('caseload data'!V:V,'caseload data'!D:D,"TPO",'caseload data'!A:A,"South West",'caseload data'!B:B,{"licence","community"}))</f>
        <v>0</v>
      </c>
      <c r="U119" s="64"/>
      <c r="V119" s="64"/>
      <c r="W119" s="474"/>
      <c r="X119" s="129" t="s">
        <v>1003</v>
      </c>
      <c r="Y119" s="167" t="e">
        <f t="shared" si="65"/>
        <v>#DIV/0!</v>
      </c>
      <c r="Z119" s="167" t="e">
        <f t="shared" si="64"/>
        <v>#DIV/0!</v>
      </c>
      <c r="AA119" s="167" t="e">
        <f t="shared" si="64"/>
        <v>#DIV/0!</v>
      </c>
      <c r="AB119" s="167" t="e">
        <f t="shared" si="64"/>
        <v>#DIV/0!</v>
      </c>
      <c r="AC119" s="167" t="e">
        <f t="shared" si="64"/>
        <v>#DIV/0!</v>
      </c>
      <c r="AD119" s="167" t="e">
        <f t="shared" si="64"/>
        <v>#DIV/0!</v>
      </c>
      <c r="AE119" s="167" t="e">
        <f t="shared" si="64"/>
        <v>#DIV/0!</v>
      </c>
      <c r="AF119" s="167" t="e">
        <f t="shared" si="64"/>
        <v>#DIV/0!</v>
      </c>
      <c r="AG119" s="167" t="e">
        <f t="shared" si="64"/>
        <v>#DIV/0!</v>
      </c>
      <c r="AH119" s="167" t="e">
        <f t="shared" si="64"/>
        <v>#DIV/0!</v>
      </c>
      <c r="AI119" s="167" t="e">
        <f t="shared" si="64"/>
        <v>#DIV/0!</v>
      </c>
      <c r="AJ119" s="167" t="e">
        <f t="shared" si="64"/>
        <v>#DIV/0!</v>
      </c>
      <c r="AK119" s="167" t="e">
        <f t="shared" si="64"/>
        <v>#DIV/0!</v>
      </c>
      <c r="AL119" s="167" t="e">
        <f t="shared" si="64"/>
        <v>#DIV/0!</v>
      </c>
      <c r="AM119" s="167" t="e">
        <f t="shared" si="64"/>
        <v>#DIV/0!</v>
      </c>
      <c r="AN119" s="167" t="e">
        <f t="shared" si="64"/>
        <v>#DIV/0!</v>
      </c>
      <c r="AO119" s="167" t="e">
        <f t="shared" si="64"/>
        <v>#DIV/0!</v>
      </c>
    </row>
    <row r="120" spans="2:41" x14ac:dyDescent="0.15">
      <c r="B120" s="474"/>
      <c r="C120" s="129" t="s">
        <v>1004</v>
      </c>
      <c r="D120" s="94" cm="1">
        <f t="array" ref="D120">SUM(SUMIFS('caseload data'!E:E,'caseload data'!$D:$D,"SPO",'caseload data'!$A:$A,"South West",'caseload data'!$B:$B,{"licence","community"}))</f>
        <v>0</v>
      </c>
      <c r="E120" s="94" cm="1">
        <f t="array" ref="E120">SUM(SUMIFS('caseload data'!F:F,'caseload data'!$D:$D,"SPO",'caseload data'!$A:$A,"South West",'caseload data'!$B:$B,{"licence","community"}))</f>
        <v>0</v>
      </c>
      <c r="F120" s="94" cm="1">
        <f t="array" ref="F120">SUM(SUMIFS('caseload data'!G:G,'caseload data'!$D:$D,"SPO",'caseload data'!$A:$A,"South West",'caseload data'!$B:$B,{"licence","community"}))</f>
        <v>0</v>
      </c>
      <c r="G120" s="94" cm="1">
        <f t="array" ref="G120">SUM(SUMIFS('caseload data'!H:H,'caseload data'!$D:$D,"SPO",'caseload data'!$A:$A,"South West",'caseload data'!$B:$B,{"licence","community"}))</f>
        <v>0</v>
      </c>
      <c r="H120" s="94" cm="1">
        <f t="array" ref="H120">SUM(SUMIFS('caseload data'!I:I,'caseload data'!$D:$D,"SPO",'caseload data'!$A:$A,"South West",'caseload data'!$B:$B,{"licence","community"}))</f>
        <v>0</v>
      </c>
      <c r="I120" s="94" cm="1">
        <f t="array" ref="I120">SUM(SUMIFS('caseload data'!J:J,'caseload data'!$D:$D,"SPO",'caseload data'!$A:$A,"South West",'caseload data'!$B:$B,{"licence","community"}))</f>
        <v>0</v>
      </c>
      <c r="J120" s="94" cm="1">
        <f t="array" ref="J120">SUM(SUMIFS('caseload data'!K:K,'caseload data'!$D:$D,"SPO",'caseload data'!$A:$A,"South West",'caseload data'!$B:$B,{"licence","community"}))</f>
        <v>0</v>
      </c>
      <c r="K120" s="94" cm="1">
        <f t="array" ref="K120">SUM(SUMIFS('caseload data'!L:L,'caseload data'!$D:$D,"SPO",'caseload data'!$A:$A,"South West",'caseload data'!$B:$B,{"licence","community"}))</f>
        <v>0</v>
      </c>
      <c r="L120" s="94" cm="1">
        <f t="array" ref="L120">SUM(SUMIFS('caseload data'!M:M,'caseload data'!$D:$D,"SPO",'caseload data'!$A:$A,"South West",'caseload data'!$B:$B,{"licence","community"}))</f>
        <v>0</v>
      </c>
      <c r="M120" s="94" cm="1">
        <f t="array" ref="M120">SUM(SUMIFS('caseload data'!N:N,'caseload data'!$D:$D,"SPO",'caseload data'!$A:$A,"South West",'caseload data'!$B:$B,{"licence","community"}))</f>
        <v>0</v>
      </c>
      <c r="N120" s="94" cm="1">
        <f t="array" ref="N120">SUM(SUMIFS('caseload data'!O:O,'caseload data'!$D:$D,"SPO",'caseload data'!$A:$A,"South West",'caseload data'!$B:$B,{"licence","community"}))</f>
        <v>0</v>
      </c>
      <c r="O120" s="94" cm="1">
        <f t="array" ref="O120">SUM(SUMIFS('caseload data'!P:P,'caseload data'!$D:$D,"SPO",'caseload data'!$A:$A,"South West",'caseload data'!$B:$B,{"licence","community"}))</f>
        <v>0</v>
      </c>
      <c r="P120" s="94" cm="1">
        <f t="array" ref="P120">SUM(SUMIFS('caseload data'!Q:Q,'caseload data'!$D:$D,"SPO",'caseload data'!$A:$A,"South West",'caseload data'!$B:$B,{"licence","community"}))</f>
        <v>0</v>
      </c>
      <c r="Q120" s="94" cm="1">
        <f t="array" ref="Q120">SUM(SUMIFS('caseload data'!R:R,'caseload data'!$D:$D,"SPO",'caseload data'!$A:$A,"South West",'caseload data'!$B:$B,{"licence","community"}))</f>
        <v>0</v>
      </c>
      <c r="R120" s="94" cm="1">
        <f t="array" ref="R120">SUM(SUMIFS('caseload data'!S:S,'caseload data'!$D:$D,"SPO",'caseload data'!$A:$A,"South West",'caseload data'!$B:$B,{"licence","community"}))</f>
        <v>0</v>
      </c>
      <c r="S120" s="94" cm="1">
        <f t="array" ref="S120">SUM(SUMIFS('caseload data'!T:T,'caseload data'!$D:$D,"SPO",'caseload data'!$A:$A,"South West",'caseload data'!$B:$B,{"licence","community"}))</f>
        <v>0</v>
      </c>
      <c r="T120" s="94" cm="1">
        <f t="array" ref="T120">SUM(SUMIFS('caseload data'!V:V,'caseload data'!$D:$D,"SPO",'caseload data'!$A:$A,"South West",'caseload data'!$B:$B,{"licence","community"}))</f>
        <v>0</v>
      </c>
      <c r="U120" s="64"/>
      <c r="V120" s="64"/>
      <c r="W120" s="474"/>
      <c r="X120" s="129" t="s">
        <v>1004</v>
      </c>
      <c r="Y120" s="167" t="e">
        <f t="shared" si="65"/>
        <v>#DIV/0!</v>
      </c>
      <c r="Z120" s="167" t="e">
        <f t="shared" si="64"/>
        <v>#DIV/0!</v>
      </c>
      <c r="AA120" s="167" t="e">
        <f t="shared" si="64"/>
        <v>#DIV/0!</v>
      </c>
      <c r="AB120" s="167" t="e">
        <f t="shared" si="64"/>
        <v>#DIV/0!</v>
      </c>
      <c r="AC120" s="167" t="e">
        <f t="shared" si="64"/>
        <v>#DIV/0!</v>
      </c>
      <c r="AD120" s="167" t="e">
        <f t="shared" si="64"/>
        <v>#DIV/0!</v>
      </c>
      <c r="AE120" s="167" t="e">
        <f t="shared" si="64"/>
        <v>#DIV/0!</v>
      </c>
      <c r="AF120" s="167" t="e">
        <f t="shared" si="64"/>
        <v>#DIV/0!</v>
      </c>
      <c r="AG120" s="167" t="e">
        <f t="shared" si="64"/>
        <v>#DIV/0!</v>
      </c>
      <c r="AH120" s="167" t="e">
        <f t="shared" si="64"/>
        <v>#DIV/0!</v>
      </c>
      <c r="AI120" s="167" t="e">
        <f t="shared" si="64"/>
        <v>#DIV/0!</v>
      </c>
      <c r="AJ120" s="167" t="e">
        <f t="shared" si="64"/>
        <v>#DIV/0!</v>
      </c>
      <c r="AK120" s="167" t="e">
        <f t="shared" si="64"/>
        <v>#DIV/0!</v>
      </c>
      <c r="AL120" s="167" t="e">
        <f t="shared" si="64"/>
        <v>#DIV/0!</v>
      </c>
      <c r="AM120" s="167" t="e">
        <f t="shared" si="64"/>
        <v>#DIV/0!</v>
      </c>
      <c r="AN120" s="167" t="e">
        <f t="shared" si="64"/>
        <v>#DIV/0!</v>
      </c>
      <c r="AO120" s="167" t="e">
        <f t="shared" si="64"/>
        <v>#DIV/0!</v>
      </c>
    </row>
    <row r="121" spans="2:41" x14ac:dyDescent="0.15">
      <c r="B121" s="475"/>
      <c r="C121" s="130" t="s">
        <v>1339</v>
      </c>
      <c r="D121" s="94" cm="1">
        <f t="array" ref="D121">SUM(SUMIFS('caseload data'!E:E,'caseload data'!$D:$D,"DMY",'caseload data'!$A:$A,"South West",'caseload data'!$B:$B,{"licence","community"}))</f>
        <v>0</v>
      </c>
      <c r="E121" s="94" cm="1">
        <f t="array" ref="E121">SUM(SUMIFS('caseload data'!F:F,'caseload data'!$D:$D,"DMY",'caseload data'!$A:$A,"South West",'caseload data'!$B:$B,{"licence","community"}))</f>
        <v>0</v>
      </c>
      <c r="F121" s="94" cm="1">
        <f t="array" ref="F121">SUM(SUMIFS('caseload data'!G:G,'caseload data'!$D:$D,"DMY",'caseload data'!$A:$A,"South West",'caseload data'!$B:$B,{"licence","community"}))</f>
        <v>0</v>
      </c>
      <c r="G121" s="94" cm="1">
        <f t="array" ref="G121">SUM(SUMIFS('caseload data'!H:H,'caseload data'!$D:$D,"DMY",'caseload data'!$A:$A,"South West",'caseload data'!$B:$B,{"licence","community"}))</f>
        <v>0</v>
      </c>
      <c r="H121" s="94" cm="1">
        <f t="array" ref="H121">SUM(SUMIFS('caseload data'!I:I,'caseload data'!$D:$D,"DMY",'caseload data'!$A:$A,"South West",'caseload data'!$B:$B,{"licence","community"}))</f>
        <v>0</v>
      </c>
      <c r="I121" s="94" cm="1">
        <f t="array" ref="I121">SUM(SUMIFS('caseload data'!J:J,'caseload data'!$D:$D,"DMY",'caseload data'!$A:$A,"South West",'caseload data'!$B:$B,{"licence","community"}))</f>
        <v>0</v>
      </c>
      <c r="J121" s="94" cm="1">
        <f t="array" ref="J121">SUM(SUMIFS('caseload data'!K:K,'caseload data'!$D:$D,"DMY",'caseload data'!$A:$A,"South West",'caseload data'!$B:$B,{"licence","community"}))</f>
        <v>0</v>
      </c>
      <c r="K121" s="94" cm="1">
        <f t="array" ref="K121">SUM(SUMIFS('caseload data'!L:L,'caseload data'!$D:$D,"DMY",'caseload data'!$A:$A,"South West",'caseload data'!$B:$B,{"licence","community"}))</f>
        <v>0</v>
      </c>
      <c r="L121" s="94" cm="1">
        <f t="array" ref="L121">SUM(SUMIFS('caseload data'!M:M,'caseload data'!$D:$D,"DMY",'caseload data'!$A:$A,"South West",'caseload data'!$B:$B,{"licence","community"}))</f>
        <v>0</v>
      </c>
      <c r="M121" s="94" cm="1">
        <f t="array" ref="M121">SUM(SUMIFS('caseload data'!N:N,'caseload data'!$D:$D,"DMY",'caseload data'!$A:$A,"South West",'caseload data'!$B:$B,{"licence","community"}))</f>
        <v>0</v>
      </c>
      <c r="N121" s="94" cm="1">
        <f t="array" ref="N121">SUM(SUMIFS('caseload data'!O:O,'caseload data'!$D:$D,"DMY",'caseload data'!$A:$A,"South West",'caseload data'!$B:$B,{"licence","community"}))</f>
        <v>0</v>
      </c>
      <c r="O121" s="94" cm="1">
        <f t="array" ref="O121">SUM(SUMIFS('caseload data'!P:P,'caseload data'!$D:$D,"DMY",'caseload data'!$A:$A,"South West",'caseload data'!$B:$B,{"licence","community"}))</f>
        <v>0</v>
      </c>
      <c r="P121" s="94" cm="1">
        <f t="array" ref="P121">SUM(SUMIFS('caseload data'!Q:Q,'caseload data'!$D:$D,"DMY",'caseload data'!$A:$A,"South West",'caseload data'!$B:$B,{"licence","community"}))</f>
        <v>0</v>
      </c>
      <c r="Q121" s="94" cm="1">
        <f t="array" ref="Q121">SUM(SUMIFS('caseload data'!R:R,'caseload data'!$D:$D,"DMY",'caseload data'!$A:$A,"South West",'caseload data'!$B:$B,{"licence","community"}))</f>
        <v>0</v>
      </c>
      <c r="R121" s="94" cm="1">
        <f t="array" ref="R121">SUM(SUMIFS('caseload data'!S:S,'caseload data'!$D:$D,"DMY",'caseload data'!$A:$A,"South West",'caseload data'!$B:$B,{"licence","community"}))</f>
        <v>0</v>
      </c>
      <c r="S121" s="94" cm="1">
        <f t="array" ref="S121">SUM(SUMIFS('caseload data'!T:T,'caseload data'!$D:$D,"DMY",'caseload data'!$A:$A,"South West",'caseload data'!$B:$B,{"licence","community"}))</f>
        <v>0</v>
      </c>
      <c r="T121" s="94" cm="1">
        <f t="array" ref="T121">SUM(SUMIFS('caseload data'!V:V,'caseload data'!$D:$D,"DMY",'caseload data'!$A:$A,"South West",'caseload data'!$B:$B,{"licence","community"}))</f>
        <v>0</v>
      </c>
      <c r="U121" s="64"/>
      <c r="V121" s="64"/>
      <c r="W121" s="475"/>
      <c r="X121" s="130" t="s">
        <v>1339</v>
      </c>
      <c r="Y121" s="167" t="e">
        <f t="shared" si="65"/>
        <v>#DIV/0!</v>
      </c>
      <c r="Z121" s="167" t="e">
        <f t="shared" si="64"/>
        <v>#DIV/0!</v>
      </c>
      <c r="AA121" s="167" t="e">
        <f t="shared" si="64"/>
        <v>#DIV/0!</v>
      </c>
      <c r="AB121" s="167" t="e">
        <f t="shared" si="64"/>
        <v>#DIV/0!</v>
      </c>
      <c r="AC121" s="167" t="e">
        <f t="shared" si="64"/>
        <v>#DIV/0!</v>
      </c>
      <c r="AD121" s="167" t="e">
        <f t="shared" si="64"/>
        <v>#DIV/0!</v>
      </c>
      <c r="AE121" s="167" t="e">
        <f t="shared" si="64"/>
        <v>#DIV/0!</v>
      </c>
      <c r="AF121" s="167" t="e">
        <f t="shared" si="64"/>
        <v>#DIV/0!</v>
      </c>
      <c r="AG121" s="167" t="e">
        <f t="shared" si="64"/>
        <v>#DIV/0!</v>
      </c>
      <c r="AH121" s="167" t="e">
        <f t="shared" si="64"/>
        <v>#DIV/0!</v>
      </c>
      <c r="AI121" s="167" t="e">
        <f t="shared" si="64"/>
        <v>#DIV/0!</v>
      </c>
      <c r="AJ121" s="167" t="e">
        <f t="shared" si="64"/>
        <v>#DIV/0!</v>
      </c>
      <c r="AK121" s="167" t="e">
        <f t="shared" si="64"/>
        <v>#DIV/0!</v>
      </c>
      <c r="AL121" s="167" t="e">
        <f t="shared" si="64"/>
        <v>#DIV/0!</v>
      </c>
      <c r="AM121" s="167" t="e">
        <f t="shared" si="64"/>
        <v>#DIV/0!</v>
      </c>
      <c r="AN121" s="167" t="e">
        <f t="shared" si="64"/>
        <v>#DIV/0!</v>
      </c>
      <c r="AO121" s="167" t="e">
        <f t="shared" si="64"/>
        <v>#DIV/0!</v>
      </c>
    </row>
    <row r="122" spans="2:41" x14ac:dyDescent="0.15">
      <c r="B122" s="473" t="s">
        <v>26</v>
      </c>
      <c r="C122" s="128" t="s">
        <v>997</v>
      </c>
      <c r="D122" s="94" cm="1">
        <f t="array" ref="D122">SUM(SUMIFS('caseload data'!E:E,'caseload data'!$D:$D,"PO",'caseload data'!$A:$A,$B$122,'caseload data'!$B:$B,{"licence","community"}))</f>
        <v>0</v>
      </c>
      <c r="E122" s="94" cm="1">
        <f t="array" ref="E122">SUM(SUMIFS('caseload data'!F:F,'caseload data'!$D:$D,"PO",'caseload data'!$A:$A,$B$122,'caseload data'!$B:$B,{"licence","community"}))</f>
        <v>0</v>
      </c>
      <c r="F122" s="94" cm="1">
        <f t="array" ref="F122">SUM(SUMIFS('caseload data'!G:G,'caseload data'!$D:$D,"PO",'caseload data'!$A:$A,$B$122,'caseload data'!$B:$B,{"licence","community"}))</f>
        <v>0</v>
      </c>
      <c r="G122" s="94" cm="1">
        <f t="array" ref="G122">SUM(SUMIFS('caseload data'!H:H,'caseload data'!$D:$D,"PO",'caseload data'!$A:$A,$B$122,'caseload data'!$B:$B,{"licence","community"}))</f>
        <v>0</v>
      </c>
      <c r="H122" s="94" cm="1">
        <f t="array" ref="H122">SUM(SUMIFS('caseload data'!I:I,'caseload data'!$D:$D,"PO",'caseload data'!$A:$A,$B$122,'caseload data'!$B:$B,{"licence","community"}))</f>
        <v>0</v>
      </c>
      <c r="I122" s="94" cm="1">
        <f t="array" ref="I122">SUM(SUMIFS('caseload data'!J:J,'caseload data'!$D:$D,"PO",'caseload data'!$A:$A,$B$122,'caseload data'!$B:$B,{"licence","community"}))</f>
        <v>0</v>
      </c>
      <c r="J122" s="94" cm="1">
        <f t="array" ref="J122">SUM(SUMIFS('caseload data'!K:K,'caseload data'!$D:$D,"PO",'caseload data'!$A:$A,$B$122,'caseload data'!$B:$B,{"licence","community"}))</f>
        <v>0</v>
      </c>
      <c r="K122" s="94" cm="1">
        <f t="array" ref="K122">SUM(SUMIFS('caseload data'!L:L,'caseload data'!$D:$D,"PO",'caseload data'!$A:$A,$B$122,'caseload data'!$B:$B,{"licence","community"}))</f>
        <v>0</v>
      </c>
      <c r="L122" s="94" cm="1">
        <f t="array" ref="L122">SUM(SUMIFS('caseload data'!M:M,'caseload data'!$D:$D,"PO",'caseload data'!$A:$A,$B$122,'caseload data'!$B:$B,{"licence","community"}))</f>
        <v>0</v>
      </c>
      <c r="M122" s="94" cm="1">
        <f t="array" ref="M122">SUM(SUMIFS('caseload data'!N:N,'caseload data'!$D:$D,"PO",'caseload data'!$A:$A,$B$122,'caseload data'!$B:$B,{"licence","community"}))</f>
        <v>0</v>
      </c>
      <c r="N122" s="94" cm="1">
        <f t="array" ref="N122">SUM(SUMIFS('caseload data'!O:O,'caseload data'!$D:$D,"PO",'caseload data'!$A:$A,$B$122,'caseload data'!$B:$B,{"licence","community"}))</f>
        <v>0</v>
      </c>
      <c r="O122" s="94" cm="1">
        <f t="array" ref="O122">SUM(SUMIFS('caseload data'!P:P,'caseload data'!$D:$D,"PO",'caseload data'!$A:$A,$B$122,'caseload data'!$B:$B,{"licence","community"}))</f>
        <v>0</v>
      </c>
      <c r="P122" s="94" cm="1">
        <f t="array" ref="P122">SUM(SUMIFS('caseload data'!Q:Q,'caseload data'!$D:$D,"PO",'caseload data'!$A:$A,$B$122,'caseload data'!$B:$B,{"licence","community"}))</f>
        <v>0</v>
      </c>
      <c r="Q122" s="94" cm="1">
        <f t="array" ref="Q122">SUM(SUMIFS('caseload data'!R:R,'caseload data'!$D:$D,"PO",'caseload data'!$A:$A,$B$122,'caseload data'!$B:$B,{"licence","community"}))</f>
        <v>0</v>
      </c>
      <c r="R122" s="94" cm="1">
        <f t="array" ref="R122">SUM(SUMIFS('caseload data'!S:S,'caseload data'!$D:$D,"PO",'caseload data'!$A:$A,$B$122,'caseload data'!$B:$B,{"licence","community"}))</f>
        <v>0</v>
      </c>
      <c r="S122" s="94" cm="1">
        <f t="array" ref="S122">SUM(SUMIFS('caseload data'!T:T,'caseload data'!$D:$D,"PO",'caseload data'!$A:$A,$B$122,'caseload data'!$B:$B,{"licence","community"}))</f>
        <v>0</v>
      </c>
      <c r="T122" s="94" cm="1">
        <f t="array" ref="T122">SUM(SUMIFS('caseload data'!V:V,'caseload data'!D:D,"PO",'caseload data'!A:A,B122,'caseload data'!B:B,{"licence","community"}))</f>
        <v>0</v>
      </c>
      <c r="U122" s="64"/>
      <c r="V122" s="64"/>
      <c r="W122" s="473" t="s">
        <v>26</v>
      </c>
      <c r="X122" s="128" t="s">
        <v>997</v>
      </c>
      <c r="Y122" s="167" t="e">
        <f>SUM(D122)/SUM(D$122:D$126)</f>
        <v>#DIV/0!</v>
      </c>
      <c r="Z122" s="167" t="e">
        <f t="shared" ref="Z122:AO126" si="66">SUM(E122)/SUM(E$122:E$126)</f>
        <v>#DIV/0!</v>
      </c>
      <c r="AA122" s="167" t="e">
        <f t="shared" si="66"/>
        <v>#DIV/0!</v>
      </c>
      <c r="AB122" s="167" t="e">
        <f t="shared" si="66"/>
        <v>#DIV/0!</v>
      </c>
      <c r="AC122" s="167" t="e">
        <f t="shared" si="66"/>
        <v>#DIV/0!</v>
      </c>
      <c r="AD122" s="167" t="e">
        <f t="shared" si="66"/>
        <v>#DIV/0!</v>
      </c>
      <c r="AE122" s="167" t="e">
        <f t="shared" si="66"/>
        <v>#DIV/0!</v>
      </c>
      <c r="AF122" s="167" t="e">
        <f t="shared" si="66"/>
        <v>#DIV/0!</v>
      </c>
      <c r="AG122" s="167" t="e">
        <f t="shared" si="66"/>
        <v>#DIV/0!</v>
      </c>
      <c r="AH122" s="167" t="e">
        <f t="shared" si="66"/>
        <v>#DIV/0!</v>
      </c>
      <c r="AI122" s="167" t="e">
        <f t="shared" si="66"/>
        <v>#DIV/0!</v>
      </c>
      <c r="AJ122" s="167" t="e">
        <f t="shared" si="66"/>
        <v>#DIV/0!</v>
      </c>
      <c r="AK122" s="167" t="e">
        <f t="shared" si="66"/>
        <v>#DIV/0!</v>
      </c>
      <c r="AL122" s="167" t="e">
        <f t="shared" si="66"/>
        <v>#DIV/0!</v>
      </c>
      <c r="AM122" s="167" t="e">
        <f t="shared" si="66"/>
        <v>#DIV/0!</v>
      </c>
      <c r="AN122" s="167" t="e">
        <f t="shared" si="66"/>
        <v>#DIV/0!</v>
      </c>
      <c r="AO122" s="167" t="e">
        <f t="shared" si="66"/>
        <v>#DIV/0!</v>
      </c>
    </row>
    <row r="123" spans="2:41" x14ac:dyDescent="0.15">
      <c r="B123" s="474"/>
      <c r="C123" s="129" t="s">
        <v>1002</v>
      </c>
      <c r="D123" s="94" cm="1">
        <f t="array" ref="D123">SUM(SUMIFS('caseload data'!E:E,'caseload data'!$D:$D,"PSO",'caseload data'!$A:$A,"Wales",'caseload data'!$B:$B,{"licence","community"}))</f>
        <v>0</v>
      </c>
      <c r="E123" s="94" cm="1">
        <f t="array" ref="E123">SUM(SUMIFS('caseload data'!F:F,'caseload data'!$D:$D,"PSO",'caseload data'!$A:$A,"Wales",'caseload data'!$B:$B,{"licence","community"}))</f>
        <v>0</v>
      </c>
      <c r="F123" s="94" cm="1">
        <f t="array" ref="F123">SUM(SUMIFS('caseload data'!G:G,'caseload data'!$D:$D,"PSO",'caseload data'!$A:$A,"Wales",'caseload data'!$B:$B,{"licence","community"}))</f>
        <v>0</v>
      </c>
      <c r="G123" s="94" cm="1">
        <f t="array" ref="G123">SUM(SUMIFS('caseload data'!H:H,'caseload data'!$D:$D,"PSO",'caseload data'!$A:$A,"Wales",'caseload data'!$B:$B,{"licence","community"}))</f>
        <v>0</v>
      </c>
      <c r="H123" s="94" cm="1">
        <f t="array" ref="H123">SUM(SUMIFS('caseload data'!I:I,'caseload data'!$D:$D,"PSO",'caseload data'!$A:$A,"Wales",'caseload data'!$B:$B,{"licence","community"}))</f>
        <v>0</v>
      </c>
      <c r="I123" s="94" cm="1">
        <f t="array" ref="I123">SUM(SUMIFS('caseload data'!J:J,'caseload data'!$D:$D,"PSO",'caseload data'!$A:$A,"Wales",'caseload data'!$B:$B,{"licence","community"}))</f>
        <v>0</v>
      </c>
      <c r="J123" s="94" cm="1">
        <f t="array" ref="J123">SUM(SUMIFS('caseload data'!K:K,'caseload data'!$D:$D,"PSO",'caseload data'!$A:$A,"Wales",'caseload data'!$B:$B,{"licence","community"}))</f>
        <v>0</v>
      </c>
      <c r="K123" s="94" cm="1">
        <f t="array" ref="K123">SUM(SUMIFS('caseload data'!L:L,'caseload data'!$D:$D,"PSO",'caseload data'!$A:$A,"Wales",'caseload data'!$B:$B,{"licence","community"}))</f>
        <v>0</v>
      </c>
      <c r="L123" s="94" cm="1">
        <f t="array" ref="L123">SUM(SUMIFS('caseload data'!M:M,'caseload data'!$D:$D,"PSO",'caseload data'!$A:$A,"Wales",'caseload data'!$B:$B,{"licence","community"}))</f>
        <v>0</v>
      </c>
      <c r="M123" s="94" cm="1">
        <f t="array" ref="M123">SUM(SUMIFS('caseload data'!N:N,'caseload data'!$D:$D,"PSO",'caseload data'!$A:$A,"Wales",'caseload data'!$B:$B,{"licence","community"}))</f>
        <v>0</v>
      </c>
      <c r="N123" s="94" cm="1">
        <f t="array" ref="N123">SUM(SUMIFS('caseload data'!O:O,'caseload data'!$D:$D,"PSO",'caseload data'!$A:$A,"Wales",'caseload data'!$B:$B,{"licence","community"}))</f>
        <v>0</v>
      </c>
      <c r="O123" s="94" cm="1">
        <f t="array" ref="O123">SUM(SUMIFS('caseload data'!P:P,'caseload data'!$D:$D,"PSO",'caseload data'!$A:$A,"Wales",'caseload data'!$B:$B,{"licence","community"}))</f>
        <v>0</v>
      </c>
      <c r="P123" s="94" cm="1">
        <f t="array" ref="P123">SUM(SUMIFS('caseload data'!Q:Q,'caseload data'!$D:$D,"PSO",'caseload data'!$A:$A,"Wales",'caseload data'!$B:$B,{"licence","community"}))</f>
        <v>0</v>
      </c>
      <c r="Q123" s="94" cm="1">
        <f t="array" ref="Q123">SUM(SUMIFS('caseload data'!R:R,'caseload data'!$D:$D,"PSO",'caseload data'!$A:$A,"Wales",'caseload data'!$B:$B,{"licence","community"}))</f>
        <v>0</v>
      </c>
      <c r="R123" s="94" cm="1">
        <f t="array" ref="R123">SUM(SUMIFS('caseload data'!S:S,'caseload data'!$D:$D,"PSO",'caseload data'!$A:$A,"Wales",'caseload data'!$B:$B,{"licence","community"}))</f>
        <v>0</v>
      </c>
      <c r="S123" s="94" cm="1">
        <f t="array" ref="S123">SUM(SUMIFS('caseload data'!T:T,'caseload data'!$D:$D,"PSO",'caseload data'!$A:$A,"Wales",'caseload data'!$B:$B,{"licence","community"}))</f>
        <v>0</v>
      </c>
      <c r="T123" s="94" cm="1">
        <f t="array" ref="T123">SUM(SUMIFS('caseload data'!V:V,'caseload data'!$D:$D,"PSO",'caseload data'!$A:$A,"Wales",'caseload data'!$B:$B,{"licence","community"}))</f>
        <v>0</v>
      </c>
      <c r="U123" s="64"/>
      <c r="V123" s="64"/>
      <c r="W123" s="474"/>
      <c r="X123" s="129" t="s">
        <v>1002</v>
      </c>
      <c r="Y123" s="167" t="e">
        <f t="shared" ref="Y123:Y126" si="67">SUM(D123)/SUM(D$122:D$126)</f>
        <v>#DIV/0!</v>
      </c>
      <c r="Z123" s="167" t="e">
        <f t="shared" si="66"/>
        <v>#DIV/0!</v>
      </c>
      <c r="AA123" s="167" t="e">
        <f t="shared" si="66"/>
        <v>#DIV/0!</v>
      </c>
      <c r="AB123" s="167" t="e">
        <f t="shared" si="66"/>
        <v>#DIV/0!</v>
      </c>
      <c r="AC123" s="167" t="e">
        <f t="shared" si="66"/>
        <v>#DIV/0!</v>
      </c>
      <c r="AD123" s="167" t="e">
        <f t="shared" si="66"/>
        <v>#DIV/0!</v>
      </c>
      <c r="AE123" s="167" t="e">
        <f t="shared" si="66"/>
        <v>#DIV/0!</v>
      </c>
      <c r="AF123" s="167" t="e">
        <f t="shared" si="66"/>
        <v>#DIV/0!</v>
      </c>
      <c r="AG123" s="167" t="e">
        <f t="shared" si="66"/>
        <v>#DIV/0!</v>
      </c>
      <c r="AH123" s="167" t="e">
        <f t="shared" si="66"/>
        <v>#DIV/0!</v>
      </c>
      <c r="AI123" s="167" t="e">
        <f t="shared" si="66"/>
        <v>#DIV/0!</v>
      </c>
      <c r="AJ123" s="167" t="e">
        <f t="shared" si="66"/>
        <v>#DIV/0!</v>
      </c>
      <c r="AK123" s="167" t="e">
        <f t="shared" si="66"/>
        <v>#DIV/0!</v>
      </c>
      <c r="AL123" s="167" t="e">
        <f t="shared" si="66"/>
        <v>#DIV/0!</v>
      </c>
      <c r="AM123" s="167" t="e">
        <f t="shared" si="66"/>
        <v>#DIV/0!</v>
      </c>
      <c r="AN123" s="167" t="e">
        <f t="shared" si="66"/>
        <v>#DIV/0!</v>
      </c>
      <c r="AO123" s="167" t="e">
        <f t="shared" si="66"/>
        <v>#DIV/0!</v>
      </c>
    </row>
    <row r="124" spans="2:41" x14ac:dyDescent="0.15">
      <c r="B124" s="474"/>
      <c r="C124" s="129" t="s">
        <v>1003</v>
      </c>
      <c r="D124" s="94" cm="1">
        <f t="array" ref="D124">SUM(SUMIFS('caseload data'!E:E,'caseload data'!$D:$D,"TPO",'caseload data'!$A:$A,"Wales",'caseload data'!$B:$B,{"licence","community"}))</f>
        <v>0</v>
      </c>
      <c r="E124" s="94" cm="1">
        <f t="array" ref="E124">SUM(SUMIFS('caseload data'!F:F,'caseload data'!$D:$D,"TPO",'caseload data'!$A:$A,"Wales",'caseload data'!$B:$B,{"licence","community"}))</f>
        <v>0</v>
      </c>
      <c r="F124" s="94" cm="1">
        <f t="array" ref="F124">SUM(SUMIFS('caseload data'!G:G,'caseload data'!$D:$D,"TPO",'caseload data'!$A:$A,"Wales",'caseload data'!$B:$B,{"licence","community"}))</f>
        <v>0</v>
      </c>
      <c r="G124" s="94" cm="1">
        <f t="array" ref="G124">SUM(SUMIFS('caseload data'!H:H,'caseload data'!$D:$D,"TPO",'caseload data'!$A:$A,"Wales",'caseload data'!$B:$B,{"licence","community"}))</f>
        <v>0</v>
      </c>
      <c r="H124" s="94" cm="1">
        <f t="array" ref="H124">SUM(SUMIFS('caseload data'!I:I,'caseload data'!$D:$D,"TPO",'caseload data'!$A:$A,"Wales",'caseload data'!$B:$B,{"licence","community"}))</f>
        <v>0</v>
      </c>
      <c r="I124" s="94" cm="1">
        <f t="array" ref="I124">SUM(SUMIFS('caseload data'!J:J,'caseload data'!$D:$D,"TPO",'caseload data'!$A:$A,"Wales",'caseload data'!$B:$B,{"licence","community"}))</f>
        <v>0</v>
      </c>
      <c r="J124" s="94" cm="1">
        <f t="array" ref="J124">SUM(SUMIFS('caseload data'!K:K,'caseload data'!$D:$D,"TPO",'caseload data'!$A:$A,"Wales",'caseload data'!$B:$B,{"licence","community"}))</f>
        <v>0</v>
      </c>
      <c r="K124" s="94" cm="1">
        <f t="array" ref="K124">SUM(SUMIFS('caseload data'!L:L,'caseload data'!$D:$D,"TPO",'caseload data'!$A:$A,"Wales",'caseload data'!$B:$B,{"licence","community"}))</f>
        <v>0</v>
      </c>
      <c r="L124" s="94" cm="1">
        <f t="array" ref="L124">SUM(SUMIFS('caseload data'!M:M,'caseload data'!$D:$D,"TPO",'caseload data'!$A:$A,"Wales",'caseload data'!$B:$B,{"licence","community"}))</f>
        <v>0</v>
      </c>
      <c r="M124" s="94" cm="1">
        <f t="array" ref="M124">SUM(SUMIFS('caseload data'!N:N,'caseload data'!$D:$D,"TPO",'caseload data'!$A:$A,"Wales",'caseload data'!$B:$B,{"licence","community"}))</f>
        <v>0</v>
      </c>
      <c r="N124" s="94" cm="1">
        <f t="array" ref="N124">SUM(SUMIFS('caseload data'!O:O,'caseload data'!$D:$D,"TPO",'caseload data'!$A:$A,"Wales",'caseload data'!$B:$B,{"licence","community"}))</f>
        <v>0</v>
      </c>
      <c r="O124" s="94" cm="1">
        <f t="array" ref="O124">SUM(SUMIFS('caseload data'!P:P,'caseload data'!$D:$D,"TPO",'caseload data'!$A:$A,"Wales",'caseload data'!$B:$B,{"licence","community"}))</f>
        <v>0</v>
      </c>
      <c r="P124" s="94" cm="1">
        <f t="array" ref="P124">SUM(SUMIFS('caseload data'!Q:Q,'caseload data'!$D:$D,"TPO",'caseload data'!$A:$A,"Wales",'caseload data'!$B:$B,{"licence","community"}))</f>
        <v>0</v>
      </c>
      <c r="Q124" s="94" cm="1">
        <f t="array" ref="Q124">SUM(SUMIFS('caseload data'!R:R,'caseload data'!$D:$D,"TPO",'caseload data'!$A:$A,"Wales",'caseload data'!$B:$B,{"licence","community"}))</f>
        <v>0</v>
      </c>
      <c r="R124" s="94" cm="1">
        <f t="array" ref="R124">SUM(SUMIFS('caseload data'!S:S,'caseload data'!$D:$D,"TPO",'caseload data'!$A:$A,"Wales",'caseload data'!$B:$B,{"licence","community"}))</f>
        <v>0</v>
      </c>
      <c r="S124" s="94" cm="1">
        <f t="array" ref="S124">SUM(SUMIFS('caseload data'!T:T,'caseload data'!$D:$D,"TPO",'caseload data'!$A:$A,"Wales",'caseload data'!$B:$B,{"licence","community"}))</f>
        <v>0</v>
      </c>
      <c r="T124" s="94" cm="1">
        <f t="array" ref="T124">SUM(SUMIFS('caseload data'!V:V,'caseload data'!D:D,"TPO",'caseload data'!A:A,"Wales",'caseload data'!B:B,{"licence","community"}))</f>
        <v>0</v>
      </c>
      <c r="U124" s="64"/>
      <c r="V124" s="64"/>
      <c r="W124" s="474"/>
      <c r="X124" s="129" t="s">
        <v>1003</v>
      </c>
      <c r="Y124" s="167" t="e">
        <f t="shared" si="67"/>
        <v>#DIV/0!</v>
      </c>
      <c r="Z124" s="167" t="e">
        <f t="shared" si="66"/>
        <v>#DIV/0!</v>
      </c>
      <c r="AA124" s="167" t="e">
        <f t="shared" si="66"/>
        <v>#DIV/0!</v>
      </c>
      <c r="AB124" s="167" t="e">
        <f t="shared" si="66"/>
        <v>#DIV/0!</v>
      </c>
      <c r="AC124" s="167" t="e">
        <f t="shared" si="66"/>
        <v>#DIV/0!</v>
      </c>
      <c r="AD124" s="167" t="e">
        <f t="shared" si="66"/>
        <v>#DIV/0!</v>
      </c>
      <c r="AE124" s="167" t="e">
        <f t="shared" si="66"/>
        <v>#DIV/0!</v>
      </c>
      <c r="AF124" s="167" t="e">
        <f t="shared" si="66"/>
        <v>#DIV/0!</v>
      </c>
      <c r="AG124" s="167" t="e">
        <f t="shared" si="66"/>
        <v>#DIV/0!</v>
      </c>
      <c r="AH124" s="167" t="e">
        <f t="shared" si="66"/>
        <v>#DIV/0!</v>
      </c>
      <c r="AI124" s="167" t="e">
        <f t="shared" si="66"/>
        <v>#DIV/0!</v>
      </c>
      <c r="AJ124" s="167" t="e">
        <f t="shared" si="66"/>
        <v>#DIV/0!</v>
      </c>
      <c r="AK124" s="167" t="e">
        <f t="shared" si="66"/>
        <v>#DIV/0!</v>
      </c>
      <c r="AL124" s="167" t="e">
        <f t="shared" si="66"/>
        <v>#DIV/0!</v>
      </c>
      <c r="AM124" s="167" t="e">
        <f t="shared" si="66"/>
        <v>#DIV/0!</v>
      </c>
      <c r="AN124" s="167" t="e">
        <f t="shared" si="66"/>
        <v>#DIV/0!</v>
      </c>
      <c r="AO124" s="167" t="e">
        <f t="shared" si="66"/>
        <v>#DIV/0!</v>
      </c>
    </row>
    <row r="125" spans="2:41" x14ac:dyDescent="0.15">
      <c r="B125" s="474"/>
      <c r="C125" s="129" t="s">
        <v>1004</v>
      </c>
      <c r="D125" s="94" cm="1">
        <f t="array" ref="D125">SUM(SUMIFS('caseload data'!E:E,'caseload data'!$D:$D,"SPO",'caseload data'!$A:$A,"Wales",'caseload data'!$B:$B,{"licence","community"}))</f>
        <v>0</v>
      </c>
      <c r="E125" s="94" cm="1">
        <f t="array" ref="E125">SUM(SUMIFS('caseload data'!F:F,'caseload data'!$D:$D,"SPO",'caseload data'!$A:$A,"Wales",'caseload data'!$B:$B,{"licence","community"}))</f>
        <v>0</v>
      </c>
      <c r="F125" s="94" cm="1">
        <f t="array" ref="F125">SUM(SUMIFS('caseload data'!G:G,'caseload data'!$D:$D,"SPO",'caseload data'!$A:$A,"Wales",'caseload data'!$B:$B,{"licence","community"}))</f>
        <v>0</v>
      </c>
      <c r="G125" s="94" cm="1">
        <f t="array" ref="G125">SUM(SUMIFS('caseload data'!H:H,'caseload data'!$D:$D,"SPO",'caseload data'!$A:$A,"Wales",'caseload data'!$B:$B,{"licence","community"}))</f>
        <v>0</v>
      </c>
      <c r="H125" s="94" cm="1">
        <f t="array" ref="H125">SUM(SUMIFS('caseload data'!I:I,'caseload data'!$D:$D,"SPO",'caseload data'!$A:$A,"Wales",'caseload data'!$B:$B,{"licence","community"}))</f>
        <v>0</v>
      </c>
      <c r="I125" s="94" cm="1">
        <f t="array" ref="I125">SUM(SUMIFS('caseload data'!J:J,'caseload data'!$D:$D,"SPO",'caseload data'!$A:$A,"Wales",'caseload data'!$B:$B,{"licence","community"}))</f>
        <v>0</v>
      </c>
      <c r="J125" s="94" cm="1">
        <f t="array" ref="J125">SUM(SUMIFS('caseload data'!K:K,'caseload data'!$D:$D,"SPO",'caseload data'!$A:$A,"Wales",'caseload data'!$B:$B,{"licence","community"}))</f>
        <v>0</v>
      </c>
      <c r="K125" s="94" cm="1">
        <f t="array" ref="K125">SUM(SUMIFS('caseload data'!L:L,'caseload data'!$D:$D,"SPO",'caseload data'!$A:$A,"Wales",'caseload data'!$B:$B,{"licence","community"}))</f>
        <v>0</v>
      </c>
      <c r="L125" s="94" cm="1">
        <f t="array" ref="L125">SUM(SUMIFS('caseload data'!M:M,'caseload data'!$D:$D,"SPO",'caseload data'!$A:$A,"Wales",'caseload data'!$B:$B,{"licence","community"}))</f>
        <v>0</v>
      </c>
      <c r="M125" s="94" cm="1">
        <f t="array" ref="M125">SUM(SUMIFS('caseload data'!N:N,'caseload data'!$D:$D,"SPO",'caseload data'!$A:$A,"Wales",'caseload data'!$B:$B,{"licence","community"}))</f>
        <v>0</v>
      </c>
      <c r="N125" s="94" cm="1">
        <f t="array" ref="N125">SUM(SUMIFS('caseload data'!O:O,'caseload data'!$D:$D,"SPO",'caseload data'!$A:$A,"Wales",'caseload data'!$B:$B,{"licence","community"}))</f>
        <v>0</v>
      </c>
      <c r="O125" s="94" cm="1">
        <f t="array" ref="O125">SUM(SUMIFS('caseload data'!P:P,'caseload data'!$D:$D,"SPO",'caseload data'!$A:$A,"Wales",'caseload data'!$B:$B,{"licence","community"}))</f>
        <v>0</v>
      </c>
      <c r="P125" s="94" cm="1">
        <f t="array" ref="P125">SUM(SUMIFS('caseload data'!Q:Q,'caseload data'!$D:$D,"SPO",'caseload data'!$A:$A,"Wales",'caseload data'!$B:$B,{"licence","community"}))</f>
        <v>0</v>
      </c>
      <c r="Q125" s="94" cm="1">
        <f t="array" ref="Q125">SUM(SUMIFS('caseload data'!R:R,'caseload data'!$D:$D,"SPO",'caseload data'!$A:$A,"Wales",'caseload data'!$B:$B,{"licence","community"}))</f>
        <v>0</v>
      </c>
      <c r="R125" s="94" cm="1">
        <f t="array" ref="R125">SUM(SUMIFS('caseload data'!S:S,'caseload data'!$D:$D,"SPO",'caseload data'!$A:$A,"Wales",'caseload data'!$B:$B,{"licence","community"}))</f>
        <v>0</v>
      </c>
      <c r="S125" s="94" cm="1">
        <f t="array" ref="S125">SUM(SUMIFS('caseload data'!T:T,'caseload data'!$D:$D,"SPO",'caseload data'!$A:$A,"Wales",'caseload data'!$B:$B,{"licence","community"}))</f>
        <v>0</v>
      </c>
      <c r="T125" s="94" cm="1">
        <f t="array" ref="T125">SUM(SUMIFS('caseload data'!V:V,'caseload data'!$D:$D,"SPO",'caseload data'!$A:$A,"Wales",'caseload data'!$B:$B,{"licence","community"}))</f>
        <v>0</v>
      </c>
      <c r="U125" s="64"/>
      <c r="V125" s="64"/>
      <c r="W125" s="474"/>
      <c r="X125" s="129" t="s">
        <v>1004</v>
      </c>
      <c r="Y125" s="167" t="e">
        <f t="shared" si="67"/>
        <v>#DIV/0!</v>
      </c>
      <c r="Z125" s="167" t="e">
        <f t="shared" si="66"/>
        <v>#DIV/0!</v>
      </c>
      <c r="AA125" s="167" t="e">
        <f t="shared" si="66"/>
        <v>#DIV/0!</v>
      </c>
      <c r="AB125" s="167" t="e">
        <f t="shared" si="66"/>
        <v>#DIV/0!</v>
      </c>
      <c r="AC125" s="167" t="e">
        <f t="shared" si="66"/>
        <v>#DIV/0!</v>
      </c>
      <c r="AD125" s="167" t="e">
        <f t="shared" si="66"/>
        <v>#DIV/0!</v>
      </c>
      <c r="AE125" s="167" t="e">
        <f t="shared" si="66"/>
        <v>#DIV/0!</v>
      </c>
      <c r="AF125" s="167" t="e">
        <f t="shared" si="66"/>
        <v>#DIV/0!</v>
      </c>
      <c r="AG125" s="167" t="e">
        <f t="shared" si="66"/>
        <v>#DIV/0!</v>
      </c>
      <c r="AH125" s="167" t="e">
        <f t="shared" si="66"/>
        <v>#DIV/0!</v>
      </c>
      <c r="AI125" s="167" t="e">
        <f t="shared" si="66"/>
        <v>#DIV/0!</v>
      </c>
      <c r="AJ125" s="167" t="e">
        <f t="shared" si="66"/>
        <v>#DIV/0!</v>
      </c>
      <c r="AK125" s="167" t="e">
        <f t="shared" si="66"/>
        <v>#DIV/0!</v>
      </c>
      <c r="AL125" s="167" t="e">
        <f t="shared" si="66"/>
        <v>#DIV/0!</v>
      </c>
      <c r="AM125" s="167" t="e">
        <f t="shared" si="66"/>
        <v>#DIV/0!</v>
      </c>
      <c r="AN125" s="167" t="e">
        <f t="shared" si="66"/>
        <v>#DIV/0!</v>
      </c>
      <c r="AO125" s="167" t="e">
        <f t="shared" si="66"/>
        <v>#DIV/0!</v>
      </c>
    </row>
    <row r="126" spans="2:41" x14ac:dyDescent="0.15">
      <c r="B126" s="475"/>
      <c r="C126" s="130" t="s">
        <v>1339</v>
      </c>
      <c r="D126" s="94" cm="1">
        <f t="array" ref="D126">SUM(SUMIFS('caseload data'!E:E,'caseload data'!$D:$D,"DMY",'caseload data'!$A:$A,"Wales",'caseload data'!$B:$B,{"licence","community"}))</f>
        <v>0</v>
      </c>
      <c r="E126" s="94" cm="1">
        <f t="array" ref="E126">SUM(SUMIFS('caseload data'!F:F,'caseload data'!$D:$D,"DMY",'caseload data'!$A:$A,"Wales",'caseload data'!$B:$B,{"licence","community"}))</f>
        <v>0</v>
      </c>
      <c r="F126" s="94" cm="1">
        <f t="array" ref="F126">SUM(SUMIFS('caseload data'!G:G,'caseload data'!$D:$D,"DMY",'caseload data'!$A:$A,"Wales",'caseload data'!$B:$B,{"licence","community"}))</f>
        <v>0</v>
      </c>
      <c r="G126" s="94" cm="1">
        <f t="array" ref="G126">SUM(SUMIFS('caseload data'!H:H,'caseload data'!$D:$D,"DMY",'caseload data'!$A:$A,"Wales",'caseload data'!$B:$B,{"licence","community"}))</f>
        <v>0</v>
      </c>
      <c r="H126" s="94" cm="1">
        <f t="array" ref="H126">SUM(SUMIFS('caseload data'!I:I,'caseload data'!$D:$D,"DMY",'caseload data'!$A:$A,"Wales",'caseload data'!$B:$B,{"licence","community"}))</f>
        <v>0</v>
      </c>
      <c r="I126" s="94" cm="1">
        <f t="array" ref="I126">SUM(SUMIFS('caseload data'!J:J,'caseload data'!$D:$D,"DMY",'caseload data'!$A:$A,"Wales",'caseload data'!$B:$B,{"licence","community"}))</f>
        <v>0</v>
      </c>
      <c r="J126" s="94" cm="1">
        <f t="array" ref="J126">SUM(SUMIFS('caseload data'!K:K,'caseload data'!$D:$D,"DMY",'caseload data'!$A:$A,"Wales",'caseload data'!$B:$B,{"licence","community"}))</f>
        <v>0</v>
      </c>
      <c r="K126" s="94" cm="1">
        <f t="array" ref="K126">SUM(SUMIFS('caseload data'!L:L,'caseload data'!$D:$D,"DMY",'caseload data'!$A:$A,"Wales",'caseload data'!$B:$B,{"licence","community"}))</f>
        <v>0</v>
      </c>
      <c r="L126" s="94" cm="1">
        <f t="array" ref="L126">SUM(SUMIFS('caseload data'!M:M,'caseload data'!$D:$D,"DMY",'caseload data'!$A:$A,"Wales",'caseload data'!$B:$B,{"licence","community"}))</f>
        <v>0</v>
      </c>
      <c r="M126" s="94" cm="1">
        <f t="array" ref="M126">SUM(SUMIFS('caseload data'!N:N,'caseload data'!$D:$D,"DMY",'caseload data'!$A:$A,"Wales",'caseload data'!$B:$B,{"licence","community"}))</f>
        <v>0</v>
      </c>
      <c r="N126" s="94" cm="1">
        <f t="array" ref="N126">SUM(SUMIFS('caseload data'!O:O,'caseload data'!$D:$D,"DMY",'caseload data'!$A:$A,"Wales",'caseload data'!$B:$B,{"licence","community"}))</f>
        <v>0</v>
      </c>
      <c r="O126" s="94" cm="1">
        <f t="array" ref="O126">SUM(SUMIFS('caseload data'!P:P,'caseload data'!$D:$D,"DMY",'caseload data'!$A:$A,"Wales",'caseload data'!$B:$B,{"licence","community"}))</f>
        <v>0</v>
      </c>
      <c r="P126" s="94" cm="1">
        <f t="array" ref="P126">SUM(SUMIFS('caseload data'!Q:Q,'caseload data'!$D:$D,"DMY",'caseload data'!$A:$A,"Wales",'caseload data'!$B:$B,{"licence","community"}))</f>
        <v>0</v>
      </c>
      <c r="Q126" s="94" cm="1">
        <f t="array" ref="Q126">SUM(SUMIFS('caseload data'!R:R,'caseload data'!$D:$D,"DMY",'caseload data'!$A:$A,"Wales",'caseload data'!$B:$B,{"licence","community"}))</f>
        <v>0</v>
      </c>
      <c r="R126" s="94" cm="1">
        <f t="array" ref="R126">SUM(SUMIFS('caseload data'!S:S,'caseload data'!$D:$D,"DMY",'caseload data'!$A:$A,"Wales",'caseload data'!$B:$B,{"licence","community"}))</f>
        <v>0</v>
      </c>
      <c r="S126" s="94" cm="1">
        <f t="array" ref="S126">SUM(SUMIFS('caseload data'!T:T,'caseload data'!$D:$D,"DMY",'caseload data'!$A:$A,"Wales",'caseload data'!$B:$B,{"licence","community"}))</f>
        <v>0</v>
      </c>
      <c r="T126" s="94" cm="1">
        <f t="array" ref="T126">SUM(SUMIFS('caseload data'!V:V,'caseload data'!$D:$D,"DMY",'caseload data'!$A:$A,"Wales",'caseload data'!$B:$B,{"licence","community"}))</f>
        <v>0</v>
      </c>
      <c r="U126" s="64"/>
      <c r="V126" s="64"/>
      <c r="W126" s="475"/>
      <c r="X126" s="130" t="s">
        <v>1339</v>
      </c>
      <c r="Y126" s="167" t="e">
        <f t="shared" si="67"/>
        <v>#DIV/0!</v>
      </c>
      <c r="Z126" s="167" t="e">
        <f t="shared" si="66"/>
        <v>#DIV/0!</v>
      </c>
      <c r="AA126" s="167" t="e">
        <f t="shared" si="66"/>
        <v>#DIV/0!</v>
      </c>
      <c r="AB126" s="167" t="e">
        <f t="shared" si="66"/>
        <v>#DIV/0!</v>
      </c>
      <c r="AC126" s="167" t="e">
        <f t="shared" si="66"/>
        <v>#DIV/0!</v>
      </c>
      <c r="AD126" s="167" t="e">
        <f t="shared" si="66"/>
        <v>#DIV/0!</v>
      </c>
      <c r="AE126" s="167" t="e">
        <f t="shared" si="66"/>
        <v>#DIV/0!</v>
      </c>
      <c r="AF126" s="167" t="e">
        <f t="shared" si="66"/>
        <v>#DIV/0!</v>
      </c>
      <c r="AG126" s="167" t="e">
        <f t="shared" si="66"/>
        <v>#DIV/0!</v>
      </c>
      <c r="AH126" s="167" t="e">
        <f t="shared" si="66"/>
        <v>#DIV/0!</v>
      </c>
      <c r="AI126" s="167" t="e">
        <f t="shared" si="66"/>
        <v>#DIV/0!</v>
      </c>
      <c r="AJ126" s="167" t="e">
        <f t="shared" si="66"/>
        <v>#DIV/0!</v>
      </c>
      <c r="AK126" s="167" t="e">
        <f t="shared" si="66"/>
        <v>#DIV/0!</v>
      </c>
      <c r="AL126" s="167" t="e">
        <f t="shared" si="66"/>
        <v>#DIV/0!</v>
      </c>
      <c r="AM126" s="167" t="e">
        <f t="shared" si="66"/>
        <v>#DIV/0!</v>
      </c>
      <c r="AN126" s="167" t="e">
        <f t="shared" si="66"/>
        <v>#DIV/0!</v>
      </c>
      <c r="AO126" s="167" t="e">
        <f t="shared" si="66"/>
        <v>#DIV/0!</v>
      </c>
    </row>
    <row r="127" spans="2:41" x14ac:dyDescent="0.15">
      <c r="B127" s="473" t="s">
        <v>27</v>
      </c>
      <c r="C127" s="128" t="s">
        <v>997</v>
      </c>
      <c r="D127" s="94" cm="1">
        <f t="array" ref="D127">SUM(SUMIFS('caseload data'!E:E,'caseload data'!$D:$D,"PO",'caseload data'!$A:$A,$B$127,'caseload data'!$B:$B,{"licence","community"}))</f>
        <v>0</v>
      </c>
      <c r="E127" s="94" cm="1">
        <f t="array" ref="E127">SUM(SUMIFS('caseload data'!F:F,'caseload data'!$D:$D,"PO",'caseload data'!$A:$A,$B$127,'caseload data'!$B:$B,{"licence","community"}))</f>
        <v>0</v>
      </c>
      <c r="F127" s="94" cm="1">
        <f t="array" ref="F127">SUM(SUMIFS('caseload data'!G:G,'caseload data'!$D:$D,"PO",'caseload data'!$A:$A,$B$127,'caseload data'!$B:$B,{"licence","community"}))</f>
        <v>0</v>
      </c>
      <c r="G127" s="94" cm="1">
        <f t="array" ref="G127">SUM(SUMIFS('caseload data'!H:H,'caseload data'!$D:$D,"PO",'caseload data'!$A:$A,$B$127,'caseload data'!$B:$B,{"licence","community"}))</f>
        <v>0</v>
      </c>
      <c r="H127" s="94" cm="1">
        <f t="array" ref="H127">SUM(SUMIFS('caseload data'!I:I,'caseload data'!$D:$D,"PO",'caseload data'!$A:$A,$B$127,'caseload data'!$B:$B,{"licence","community"}))</f>
        <v>0</v>
      </c>
      <c r="I127" s="94" cm="1">
        <f t="array" ref="I127">SUM(SUMIFS('caseload data'!J:J,'caseload data'!$D:$D,"PO",'caseload data'!$A:$A,$B$127,'caseload data'!$B:$B,{"licence","community"}))</f>
        <v>0</v>
      </c>
      <c r="J127" s="94" cm="1">
        <f t="array" ref="J127">SUM(SUMIFS('caseload data'!K:K,'caseload data'!$D:$D,"PO",'caseload data'!$A:$A,$B$127,'caseload data'!$B:$B,{"licence","community"}))</f>
        <v>0</v>
      </c>
      <c r="K127" s="94" cm="1">
        <f t="array" ref="K127">SUM(SUMIFS('caseload data'!L:L,'caseload data'!$D:$D,"PO",'caseload data'!$A:$A,$B$127,'caseload data'!$B:$B,{"licence","community"}))</f>
        <v>0</v>
      </c>
      <c r="L127" s="94" cm="1">
        <f t="array" ref="L127">SUM(SUMIFS('caseload data'!M:M,'caseload data'!$D:$D,"PO",'caseload data'!$A:$A,$B$127,'caseload data'!$B:$B,{"licence","community"}))</f>
        <v>0</v>
      </c>
      <c r="M127" s="94" cm="1">
        <f t="array" ref="M127">SUM(SUMIFS('caseload data'!N:N,'caseload data'!$D:$D,"PO",'caseload data'!$A:$A,$B$127,'caseload data'!$B:$B,{"licence","community"}))</f>
        <v>0</v>
      </c>
      <c r="N127" s="94" cm="1">
        <f t="array" ref="N127">SUM(SUMIFS('caseload data'!O:O,'caseload data'!$D:$D,"PO",'caseload data'!$A:$A,$B$127,'caseload data'!$B:$B,{"licence","community"}))</f>
        <v>0</v>
      </c>
      <c r="O127" s="94" cm="1">
        <f t="array" ref="O127">SUM(SUMIFS('caseload data'!P:P,'caseload data'!$D:$D,"PO",'caseload data'!$A:$A,$B$127,'caseload data'!$B:$B,{"licence","community"}))</f>
        <v>0</v>
      </c>
      <c r="P127" s="94" cm="1">
        <f t="array" ref="P127">SUM(SUMIFS('caseload data'!Q:Q,'caseload data'!$D:$D,"PO",'caseload data'!$A:$A,$B$127,'caseload data'!$B:$B,{"licence","community"}))</f>
        <v>0</v>
      </c>
      <c r="Q127" s="94" cm="1">
        <f t="array" ref="Q127">SUM(SUMIFS('caseload data'!R:R,'caseload data'!$D:$D,"PO",'caseload data'!$A:$A,$B$127,'caseload data'!$B:$B,{"licence","community"}))</f>
        <v>0</v>
      </c>
      <c r="R127" s="94" cm="1">
        <f t="array" ref="R127">SUM(SUMIFS('caseload data'!S:S,'caseload data'!$D:$D,"PO",'caseload data'!$A:$A,$B$127,'caseload data'!$B:$B,{"licence","community"}))</f>
        <v>0</v>
      </c>
      <c r="S127" s="94" cm="1">
        <f t="array" ref="S127">SUM(SUMIFS('caseload data'!T:T,'caseload data'!$D:$D,"PO",'caseload data'!$A:$A,$B$127,'caseload data'!$B:$B,{"licence","community"}))</f>
        <v>0</v>
      </c>
      <c r="T127" s="94">
        <f>SUM(SUMIFS('caseload data'!V:V,'caseload data'!D:D,"PO",'caseload data'!A:A,B127,'caseload data'!B:B,{"licence","community"}))</f>
        <v>0</v>
      </c>
      <c r="U127" s="64"/>
      <c r="V127" s="64"/>
      <c r="W127" s="473" t="s">
        <v>27</v>
      </c>
      <c r="X127" s="128" t="s">
        <v>997</v>
      </c>
      <c r="Y127" s="167" t="e">
        <f>SUM(D127)/SUM(D$13:D$127)</f>
        <v>#DIV/0!</v>
      </c>
      <c r="Z127" s="167" t="e">
        <f t="shared" ref="Z127:AO131" si="68">SUM(E127)/SUM(E$13:E$127)</f>
        <v>#DIV/0!</v>
      </c>
      <c r="AA127" s="167" t="e">
        <f t="shared" si="68"/>
        <v>#DIV/0!</v>
      </c>
      <c r="AB127" s="167" t="e">
        <f t="shared" si="68"/>
        <v>#DIV/0!</v>
      </c>
      <c r="AC127" s="167" t="e">
        <f t="shared" si="68"/>
        <v>#DIV/0!</v>
      </c>
      <c r="AD127" s="167" t="e">
        <f t="shared" si="68"/>
        <v>#DIV/0!</v>
      </c>
      <c r="AE127" s="167" t="e">
        <f t="shared" si="68"/>
        <v>#DIV/0!</v>
      </c>
      <c r="AF127" s="167" t="e">
        <f t="shared" si="68"/>
        <v>#DIV/0!</v>
      </c>
      <c r="AG127" s="167" t="e">
        <f t="shared" si="68"/>
        <v>#DIV/0!</v>
      </c>
      <c r="AH127" s="167" t="e">
        <f t="shared" si="68"/>
        <v>#DIV/0!</v>
      </c>
      <c r="AI127" s="167" t="e">
        <f t="shared" si="68"/>
        <v>#DIV/0!</v>
      </c>
      <c r="AJ127" s="167" t="e">
        <f t="shared" si="68"/>
        <v>#DIV/0!</v>
      </c>
      <c r="AK127" s="167" t="e">
        <f t="shared" si="68"/>
        <v>#DIV/0!</v>
      </c>
      <c r="AL127" s="167" t="e">
        <f t="shared" si="68"/>
        <v>#DIV/0!</v>
      </c>
      <c r="AM127" s="167" t="e">
        <f t="shared" si="68"/>
        <v>#DIV/0!</v>
      </c>
      <c r="AN127" s="167" t="e">
        <f t="shared" si="68"/>
        <v>#DIV/0!</v>
      </c>
      <c r="AO127" s="167" t="e">
        <f t="shared" si="68"/>
        <v>#DIV/0!</v>
      </c>
    </row>
    <row r="128" spans="2:41" x14ac:dyDescent="0.15">
      <c r="B128" s="474"/>
      <c r="C128" s="129" t="s">
        <v>1002</v>
      </c>
      <c r="D128" s="94" cm="1">
        <f t="array" ref="D128">SUM(SUMIFS('caseload data'!E:E,'caseload data'!$D:$D,"PSO",'caseload data'!$A:$A,"West Midlands Region",'caseload data'!$B:$B,{"licence","community"}))</f>
        <v>0</v>
      </c>
      <c r="E128" s="94" cm="1">
        <f t="array" ref="E128">SUM(SUMIFS('caseload data'!F:F,'caseload data'!$D:$D,"PSO",'caseload data'!$A:$A,"West Midlands Region",'caseload data'!$B:$B,{"licence","community"}))</f>
        <v>0</v>
      </c>
      <c r="F128" s="94" cm="1">
        <f t="array" ref="F128">SUM(SUMIFS('caseload data'!G:G,'caseload data'!$D:$D,"PSO",'caseload data'!$A:$A,"West Midlands Region",'caseload data'!$B:$B,{"licence","community"}))</f>
        <v>0</v>
      </c>
      <c r="G128" s="94" cm="1">
        <f t="array" ref="G128">SUM(SUMIFS('caseload data'!H:H,'caseload data'!$D:$D,"PSO",'caseload data'!$A:$A,"West Midlands Region",'caseload data'!$B:$B,{"licence","community"}))</f>
        <v>0</v>
      </c>
      <c r="H128" s="94" cm="1">
        <f t="array" ref="H128">SUM(SUMIFS('caseload data'!I:I,'caseload data'!$D:$D,"PSO",'caseload data'!$A:$A,"West Midlands Region",'caseload data'!$B:$B,{"licence","community"}))</f>
        <v>0</v>
      </c>
      <c r="I128" s="94" cm="1">
        <f t="array" ref="I128">SUM(SUMIFS('caseload data'!J:J,'caseload data'!$D:$D,"PSO",'caseload data'!$A:$A,"West Midlands Region",'caseload data'!$B:$B,{"licence","community"}))</f>
        <v>0</v>
      </c>
      <c r="J128" s="94" cm="1">
        <f t="array" ref="J128">SUM(SUMIFS('caseload data'!K:K,'caseload data'!$D:$D,"PSO",'caseload data'!$A:$A,"West Midlands Region",'caseload data'!$B:$B,{"licence","community"}))</f>
        <v>0</v>
      </c>
      <c r="K128" s="94" cm="1">
        <f t="array" ref="K128">SUM(SUMIFS('caseload data'!L:L,'caseload data'!$D:$D,"PSO",'caseload data'!$A:$A,"West Midlands Region",'caseload data'!$B:$B,{"licence","community"}))</f>
        <v>0</v>
      </c>
      <c r="L128" s="94" cm="1">
        <f t="array" ref="L128">SUM(SUMIFS('caseload data'!M:M,'caseload data'!$D:$D,"PSO",'caseload data'!$A:$A,"West Midlands Region",'caseload data'!$B:$B,{"licence","community"}))</f>
        <v>0</v>
      </c>
      <c r="M128" s="94" cm="1">
        <f t="array" ref="M128">SUM(SUMIFS('caseload data'!N:N,'caseload data'!$D:$D,"PSO",'caseload data'!$A:$A,"West Midlands Region",'caseload data'!$B:$B,{"licence","community"}))</f>
        <v>0</v>
      </c>
      <c r="N128" s="94" cm="1">
        <f t="array" ref="N128">SUM(SUMIFS('caseload data'!O:O,'caseload data'!$D:$D,"PSO",'caseload data'!$A:$A,"West Midlands Region",'caseload data'!$B:$B,{"licence","community"}))</f>
        <v>0</v>
      </c>
      <c r="O128" s="94" cm="1">
        <f t="array" ref="O128">SUM(SUMIFS('caseload data'!P:P,'caseload data'!$D:$D,"PSO",'caseload data'!$A:$A,"West Midlands Region",'caseload data'!$B:$B,{"licence","community"}))</f>
        <v>0</v>
      </c>
      <c r="P128" s="94" cm="1">
        <f t="array" ref="P128">SUM(SUMIFS('caseload data'!Q:Q,'caseload data'!$D:$D,"PSO",'caseload data'!$A:$A,"West Midlands Region",'caseload data'!$B:$B,{"licence","community"}))</f>
        <v>0</v>
      </c>
      <c r="Q128" s="94" cm="1">
        <f t="array" ref="Q128">SUM(SUMIFS('caseload data'!R:R,'caseload data'!$D:$D,"PSO",'caseload data'!$A:$A,"West Midlands Region",'caseload data'!$B:$B,{"licence","community"}))</f>
        <v>0</v>
      </c>
      <c r="R128" s="94" cm="1">
        <f t="array" ref="R128">SUM(SUMIFS('caseload data'!S:S,'caseload data'!$D:$D,"PSO",'caseload data'!$A:$A,"West Midlands Region",'caseload data'!$B:$B,{"licence","community"}))</f>
        <v>0</v>
      </c>
      <c r="S128" s="94" cm="1">
        <f t="array" ref="S128">SUM(SUMIFS('caseload data'!T:T,'caseload data'!$D:$D,"PSO",'caseload data'!$A:$A,"West Midlands Region",'caseload data'!$B:$B,{"licence","community"}))</f>
        <v>0</v>
      </c>
      <c r="T128" s="94" cm="1">
        <f t="array" ref="T128">SUM(SUMIFS('caseload data'!V:V,'caseload data'!$D:$D,"PSO",'caseload data'!$A:$A,"West Midlands Region",'caseload data'!$B:$B,{"licence","community"}))</f>
        <v>0</v>
      </c>
      <c r="U128" s="64"/>
      <c r="V128" s="64"/>
      <c r="W128" s="474"/>
      <c r="X128" s="129" t="s">
        <v>1002</v>
      </c>
      <c r="Y128" s="167" t="e">
        <f t="shared" ref="Y128:Y131" si="69">SUM(D128)/SUM(D$13:D$127)</f>
        <v>#DIV/0!</v>
      </c>
      <c r="Z128" s="167" t="e">
        <f t="shared" si="68"/>
        <v>#DIV/0!</v>
      </c>
      <c r="AA128" s="167" t="e">
        <f t="shared" si="68"/>
        <v>#DIV/0!</v>
      </c>
      <c r="AB128" s="167" t="e">
        <f t="shared" si="68"/>
        <v>#DIV/0!</v>
      </c>
      <c r="AC128" s="167" t="e">
        <f t="shared" si="68"/>
        <v>#DIV/0!</v>
      </c>
      <c r="AD128" s="167" t="e">
        <f t="shared" si="68"/>
        <v>#DIV/0!</v>
      </c>
      <c r="AE128" s="167" t="e">
        <f t="shared" si="68"/>
        <v>#DIV/0!</v>
      </c>
      <c r="AF128" s="167" t="e">
        <f t="shared" si="68"/>
        <v>#DIV/0!</v>
      </c>
      <c r="AG128" s="167" t="e">
        <f t="shared" si="68"/>
        <v>#DIV/0!</v>
      </c>
      <c r="AH128" s="167" t="e">
        <f t="shared" si="68"/>
        <v>#DIV/0!</v>
      </c>
      <c r="AI128" s="167" t="e">
        <f t="shared" si="68"/>
        <v>#DIV/0!</v>
      </c>
      <c r="AJ128" s="167" t="e">
        <f t="shared" si="68"/>
        <v>#DIV/0!</v>
      </c>
      <c r="AK128" s="167" t="e">
        <f t="shared" si="68"/>
        <v>#DIV/0!</v>
      </c>
      <c r="AL128" s="167" t="e">
        <f t="shared" si="68"/>
        <v>#DIV/0!</v>
      </c>
      <c r="AM128" s="167" t="e">
        <f t="shared" si="68"/>
        <v>#DIV/0!</v>
      </c>
      <c r="AN128" s="167" t="e">
        <f t="shared" si="68"/>
        <v>#DIV/0!</v>
      </c>
      <c r="AO128" s="167" t="e">
        <f t="shared" si="68"/>
        <v>#DIV/0!</v>
      </c>
    </row>
    <row r="129" spans="2:41" x14ac:dyDescent="0.15">
      <c r="B129" s="474"/>
      <c r="C129" s="129" t="s">
        <v>1003</v>
      </c>
      <c r="D129" s="94" cm="1">
        <f t="array" ref="D129">SUM(SUMIFS('caseload data'!E:E,'caseload data'!$D:$D,"TPO",'caseload data'!$A:$A,"West Midlands Region",'caseload data'!$B:$B,{"licence","community"}))</f>
        <v>0</v>
      </c>
      <c r="E129" s="94" cm="1">
        <f t="array" ref="E129">SUM(SUMIFS('caseload data'!F:F,'caseload data'!$D:$D,"TPO",'caseload data'!$A:$A,"West Midlands Region",'caseload data'!$B:$B,{"licence","community"}))</f>
        <v>0</v>
      </c>
      <c r="F129" s="94" cm="1">
        <f t="array" ref="F129">SUM(SUMIFS('caseload data'!G:G,'caseload data'!$D:$D,"TPO",'caseload data'!$A:$A,"West Midlands Region",'caseload data'!$B:$B,{"licence","community"}))</f>
        <v>0</v>
      </c>
      <c r="G129" s="94" cm="1">
        <f t="array" ref="G129">SUM(SUMIFS('caseload data'!H:H,'caseload data'!$D:$D,"TPO",'caseload data'!$A:$A,"West Midlands Region",'caseload data'!$B:$B,{"licence","community"}))</f>
        <v>0</v>
      </c>
      <c r="H129" s="94" cm="1">
        <f t="array" ref="H129">SUM(SUMIFS('caseload data'!I:I,'caseload data'!$D:$D,"TPO",'caseload data'!$A:$A,"West Midlands Region",'caseload data'!$B:$B,{"licence","community"}))</f>
        <v>0</v>
      </c>
      <c r="I129" s="94" cm="1">
        <f t="array" ref="I129">SUM(SUMIFS('caseload data'!J:J,'caseload data'!$D:$D,"TPO",'caseload data'!$A:$A,"West Midlands Region",'caseload data'!$B:$B,{"licence","community"}))</f>
        <v>0</v>
      </c>
      <c r="J129" s="94" cm="1">
        <f t="array" ref="J129">SUM(SUMIFS('caseload data'!K:K,'caseload data'!$D:$D,"TPO",'caseload data'!$A:$A,"West Midlands Region",'caseload data'!$B:$B,{"licence","community"}))</f>
        <v>0</v>
      </c>
      <c r="K129" s="94" cm="1">
        <f t="array" ref="K129">SUM(SUMIFS('caseload data'!L:L,'caseload data'!$D:$D,"TPO",'caseload data'!$A:$A,"West Midlands Region",'caseload data'!$B:$B,{"licence","community"}))</f>
        <v>0</v>
      </c>
      <c r="L129" s="94" cm="1">
        <f t="array" ref="L129">SUM(SUMIFS('caseload data'!M:M,'caseload data'!$D:$D,"TPO",'caseload data'!$A:$A,"West Midlands Region",'caseload data'!$B:$B,{"licence","community"}))</f>
        <v>0</v>
      </c>
      <c r="M129" s="94" cm="1">
        <f t="array" ref="M129">SUM(SUMIFS('caseload data'!N:N,'caseload data'!$D:$D,"TPO",'caseload data'!$A:$A,"West Midlands Region",'caseload data'!$B:$B,{"licence","community"}))</f>
        <v>0</v>
      </c>
      <c r="N129" s="94" cm="1">
        <f t="array" ref="N129">SUM(SUMIFS('caseload data'!O:O,'caseload data'!$D:$D,"TPO",'caseload data'!$A:$A,"West Midlands Region",'caseload data'!$B:$B,{"licence","community"}))</f>
        <v>0</v>
      </c>
      <c r="O129" s="94" cm="1">
        <f t="array" ref="O129">SUM(SUMIFS('caseload data'!P:P,'caseload data'!$D:$D,"TPO",'caseload data'!$A:$A,"West Midlands Region",'caseload data'!$B:$B,{"licence","community"}))</f>
        <v>0</v>
      </c>
      <c r="P129" s="94" cm="1">
        <f t="array" ref="P129">SUM(SUMIFS('caseload data'!Q:Q,'caseload data'!$D:$D,"TPO",'caseload data'!$A:$A,"West Midlands Region",'caseload data'!$B:$B,{"licence","community"}))</f>
        <v>0</v>
      </c>
      <c r="Q129" s="94" cm="1">
        <f t="array" ref="Q129">SUM(SUMIFS('caseload data'!R:R,'caseload data'!$D:$D,"TPO",'caseload data'!$A:$A,"West Midlands Region",'caseload data'!$B:$B,{"licence","community"}))</f>
        <v>0</v>
      </c>
      <c r="R129" s="94" cm="1">
        <f t="array" ref="R129">SUM(SUMIFS('caseload data'!S:S,'caseload data'!$D:$D,"TPO",'caseload data'!$A:$A,"West Midlands Region",'caseload data'!$B:$B,{"licence","community"}))</f>
        <v>0</v>
      </c>
      <c r="S129" s="94" cm="1">
        <f t="array" ref="S129">SUM(SUMIFS('caseload data'!T:T,'caseload data'!$D:$D,"TPO",'caseload data'!$A:$A,"West Midlands Region",'caseload data'!$B:$B,{"licence","community"}))</f>
        <v>0</v>
      </c>
      <c r="T129" s="94" cm="1">
        <f t="array" ref="T129">SUM(SUMIFS('caseload data'!V:V,'caseload data'!D:D,"TPO",'caseload data'!A:A,"West Midlands Region",'caseload data'!B:B,{"licence","community"}))</f>
        <v>0</v>
      </c>
      <c r="U129" s="64"/>
      <c r="V129" s="64"/>
      <c r="W129" s="474"/>
      <c r="X129" s="129" t="s">
        <v>1003</v>
      </c>
      <c r="Y129" s="167" t="e">
        <f t="shared" si="69"/>
        <v>#DIV/0!</v>
      </c>
      <c r="Z129" s="167" t="e">
        <f t="shared" si="68"/>
        <v>#DIV/0!</v>
      </c>
      <c r="AA129" s="167" t="e">
        <f t="shared" si="68"/>
        <v>#DIV/0!</v>
      </c>
      <c r="AB129" s="167" t="e">
        <f t="shared" si="68"/>
        <v>#DIV/0!</v>
      </c>
      <c r="AC129" s="167" t="e">
        <f t="shared" si="68"/>
        <v>#DIV/0!</v>
      </c>
      <c r="AD129" s="167" t="e">
        <f t="shared" si="68"/>
        <v>#DIV/0!</v>
      </c>
      <c r="AE129" s="167" t="e">
        <f t="shared" si="68"/>
        <v>#DIV/0!</v>
      </c>
      <c r="AF129" s="167" t="e">
        <f t="shared" si="68"/>
        <v>#DIV/0!</v>
      </c>
      <c r="AG129" s="167" t="e">
        <f t="shared" si="68"/>
        <v>#DIV/0!</v>
      </c>
      <c r="AH129" s="167" t="e">
        <f t="shared" si="68"/>
        <v>#DIV/0!</v>
      </c>
      <c r="AI129" s="167" t="e">
        <f t="shared" si="68"/>
        <v>#DIV/0!</v>
      </c>
      <c r="AJ129" s="167" t="e">
        <f t="shared" si="68"/>
        <v>#DIV/0!</v>
      </c>
      <c r="AK129" s="167" t="e">
        <f t="shared" si="68"/>
        <v>#DIV/0!</v>
      </c>
      <c r="AL129" s="167" t="e">
        <f t="shared" si="68"/>
        <v>#DIV/0!</v>
      </c>
      <c r="AM129" s="167" t="e">
        <f t="shared" si="68"/>
        <v>#DIV/0!</v>
      </c>
      <c r="AN129" s="167" t="e">
        <f t="shared" si="68"/>
        <v>#DIV/0!</v>
      </c>
      <c r="AO129" s="167" t="e">
        <f t="shared" si="68"/>
        <v>#DIV/0!</v>
      </c>
    </row>
    <row r="130" spans="2:41" x14ac:dyDescent="0.15">
      <c r="B130" s="474"/>
      <c r="C130" s="129" t="s">
        <v>1004</v>
      </c>
      <c r="D130" s="94" cm="1">
        <f t="array" ref="D130">SUM(SUMIFS('caseload data'!E:E,'caseload data'!$D:$D,"SPO",'caseload data'!$A:$A,"West Midlands Region",'caseload data'!$B:$B,{"licence","community"}))</f>
        <v>0</v>
      </c>
      <c r="E130" s="94" cm="1">
        <f t="array" ref="E130">SUM(SUMIFS('caseload data'!F:F,'caseload data'!$D:$D,"SPO",'caseload data'!$A:$A,"West Midlands Region",'caseload data'!$B:$B,{"licence","community"}))</f>
        <v>0</v>
      </c>
      <c r="F130" s="94" cm="1">
        <f t="array" ref="F130">SUM(SUMIFS('caseload data'!G:G,'caseload data'!$D:$D,"SPO",'caseload data'!$A:$A,"West Midlands Region",'caseload data'!$B:$B,{"licence","community"}))</f>
        <v>0</v>
      </c>
      <c r="G130" s="94" cm="1">
        <f t="array" ref="G130">SUM(SUMIFS('caseload data'!H:H,'caseload data'!$D:$D,"SPO",'caseload data'!$A:$A,"West Midlands Region",'caseload data'!$B:$B,{"licence","community"}))</f>
        <v>0</v>
      </c>
      <c r="H130" s="94" cm="1">
        <f t="array" ref="H130">SUM(SUMIFS('caseload data'!I:I,'caseload data'!$D:$D,"SPO",'caseload data'!$A:$A,"West Midlands Region",'caseload data'!$B:$B,{"licence","community"}))</f>
        <v>0</v>
      </c>
      <c r="I130" s="94" cm="1">
        <f t="array" ref="I130">SUM(SUMIFS('caseload data'!J:J,'caseload data'!$D:$D,"SPO",'caseload data'!$A:$A,"West Midlands Region",'caseload data'!$B:$B,{"licence","community"}))</f>
        <v>0</v>
      </c>
      <c r="J130" s="94" cm="1">
        <f t="array" ref="J130">SUM(SUMIFS('caseload data'!K:K,'caseload data'!$D:$D,"SPO",'caseload data'!$A:$A,"West Midlands Region",'caseload data'!$B:$B,{"licence","community"}))</f>
        <v>0</v>
      </c>
      <c r="K130" s="94" cm="1">
        <f t="array" ref="K130">SUM(SUMIFS('caseload data'!L:L,'caseload data'!$D:$D,"SPO",'caseload data'!$A:$A,"West Midlands Region",'caseload data'!$B:$B,{"licence","community"}))</f>
        <v>0</v>
      </c>
      <c r="L130" s="94" cm="1">
        <f t="array" ref="L130">SUM(SUMIFS('caseload data'!M:M,'caseload data'!$D:$D,"SPO",'caseload data'!$A:$A,"West Midlands Region",'caseload data'!$B:$B,{"licence","community"}))</f>
        <v>0</v>
      </c>
      <c r="M130" s="94" cm="1">
        <f t="array" ref="M130">SUM(SUMIFS('caseload data'!N:N,'caseload data'!$D:$D,"SPO",'caseload data'!$A:$A,"West Midlands Region",'caseload data'!$B:$B,{"licence","community"}))</f>
        <v>0</v>
      </c>
      <c r="N130" s="94" cm="1">
        <f t="array" ref="N130">SUM(SUMIFS('caseload data'!O:O,'caseload data'!$D:$D,"SPO",'caseload data'!$A:$A,"West Midlands Region",'caseload data'!$B:$B,{"licence","community"}))</f>
        <v>0</v>
      </c>
      <c r="O130" s="94" cm="1">
        <f t="array" ref="O130">SUM(SUMIFS('caseload data'!P:P,'caseload data'!$D:$D,"SPO",'caseload data'!$A:$A,"West Midlands Region",'caseload data'!$B:$B,{"licence","community"}))</f>
        <v>0</v>
      </c>
      <c r="P130" s="94" cm="1">
        <f t="array" ref="P130">SUM(SUMIFS('caseload data'!Q:Q,'caseload data'!$D:$D,"SPO",'caseload data'!$A:$A,"West Midlands Region",'caseload data'!$B:$B,{"licence","community"}))</f>
        <v>0</v>
      </c>
      <c r="Q130" s="94" cm="1">
        <f t="array" ref="Q130">SUM(SUMIFS('caseload data'!R:R,'caseload data'!$D:$D,"SPO",'caseload data'!$A:$A,"West Midlands Region",'caseload data'!$B:$B,{"licence","community"}))</f>
        <v>0</v>
      </c>
      <c r="R130" s="94" cm="1">
        <f t="array" ref="R130">SUM(SUMIFS('caseload data'!S:S,'caseload data'!$D:$D,"SPO",'caseload data'!$A:$A,"West Midlands Region",'caseload data'!$B:$B,{"licence","community"}))</f>
        <v>0</v>
      </c>
      <c r="S130" s="94" cm="1">
        <f t="array" ref="S130">SUM(SUMIFS('caseload data'!T:T,'caseload data'!$D:$D,"SPO",'caseload data'!$A:$A,"West Midlands Region",'caseload data'!$B:$B,{"licence","community"}))</f>
        <v>0</v>
      </c>
      <c r="T130" s="94" cm="1">
        <f t="array" ref="T130">SUM(SUMIFS('caseload data'!V:V,'caseload data'!$D:$D,"SPO",'caseload data'!$A:$A,"West Midlands Region",'caseload data'!$B:$B,{"licence","community"}))</f>
        <v>0</v>
      </c>
      <c r="U130" s="64"/>
      <c r="V130" s="64"/>
      <c r="W130" s="474"/>
      <c r="X130" s="129" t="s">
        <v>1004</v>
      </c>
      <c r="Y130" s="167" t="e">
        <f t="shared" si="69"/>
        <v>#DIV/0!</v>
      </c>
      <c r="Z130" s="167" t="e">
        <f t="shared" si="68"/>
        <v>#DIV/0!</v>
      </c>
      <c r="AA130" s="167" t="e">
        <f t="shared" si="68"/>
        <v>#DIV/0!</v>
      </c>
      <c r="AB130" s="167" t="e">
        <f t="shared" si="68"/>
        <v>#DIV/0!</v>
      </c>
      <c r="AC130" s="167" t="e">
        <f t="shared" si="68"/>
        <v>#DIV/0!</v>
      </c>
      <c r="AD130" s="167" t="e">
        <f t="shared" si="68"/>
        <v>#DIV/0!</v>
      </c>
      <c r="AE130" s="167" t="e">
        <f t="shared" si="68"/>
        <v>#DIV/0!</v>
      </c>
      <c r="AF130" s="167" t="e">
        <f t="shared" si="68"/>
        <v>#DIV/0!</v>
      </c>
      <c r="AG130" s="167" t="e">
        <f t="shared" si="68"/>
        <v>#DIV/0!</v>
      </c>
      <c r="AH130" s="167" t="e">
        <f t="shared" si="68"/>
        <v>#DIV/0!</v>
      </c>
      <c r="AI130" s="167" t="e">
        <f t="shared" si="68"/>
        <v>#DIV/0!</v>
      </c>
      <c r="AJ130" s="167" t="e">
        <f t="shared" si="68"/>
        <v>#DIV/0!</v>
      </c>
      <c r="AK130" s="167" t="e">
        <f t="shared" si="68"/>
        <v>#DIV/0!</v>
      </c>
      <c r="AL130" s="167" t="e">
        <f t="shared" si="68"/>
        <v>#DIV/0!</v>
      </c>
      <c r="AM130" s="167" t="e">
        <f t="shared" si="68"/>
        <v>#DIV/0!</v>
      </c>
      <c r="AN130" s="167" t="e">
        <f t="shared" si="68"/>
        <v>#DIV/0!</v>
      </c>
      <c r="AO130" s="167" t="e">
        <f t="shared" si="68"/>
        <v>#DIV/0!</v>
      </c>
    </row>
    <row r="131" spans="2:41" x14ac:dyDescent="0.15">
      <c r="B131" s="475"/>
      <c r="C131" s="130" t="s">
        <v>1339</v>
      </c>
      <c r="D131" s="94" cm="1">
        <f t="array" ref="D131">SUM(SUMIFS('caseload data'!E:E,'caseload data'!$D:$D,"DMY",'caseload data'!$A:$A,"West Midlands Region",'caseload data'!$B:$B,{"licence","community"}))</f>
        <v>0</v>
      </c>
      <c r="E131" s="94" cm="1">
        <f t="array" ref="E131">SUM(SUMIFS('caseload data'!F:F,'caseload data'!$D:$D,"DMY",'caseload data'!$A:$A,"West Midlands Region",'caseload data'!$B:$B,{"licence","community"}))</f>
        <v>0</v>
      </c>
      <c r="F131" s="94" cm="1">
        <f t="array" ref="F131">SUM(SUMIFS('caseload data'!G:G,'caseload data'!$D:$D,"DMY",'caseload data'!$A:$A,"West Midlands Region",'caseload data'!$B:$B,{"licence","community"}))</f>
        <v>0</v>
      </c>
      <c r="G131" s="94" cm="1">
        <f t="array" ref="G131">SUM(SUMIFS('caseload data'!H:H,'caseload data'!$D:$D,"DMY",'caseload data'!$A:$A,"West Midlands Region",'caseload data'!$B:$B,{"licence","community"}))</f>
        <v>0</v>
      </c>
      <c r="H131" s="94" cm="1">
        <f t="array" ref="H131">SUM(SUMIFS('caseload data'!I:I,'caseload data'!$D:$D,"DMY",'caseload data'!$A:$A,"West Midlands Region",'caseload data'!$B:$B,{"licence","community"}))</f>
        <v>0</v>
      </c>
      <c r="I131" s="94" cm="1">
        <f t="array" ref="I131">SUM(SUMIFS('caseload data'!J:J,'caseload data'!$D:$D,"DMY",'caseload data'!$A:$A,"West Midlands Region",'caseload data'!$B:$B,{"licence","community"}))</f>
        <v>0</v>
      </c>
      <c r="J131" s="94" cm="1">
        <f t="array" ref="J131">SUM(SUMIFS('caseload data'!K:K,'caseload data'!$D:$D,"DMY",'caseload data'!$A:$A,"West Midlands Region",'caseload data'!$B:$B,{"licence","community"}))</f>
        <v>0</v>
      </c>
      <c r="K131" s="94" cm="1">
        <f t="array" ref="K131">SUM(SUMIFS('caseload data'!L:L,'caseload data'!$D:$D,"DMY",'caseload data'!$A:$A,"West Midlands Region",'caseload data'!$B:$B,{"licence","community"}))</f>
        <v>0</v>
      </c>
      <c r="L131" s="94" cm="1">
        <f t="array" ref="L131">SUM(SUMIFS('caseload data'!M:M,'caseload data'!$D:$D,"DMY",'caseload data'!$A:$A,"West Midlands Region",'caseload data'!$B:$B,{"licence","community"}))</f>
        <v>0</v>
      </c>
      <c r="M131" s="94" cm="1">
        <f t="array" ref="M131">SUM(SUMIFS('caseload data'!N:N,'caseload data'!$D:$D,"DMY",'caseload data'!$A:$A,"West Midlands Region",'caseload data'!$B:$B,{"licence","community"}))</f>
        <v>0</v>
      </c>
      <c r="N131" s="94" cm="1">
        <f t="array" ref="N131">SUM(SUMIFS('caseload data'!O:O,'caseload data'!$D:$D,"DMY",'caseload data'!$A:$A,"West Midlands Region",'caseload data'!$B:$B,{"licence","community"}))</f>
        <v>0</v>
      </c>
      <c r="O131" s="94" cm="1">
        <f t="array" ref="O131">SUM(SUMIFS('caseload data'!P:P,'caseload data'!$D:$D,"DMY",'caseload data'!$A:$A,"West Midlands Region",'caseload data'!$B:$B,{"licence","community"}))</f>
        <v>0</v>
      </c>
      <c r="P131" s="94" cm="1">
        <f t="array" ref="P131">SUM(SUMIFS('caseload data'!Q:Q,'caseload data'!$D:$D,"DMY",'caseload data'!$A:$A,"West Midlands Region",'caseload data'!$B:$B,{"licence","community"}))</f>
        <v>0</v>
      </c>
      <c r="Q131" s="94" cm="1">
        <f t="array" ref="Q131">SUM(SUMIFS('caseload data'!R:R,'caseload data'!$D:$D,"DMY",'caseload data'!$A:$A,"West Midlands Region",'caseload data'!$B:$B,{"licence","community"}))</f>
        <v>0</v>
      </c>
      <c r="R131" s="94" cm="1">
        <f t="array" ref="R131">SUM(SUMIFS('caseload data'!S:S,'caseload data'!$D:$D,"DMY",'caseload data'!$A:$A,"West Midlands Region",'caseload data'!$B:$B,{"licence","community"}))</f>
        <v>0</v>
      </c>
      <c r="S131" s="94" cm="1">
        <f t="array" ref="S131">SUM(SUMIFS('caseload data'!T:T,'caseload data'!$D:$D,"DMY",'caseload data'!$A:$A,"West Midlands Region",'caseload data'!$B:$B,{"licence","community"}))</f>
        <v>0</v>
      </c>
      <c r="T131" s="94" cm="1">
        <f t="array" ref="T131">SUM(SUMIFS('caseload data'!V:V,'caseload data'!$D:$D,"DMY",'caseload data'!$A:$A,"West Midlands Region",'caseload data'!$B:$B,{"licence","community"}))</f>
        <v>0</v>
      </c>
      <c r="U131" s="64"/>
      <c r="V131" s="64"/>
      <c r="W131" s="475"/>
      <c r="X131" s="130" t="s">
        <v>1339</v>
      </c>
      <c r="Y131" s="167" t="e">
        <f t="shared" si="69"/>
        <v>#DIV/0!</v>
      </c>
      <c r="Z131" s="167" t="e">
        <f t="shared" si="68"/>
        <v>#DIV/0!</v>
      </c>
      <c r="AA131" s="167" t="e">
        <f t="shared" si="68"/>
        <v>#DIV/0!</v>
      </c>
      <c r="AB131" s="167" t="e">
        <f t="shared" si="68"/>
        <v>#DIV/0!</v>
      </c>
      <c r="AC131" s="167" t="e">
        <f t="shared" si="68"/>
        <v>#DIV/0!</v>
      </c>
      <c r="AD131" s="167" t="e">
        <f t="shared" si="68"/>
        <v>#DIV/0!</v>
      </c>
      <c r="AE131" s="167" t="e">
        <f t="shared" si="68"/>
        <v>#DIV/0!</v>
      </c>
      <c r="AF131" s="167" t="e">
        <f t="shared" si="68"/>
        <v>#DIV/0!</v>
      </c>
      <c r="AG131" s="167" t="e">
        <f t="shared" si="68"/>
        <v>#DIV/0!</v>
      </c>
      <c r="AH131" s="167" t="e">
        <f t="shared" si="68"/>
        <v>#DIV/0!</v>
      </c>
      <c r="AI131" s="167" t="e">
        <f t="shared" si="68"/>
        <v>#DIV/0!</v>
      </c>
      <c r="AJ131" s="167" t="e">
        <f t="shared" si="68"/>
        <v>#DIV/0!</v>
      </c>
      <c r="AK131" s="167" t="e">
        <f t="shared" si="68"/>
        <v>#DIV/0!</v>
      </c>
      <c r="AL131" s="167" t="e">
        <f t="shared" si="68"/>
        <v>#DIV/0!</v>
      </c>
      <c r="AM131" s="167" t="e">
        <f t="shared" si="68"/>
        <v>#DIV/0!</v>
      </c>
      <c r="AN131" s="167" t="e">
        <f t="shared" si="68"/>
        <v>#DIV/0!</v>
      </c>
      <c r="AO131" s="167" t="e">
        <f t="shared" si="68"/>
        <v>#DIV/0!</v>
      </c>
    </row>
    <row r="132" spans="2:41" x14ac:dyDescent="0.15">
      <c r="B132" s="473" t="s">
        <v>28</v>
      </c>
      <c r="C132" s="128" t="s">
        <v>997</v>
      </c>
      <c r="D132" s="94" cm="1">
        <f t="array" ref="D132">SUM(SUMIFS('caseload data'!E:E,'caseload data'!$D:$D,"PO",'caseload data'!$A:$A,$B$132,'caseload data'!$B:$B,{"licence","community"}))</f>
        <v>0</v>
      </c>
      <c r="E132" s="94" cm="1">
        <f t="array" ref="E132">SUM(SUMIFS('caseload data'!F:F,'caseload data'!$D:$D,"PO",'caseload data'!$A:$A,$B$132,'caseload data'!$B:$B,{"licence","community"}))</f>
        <v>0</v>
      </c>
      <c r="F132" s="94" cm="1">
        <f t="array" ref="F132">SUM(SUMIFS('caseload data'!G:G,'caseload data'!$D:$D,"PO",'caseload data'!$A:$A,$B$132,'caseload data'!$B:$B,{"licence","community"}))</f>
        <v>0</v>
      </c>
      <c r="G132" s="94" cm="1">
        <f t="array" ref="G132">SUM(SUMIFS('caseload data'!H:H,'caseload data'!$D:$D,"PO",'caseload data'!$A:$A,$B$132,'caseload data'!$B:$B,{"licence","community"}))</f>
        <v>0</v>
      </c>
      <c r="H132" s="94" cm="1">
        <f t="array" ref="H132">SUM(SUMIFS('caseload data'!I:I,'caseload data'!$D:$D,"PO",'caseload data'!$A:$A,$B$132,'caseload data'!$B:$B,{"licence","community"}))</f>
        <v>0</v>
      </c>
      <c r="I132" s="94" cm="1">
        <f t="array" ref="I132">SUM(SUMIFS('caseload data'!J:J,'caseload data'!$D:$D,"PO",'caseload data'!$A:$A,$B$132,'caseload data'!$B:$B,{"licence","community"}))</f>
        <v>0</v>
      </c>
      <c r="J132" s="94" cm="1">
        <f t="array" ref="J132">SUM(SUMIFS('caseload data'!K:K,'caseload data'!$D:$D,"PO",'caseload data'!$A:$A,$B$132,'caseload data'!$B:$B,{"licence","community"}))</f>
        <v>0</v>
      </c>
      <c r="K132" s="94" cm="1">
        <f t="array" ref="K132">SUM(SUMIFS('caseload data'!L:L,'caseload data'!$D:$D,"PO",'caseload data'!$A:$A,$B$132,'caseload data'!$B:$B,{"licence","community"}))</f>
        <v>0</v>
      </c>
      <c r="L132" s="94" cm="1">
        <f t="array" ref="L132">SUM(SUMIFS('caseload data'!M:M,'caseload data'!$D:$D,"PO",'caseload data'!$A:$A,$B$132,'caseload data'!$B:$B,{"licence","community"}))</f>
        <v>0</v>
      </c>
      <c r="M132" s="94" cm="1">
        <f t="array" ref="M132">SUM(SUMIFS('caseload data'!N:N,'caseload data'!$D:$D,"PO",'caseload data'!$A:$A,$B$132,'caseload data'!$B:$B,{"licence","community"}))</f>
        <v>0</v>
      </c>
      <c r="N132" s="94" cm="1">
        <f t="array" ref="N132">SUM(SUMIFS('caseload data'!O:O,'caseload data'!$D:$D,"PO",'caseload data'!$A:$A,$B$132,'caseload data'!$B:$B,{"licence","community"}))</f>
        <v>0</v>
      </c>
      <c r="O132" s="94" cm="1">
        <f t="array" ref="O132">SUM(SUMIFS('caseload data'!P:P,'caseload data'!$D:$D,"PO",'caseload data'!$A:$A,$B$132,'caseload data'!$B:$B,{"licence","community"}))</f>
        <v>0</v>
      </c>
      <c r="P132" s="94" cm="1">
        <f t="array" ref="P132">SUM(SUMIFS('caseload data'!Q:Q,'caseload data'!$D:$D,"PO",'caseload data'!$A:$A,$B$132,'caseload data'!$B:$B,{"licence","community"}))</f>
        <v>0</v>
      </c>
      <c r="Q132" s="94" cm="1">
        <f t="array" ref="Q132">SUM(SUMIFS('caseload data'!R:R,'caseload data'!$D:$D,"PO",'caseload data'!$A:$A,$B$132,'caseload data'!$B:$B,{"licence","community"}))</f>
        <v>0</v>
      </c>
      <c r="R132" s="94" cm="1">
        <f t="array" ref="R132">SUM(SUMIFS('caseload data'!S:S,'caseload data'!$D:$D,"PO",'caseload data'!$A:$A,$B$132,'caseload data'!$B:$B,{"licence","community"}))</f>
        <v>0</v>
      </c>
      <c r="S132" s="94" cm="1">
        <f t="array" ref="S132">SUM(SUMIFS('caseload data'!T:T,'caseload data'!$D:$D,"PO",'caseload data'!$A:$A,$B$132,'caseload data'!$B:$B,{"licence","community"}))</f>
        <v>0</v>
      </c>
      <c r="T132" s="94">
        <f>SUM(SUMIFS('caseload data'!V:V,'caseload data'!D:D,"PO",'caseload data'!A:A,B132,'caseload data'!B:B,{"licence","community"}))</f>
        <v>0</v>
      </c>
      <c r="U132" s="64"/>
      <c r="V132" s="64"/>
      <c r="W132" s="473" t="s">
        <v>28</v>
      </c>
      <c r="X132" s="128" t="s">
        <v>997</v>
      </c>
      <c r="Y132" s="167" t="e">
        <f>SUM(D132)/SUM(D$132:D$136)</f>
        <v>#DIV/0!</v>
      </c>
      <c r="Z132" s="167" t="e">
        <f t="shared" ref="Z132:AO136" si="70">SUM(E132)/SUM(E$132:E$136)</f>
        <v>#DIV/0!</v>
      </c>
      <c r="AA132" s="167" t="e">
        <f t="shared" si="70"/>
        <v>#DIV/0!</v>
      </c>
      <c r="AB132" s="167" t="e">
        <f t="shared" si="70"/>
        <v>#DIV/0!</v>
      </c>
      <c r="AC132" s="167" t="e">
        <f t="shared" si="70"/>
        <v>#DIV/0!</v>
      </c>
      <c r="AD132" s="167" t="e">
        <f t="shared" si="70"/>
        <v>#DIV/0!</v>
      </c>
      <c r="AE132" s="167" t="e">
        <f t="shared" si="70"/>
        <v>#DIV/0!</v>
      </c>
      <c r="AF132" s="167" t="e">
        <f t="shared" si="70"/>
        <v>#DIV/0!</v>
      </c>
      <c r="AG132" s="167" t="e">
        <f t="shared" si="70"/>
        <v>#DIV/0!</v>
      </c>
      <c r="AH132" s="167" t="e">
        <f t="shared" si="70"/>
        <v>#DIV/0!</v>
      </c>
      <c r="AI132" s="167" t="e">
        <f t="shared" si="70"/>
        <v>#DIV/0!</v>
      </c>
      <c r="AJ132" s="167" t="e">
        <f t="shared" si="70"/>
        <v>#DIV/0!</v>
      </c>
      <c r="AK132" s="167" t="e">
        <f t="shared" si="70"/>
        <v>#DIV/0!</v>
      </c>
      <c r="AL132" s="167" t="e">
        <f t="shared" si="70"/>
        <v>#DIV/0!</v>
      </c>
      <c r="AM132" s="167" t="e">
        <f t="shared" si="70"/>
        <v>#DIV/0!</v>
      </c>
      <c r="AN132" s="167" t="e">
        <f t="shared" si="70"/>
        <v>#DIV/0!</v>
      </c>
      <c r="AO132" s="167" t="e">
        <f t="shared" si="70"/>
        <v>#DIV/0!</v>
      </c>
    </row>
    <row r="133" spans="2:41" x14ac:dyDescent="0.15">
      <c r="B133" s="474"/>
      <c r="C133" s="129" t="s">
        <v>1002</v>
      </c>
      <c r="D133" s="94" cm="1">
        <f t="array" ref="D133">SUM(SUMIFS('caseload data'!E:E,'caseload data'!$D:$D,"PSO",'caseload data'!$A:$A,"Yorkshire and The Humber",'caseload data'!$B:$B,{"licence","community"}))</f>
        <v>0</v>
      </c>
      <c r="E133" s="94" cm="1">
        <f t="array" ref="E133">SUM(SUMIFS('caseload data'!F:F,'caseload data'!$D:$D,"PSO",'caseload data'!$A:$A,"Yorkshire and The Humber",'caseload data'!$B:$B,{"licence","community"}))</f>
        <v>0</v>
      </c>
      <c r="F133" s="94" cm="1">
        <f t="array" ref="F133">SUM(SUMIFS('caseload data'!G:G,'caseload data'!$D:$D,"PSO",'caseload data'!$A:$A,"Yorkshire and The Humber",'caseload data'!$B:$B,{"licence","community"}))</f>
        <v>0</v>
      </c>
      <c r="G133" s="94" cm="1">
        <f t="array" ref="G133">SUM(SUMIFS('caseload data'!H:H,'caseload data'!$D:$D,"PSO",'caseload data'!$A:$A,"Yorkshire and The Humber",'caseload data'!$B:$B,{"licence","community"}))</f>
        <v>0</v>
      </c>
      <c r="H133" s="94" cm="1">
        <f t="array" ref="H133">SUM(SUMIFS('caseload data'!I:I,'caseload data'!$D:$D,"PSO",'caseload data'!$A:$A,"Yorkshire and The Humber",'caseload data'!$B:$B,{"licence","community"}))</f>
        <v>0</v>
      </c>
      <c r="I133" s="94" cm="1">
        <f t="array" ref="I133">SUM(SUMIFS('caseload data'!J:J,'caseload data'!$D:$D,"PSO",'caseload data'!$A:$A,"Yorkshire and The Humber",'caseload data'!$B:$B,{"licence","community"}))</f>
        <v>0</v>
      </c>
      <c r="J133" s="94" cm="1">
        <f t="array" ref="J133">SUM(SUMIFS('caseload data'!K:K,'caseload data'!$D:$D,"PSO",'caseload data'!$A:$A,"Yorkshire and The Humber",'caseload data'!$B:$B,{"licence","community"}))</f>
        <v>0</v>
      </c>
      <c r="K133" s="94" cm="1">
        <f t="array" ref="K133">SUM(SUMIFS('caseload data'!L:L,'caseload data'!$D:$D,"PSO",'caseload data'!$A:$A,"Yorkshire and The Humber",'caseload data'!$B:$B,{"licence","community"}))</f>
        <v>0</v>
      </c>
      <c r="L133" s="94" cm="1">
        <f t="array" ref="L133">SUM(SUMIFS('caseload data'!M:M,'caseload data'!$D:$D,"PSO",'caseload data'!$A:$A,"Yorkshire and The Humber",'caseload data'!$B:$B,{"licence","community"}))</f>
        <v>0</v>
      </c>
      <c r="M133" s="94" cm="1">
        <f t="array" ref="M133">SUM(SUMIFS('caseload data'!N:N,'caseload data'!$D:$D,"PSO",'caseload data'!$A:$A,"Yorkshire and The Humber",'caseload data'!$B:$B,{"licence","community"}))</f>
        <v>0</v>
      </c>
      <c r="N133" s="94" cm="1">
        <f t="array" ref="N133">SUM(SUMIFS('caseload data'!O:O,'caseload data'!$D:$D,"PSO",'caseload data'!$A:$A,"Yorkshire and The Humber",'caseload data'!$B:$B,{"licence","community"}))</f>
        <v>0</v>
      </c>
      <c r="O133" s="94" cm="1">
        <f t="array" ref="O133">SUM(SUMIFS('caseload data'!P:P,'caseload data'!$D:$D,"PSO",'caseload data'!$A:$A,"Yorkshire and The Humber",'caseload data'!$B:$B,{"licence","community"}))</f>
        <v>0</v>
      </c>
      <c r="P133" s="94" cm="1">
        <f t="array" ref="P133">SUM(SUMIFS('caseload data'!Q:Q,'caseload data'!$D:$D,"PSO",'caseload data'!$A:$A,"Yorkshire and The Humber",'caseload data'!$B:$B,{"licence","community"}))</f>
        <v>0</v>
      </c>
      <c r="Q133" s="94" cm="1">
        <f t="array" ref="Q133">SUM(SUMIFS('caseload data'!R:R,'caseload data'!$D:$D,"PSO",'caseload data'!$A:$A,"Yorkshire and The Humber",'caseload data'!$B:$B,{"licence","community"}))</f>
        <v>0</v>
      </c>
      <c r="R133" s="94" cm="1">
        <f t="array" ref="R133">SUM(SUMIFS('caseload data'!S:S,'caseload data'!$D:$D,"PSO",'caseload data'!$A:$A,"Yorkshire and The Humber",'caseload data'!$B:$B,{"licence","community"}))</f>
        <v>0</v>
      </c>
      <c r="S133" s="94" cm="1">
        <f t="array" ref="S133">SUM(SUMIFS('caseload data'!T:T,'caseload data'!$D:$D,"PSO",'caseload data'!$A:$A,"Yorkshire and The Humber",'caseload data'!$B:$B,{"licence","community"}))</f>
        <v>0</v>
      </c>
      <c r="T133" s="94" cm="1">
        <f t="array" ref="T133">SUM(SUMIFS('caseload data'!V:V,'caseload data'!$D:$D,"PSO",'caseload data'!$A:$A,"Yorkshire and The Humber",'caseload data'!$B:$B,{"licence","community"}))</f>
        <v>0</v>
      </c>
      <c r="U133" s="64"/>
      <c r="V133" s="64"/>
      <c r="W133" s="474"/>
      <c r="X133" s="129" t="s">
        <v>1002</v>
      </c>
      <c r="Y133" s="167" t="e">
        <f t="shared" ref="Y133:Y136" si="71">SUM(D133)/SUM(D$132:D$136)</f>
        <v>#DIV/0!</v>
      </c>
      <c r="Z133" s="167" t="e">
        <f t="shared" si="70"/>
        <v>#DIV/0!</v>
      </c>
      <c r="AA133" s="167" t="e">
        <f t="shared" si="70"/>
        <v>#DIV/0!</v>
      </c>
      <c r="AB133" s="167" t="e">
        <f t="shared" si="70"/>
        <v>#DIV/0!</v>
      </c>
      <c r="AC133" s="167" t="e">
        <f t="shared" si="70"/>
        <v>#DIV/0!</v>
      </c>
      <c r="AD133" s="167" t="e">
        <f t="shared" si="70"/>
        <v>#DIV/0!</v>
      </c>
      <c r="AE133" s="167" t="e">
        <f t="shared" si="70"/>
        <v>#DIV/0!</v>
      </c>
      <c r="AF133" s="167" t="e">
        <f t="shared" si="70"/>
        <v>#DIV/0!</v>
      </c>
      <c r="AG133" s="167" t="e">
        <f t="shared" si="70"/>
        <v>#DIV/0!</v>
      </c>
      <c r="AH133" s="167" t="e">
        <f t="shared" si="70"/>
        <v>#DIV/0!</v>
      </c>
      <c r="AI133" s="167" t="e">
        <f t="shared" si="70"/>
        <v>#DIV/0!</v>
      </c>
      <c r="AJ133" s="167" t="e">
        <f t="shared" si="70"/>
        <v>#DIV/0!</v>
      </c>
      <c r="AK133" s="167" t="e">
        <f t="shared" si="70"/>
        <v>#DIV/0!</v>
      </c>
      <c r="AL133" s="167" t="e">
        <f t="shared" si="70"/>
        <v>#DIV/0!</v>
      </c>
      <c r="AM133" s="167" t="e">
        <f t="shared" si="70"/>
        <v>#DIV/0!</v>
      </c>
      <c r="AN133" s="167" t="e">
        <f t="shared" si="70"/>
        <v>#DIV/0!</v>
      </c>
      <c r="AO133" s="167" t="e">
        <f t="shared" si="70"/>
        <v>#DIV/0!</v>
      </c>
    </row>
    <row r="134" spans="2:41" x14ac:dyDescent="0.15">
      <c r="B134" s="474"/>
      <c r="C134" s="129" t="s">
        <v>1003</v>
      </c>
      <c r="D134" s="94" cm="1">
        <f t="array" ref="D134">SUM(SUMIFS('caseload data'!E:E,'caseload data'!$D:$D,"TPO",'caseload data'!$A:$A,"Yorkshire and The Humber",'caseload data'!$B:$B,{"licence","community"}))</f>
        <v>0</v>
      </c>
      <c r="E134" s="94" cm="1">
        <f t="array" ref="E134">SUM(SUMIFS('caseload data'!F:F,'caseload data'!$D:$D,"TPO",'caseload data'!$A:$A,"Yorkshire and The Humber",'caseload data'!$B:$B,{"licence","community"}))</f>
        <v>0</v>
      </c>
      <c r="F134" s="94" cm="1">
        <f t="array" ref="F134">SUM(SUMIFS('caseload data'!G:G,'caseload data'!$D:$D,"TPO",'caseload data'!$A:$A,"Yorkshire and The Humber",'caseload data'!$B:$B,{"licence","community"}))</f>
        <v>0</v>
      </c>
      <c r="G134" s="94" cm="1">
        <f t="array" ref="G134">SUM(SUMIFS('caseload data'!H:H,'caseload data'!$D:$D,"TPO",'caseload data'!$A:$A,"Yorkshire and The Humber",'caseload data'!$B:$B,{"licence","community"}))</f>
        <v>0</v>
      </c>
      <c r="H134" s="94" cm="1">
        <f t="array" ref="H134">SUM(SUMIFS('caseload data'!I:I,'caseload data'!$D:$D,"TPO",'caseload data'!$A:$A,"Yorkshire and The Humber",'caseload data'!$B:$B,{"licence","community"}))</f>
        <v>0</v>
      </c>
      <c r="I134" s="94" cm="1">
        <f t="array" ref="I134">SUM(SUMIFS('caseload data'!J:J,'caseload data'!$D:$D,"TPO",'caseload data'!$A:$A,"Yorkshire and The Humber",'caseload data'!$B:$B,{"licence","community"}))</f>
        <v>0</v>
      </c>
      <c r="J134" s="94" cm="1">
        <f t="array" ref="J134">SUM(SUMIFS('caseload data'!K:K,'caseload data'!$D:$D,"TPO",'caseload data'!$A:$A,"Yorkshire and The Humber",'caseload data'!$B:$B,{"licence","community"}))</f>
        <v>0</v>
      </c>
      <c r="K134" s="94" cm="1">
        <f t="array" ref="K134">SUM(SUMIFS('caseload data'!L:L,'caseload data'!$D:$D,"TPO",'caseload data'!$A:$A,"Yorkshire and The Humber",'caseload data'!$B:$B,{"licence","community"}))</f>
        <v>0</v>
      </c>
      <c r="L134" s="94" cm="1">
        <f t="array" ref="L134">SUM(SUMIFS('caseload data'!M:M,'caseload data'!$D:$D,"TPO",'caseload data'!$A:$A,"Yorkshire and The Humber",'caseload data'!$B:$B,{"licence","community"}))</f>
        <v>0</v>
      </c>
      <c r="M134" s="94" cm="1">
        <f t="array" ref="M134">SUM(SUMIFS('caseload data'!N:N,'caseload data'!$D:$D,"TPO",'caseload data'!$A:$A,"Yorkshire and The Humber",'caseload data'!$B:$B,{"licence","community"}))</f>
        <v>0</v>
      </c>
      <c r="N134" s="94" cm="1">
        <f t="array" ref="N134">SUM(SUMIFS('caseload data'!O:O,'caseload data'!$D:$D,"TPO",'caseload data'!$A:$A,"Yorkshire and The Humber",'caseload data'!$B:$B,{"licence","community"}))</f>
        <v>0</v>
      </c>
      <c r="O134" s="94" cm="1">
        <f t="array" ref="O134">SUM(SUMIFS('caseload data'!P:P,'caseload data'!$D:$D,"TPO",'caseload data'!$A:$A,"Yorkshire and The Humber",'caseload data'!$B:$B,{"licence","community"}))</f>
        <v>0</v>
      </c>
      <c r="P134" s="94" cm="1">
        <f t="array" ref="P134">SUM(SUMIFS('caseload data'!Q:Q,'caseload data'!$D:$D,"TPO",'caseload data'!$A:$A,"Yorkshire and The Humber",'caseload data'!$B:$B,{"licence","community"}))</f>
        <v>0</v>
      </c>
      <c r="Q134" s="94" cm="1">
        <f t="array" ref="Q134">SUM(SUMIFS('caseload data'!R:R,'caseload data'!$D:$D,"TPO",'caseload data'!$A:$A,"Yorkshire and The Humber",'caseload data'!$B:$B,{"licence","community"}))</f>
        <v>0</v>
      </c>
      <c r="R134" s="94" cm="1">
        <f t="array" ref="R134">SUM(SUMIFS('caseload data'!S:S,'caseload data'!$D:$D,"TPO",'caseload data'!$A:$A,"Yorkshire and The Humber",'caseload data'!$B:$B,{"licence","community"}))</f>
        <v>0</v>
      </c>
      <c r="S134" s="94" cm="1">
        <f t="array" ref="S134">SUM(SUMIFS('caseload data'!T:T,'caseload data'!$D:$D,"TPO",'caseload data'!$A:$A,"Yorkshire and The Humber",'caseload data'!$B:$B,{"licence","community"}))</f>
        <v>0</v>
      </c>
      <c r="T134" s="94" cm="1">
        <f t="array" ref="T134">SUM(SUMIFS('caseload data'!V:V,'caseload data'!D:D,"TPO",'caseload data'!A:A,"Yorkshire and The Humber",'caseload data'!B:B,{"licence","community"}))</f>
        <v>0</v>
      </c>
      <c r="U134" s="64"/>
      <c r="V134" s="64"/>
      <c r="W134" s="474"/>
      <c r="X134" s="129" t="s">
        <v>1003</v>
      </c>
      <c r="Y134" s="167" t="e">
        <f t="shared" si="71"/>
        <v>#DIV/0!</v>
      </c>
      <c r="Z134" s="167" t="e">
        <f t="shared" si="70"/>
        <v>#DIV/0!</v>
      </c>
      <c r="AA134" s="167" t="e">
        <f t="shared" si="70"/>
        <v>#DIV/0!</v>
      </c>
      <c r="AB134" s="167" t="e">
        <f t="shared" si="70"/>
        <v>#DIV/0!</v>
      </c>
      <c r="AC134" s="167" t="e">
        <f t="shared" si="70"/>
        <v>#DIV/0!</v>
      </c>
      <c r="AD134" s="167" t="e">
        <f t="shared" si="70"/>
        <v>#DIV/0!</v>
      </c>
      <c r="AE134" s="167" t="e">
        <f t="shared" si="70"/>
        <v>#DIV/0!</v>
      </c>
      <c r="AF134" s="167" t="e">
        <f t="shared" si="70"/>
        <v>#DIV/0!</v>
      </c>
      <c r="AG134" s="167" t="e">
        <f t="shared" si="70"/>
        <v>#DIV/0!</v>
      </c>
      <c r="AH134" s="167" t="e">
        <f t="shared" si="70"/>
        <v>#DIV/0!</v>
      </c>
      <c r="AI134" s="167" t="e">
        <f t="shared" si="70"/>
        <v>#DIV/0!</v>
      </c>
      <c r="AJ134" s="167" t="e">
        <f t="shared" si="70"/>
        <v>#DIV/0!</v>
      </c>
      <c r="AK134" s="167" t="e">
        <f t="shared" si="70"/>
        <v>#DIV/0!</v>
      </c>
      <c r="AL134" s="167" t="e">
        <f t="shared" si="70"/>
        <v>#DIV/0!</v>
      </c>
      <c r="AM134" s="167" t="e">
        <f t="shared" si="70"/>
        <v>#DIV/0!</v>
      </c>
      <c r="AN134" s="167" t="e">
        <f t="shared" si="70"/>
        <v>#DIV/0!</v>
      </c>
      <c r="AO134" s="167" t="e">
        <f t="shared" si="70"/>
        <v>#DIV/0!</v>
      </c>
    </row>
    <row r="135" spans="2:41" x14ac:dyDescent="0.15">
      <c r="B135" s="474"/>
      <c r="C135" s="129" t="s">
        <v>1004</v>
      </c>
      <c r="D135" s="94" cm="1">
        <f t="array" ref="D135">SUM(SUMIFS('caseload data'!E:E,'caseload data'!$D:$D,"SPO",'caseload data'!$A:$A,"Yorkshire and The Humber",'caseload data'!$B:$B,{"licence","community"}))</f>
        <v>0</v>
      </c>
      <c r="E135" s="94" cm="1">
        <f t="array" ref="E135">SUM(SUMIFS('caseload data'!F:F,'caseload data'!$D:$D,"SPO",'caseload data'!$A:$A,"Yorkshire and The Humber",'caseload data'!$B:$B,{"licence","community"}))</f>
        <v>0</v>
      </c>
      <c r="F135" s="94" cm="1">
        <f t="array" ref="F135">SUM(SUMIFS('caseload data'!G:G,'caseload data'!$D:$D,"SPO",'caseload data'!$A:$A,"Yorkshire and The Humber",'caseload data'!$B:$B,{"licence","community"}))</f>
        <v>0</v>
      </c>
      <c r="G135" s="94" cm="1">
        <f t="array" ref="G135">SUM(SUMIFS('caseload data'!H:H,'caseload data'!$D:$D,"SPO",'caseload data'!$A:$A,"Yorkshire and The Humber",'caseload data'!$B:$B,{"licence","community"}))</f>
        <v>0</v>
      </c>
      <c r="H135" s="94" cm="1">
        <f t="array" ref="H135">SUM(SUMIFS('caseload data'!I:I,'caseload data'!$D:$D,"SPO",'caseload data'!$A:$A,"Yorkshire and The Humber",'caseload data'!$B:$B,{"licence","community"}))</f>
        <v>0</v>
      </c>
      <c r="I135" s="94" cm="1">
        <f t="array" ref="I135">SUM(SUMIFS('caseload data'!J:J,'caseload data'!$D:$D,"SPO",'caseload data'!$A:$A,"Yorkshire and The Humber",'caseload data'!$B:$B,{"licence","community"}))</f>
        <v>0</v>
      </c>
      <c r="J135" s="94" cm="1">
        <f t="array" ref="J135">SUM(SUMIFS('caseload data'!K:K,'caseload data'!$D:$D,"SPO",'caseload data'!$A:$A,"Yorkshire and The Humber",'caseload data'!$B:$B,{"licence","community"}))</f>
        <v>0</v>
      </c>
      <c r="K135" s="94" cm="1">
        <f t="array" ref="K135">SUM(SUMIFS('caseload data'!L:L,'caseload data'!$D:$D,"SPO",'caseload data'!$A:$A,"Yorkshire and The Humber",'caseload data'!$B:$B,{"licence","community"}))</f>
        <v>0</v>
      </c>
      <c r="L135" s="94" cm="1">
        <f t="array" ref="L135">SUM(SUMIFS('caseload data'!M:M,'caseload data'!$D:$D,"SPO",'caseload data'!$A:$A,"Yorkshire and The Humber",'caseload data'!$B:$B,{"licence","community"}))</f>
        <v>0</v>
      </c>
      <c r="M135" s="94" cm="1">
        <f t="array" ref="M135">SUM(SUMIFS('caseload data'!N:N,'caseload data'!$D:$D,"SPO",'caseload data'!$A:$A,"Yorkshire and The Humber",'caseload data'!$B:$B,{"licence","community"}))</f>
        <v>0</v>
      </c>
      <c r="N135" s="94" cm="1">
        <f t="array" ref="N135">SUM(SUMIFS('caseload data'!O:O,'caseload data'!$D:$D,"SPO",'caseload data'!$A:$A,"Yorkshire and The Humber",'caseload data'!$B:$B,{"licence","community"}))</f>
        <v>0</v>
      </c>
      <c r="O135" s="94" cm="1">
        <f t="array" ref="O135">SUM(SUMIFS('caseload data'!P:P,'caseload data'!$D:$D,"SPO",'caseload data'!$A:$A,"Yorkshire and The Humber",'caseload data'!$B:$B,{"licence","community"}))</f>
        <v>0</v>
      </c>
      <c r="P135" s="94" cm="1">
        <f t="array" ref="P135">SUM(SUMIFS('caseload data'!Q:Q,'caseload data'!$D:$D,"SPO",'caseload data'!$A:$A,"Yorkshire and The Humber",'caseload data'!$B:$B,{"licence","community"}))</f>
        <v>0</v>
      </c>
      <c r="Q135" s="94" cm="1">
        <f t="array" ref="Q135">SUM(SUMIFS('caseload data'!R:R,'caseload data'!$D:$D,"SPO",'caseload data'!$A:$A,"Yorkshire and The Humber",'caseload data'!$B:$B,{"licence","community"}))</f>
        <v>0</v>
      </c>
      <c r="R135" s="94" cm="1">
        <f t="array" ref="R135">SUM(SUMIFS('caseload data'!S:S,'caseload data'!$D:$D,"SPO",'caseload data'!$A:$A,"Yorkshire and The Humber",'caseload data'!$B:$B,{"licence","community"}))</f>
        <v>0</v>
      </c>
      <c r="S135" s="94" cm="1">
        <f t="array" ref="S135">SUM(SUMIFS('caseload data'!T:T,'caseload data'!$D:$D,"SPO",'caseload data'!$A:$A,"Yorkshire and The Humber",'caseload data'!$B:$B,{"licence","community"}))</f>
        <v>0</v>
      </c>
      <c r="T135" s="94" cm="1">
        <f t="array" ref="T135">SUM(SUMIFS('caseload data'!V:V,'caseload data'!$D:$D,"SPO",'caseload data'!$A:$A,"Yorkshire and The Humber",'caseload data'!$B:$B,{"licence","community"}))</f>
        <v>0</v>
      </c>
      <c r="U135" s="64"/>
      <c r="V135" s="64"/>
      <c r="W135" s="474"/>
      <c r="X135" s="129" t="s">
        <v>1004</v>
      </c>
      <c r="Y135" s="167" t="e">
        <f t="shared" si="71"/>
        <v>#DIV/0!</v>
      </c>
      <c r="Z135" s="167" t="e">
        <f t="shared" si="70"/>
        <v>#DIV/0!</v>
      </c>
      <c r="AA135" s="167" t="e">
        <f t="shared" si="70"/>
        <v>#DIV/0!</v>
      </c>
      <c r="AB135" s="167" t="e">
        <f t="shared" si="70"/>
        <v>#DIV/0!</v>
      </c>
      <c r="AC135" s="167" t="e">
        <f t="shared" si="70"/>
        <v>#DIV/0!</v>
      </c>
      <c r="AD135" s="167" t="e">
        <f t="shared" si="70"/>
        <v>#DIV/0!</v>
      </c>
      <c r="AE135" s="167" t="e">
        <f t="shared" si="70"/>
        <v>#DIV/0!</v>
      </c>
      <c r="AF135" s="167" t="e">
        <f t="shared" si="70"/>
        <v>#DIV/0!</v>
      </c>
      <c r="AG135" s="167" t="e">
        <f t="shared" si="70"/>
        <v>#DIV/0!</v>
      </c>
      <c r="AH135" s="167" t="e">
        <f t="shared" si="70"/>
        <v>#DIV/0!</v>
      </c>
      <c r="AI135" s="167" t="e">
        <f t="shared" si="70"/>
        <v>#DIV/0!</v>
      </c>
      <c r="AJ135" s="167" t="e">
        <f t="shared" si="70"/>
        <v>#DIV/0!</v>
      </c>
      <c r="AK135" s="167" t="e">
        <f t="shared" si="70"/>
        <v>#DIV/0!</v>
      </c>
      <c r="AL135" s="167" t="e">
        <f t="shared" si="70"/>
        <v>#DIV/0!</v>
      </c>
      <c r="AM135" s="167" t="e">
        <f t="shared" si="70"/>
        <v>#DIV/0!</v>
      </c>
      <c r="AN135" s="167" t="e">
        <f t="shared" si="70"/>
        <v>#DIV/0!</v>
      </c>
      <c r="AO135" s="167" t="e">
        <f t="shared" si="70"/>
        <v>#DIV/0!</v>
      </c>
    </row>
    <row r="136" spans="2:41" ht="15" thickBot="1" x14ac:dyDescent="0.2">
      <c r="B136" s="474"/>
      <c r="C136" s="129" t="s">
        <v>1339</v>
      </c>
      <c r="D136" s="377" cm="1">
        <f t="array" ref="D136">SUM(SUMIFS('caseload data'!E:E,'caseload data'!$D:$D,"DMY",'caseload data'!$A:$A,"Yorkshire and The Humber",'caseload data'!$B:$B,{"licence","community"}))</f>
        <v>0</v>
      </c>
      <c r="E136" s="377" cm="1">
        <f t="array" ref="E136">SUM(SUMIFS('caseload data'!F:F,'caseload data'!$D:$D,"DMY",'caseload data'!$A:$A,"Yorkshire and The Humber",'caseload data'!$B:$B,{"licence","community"}))</f>
        <v>0</v>
      </c>
      <c r="F136" s="377" cm="1">
        <f t="array" ref="F136">SUM(SUMIFS('caseload data'!G:G,'caseload data'!$D:$D,"DMY",'caseload data'!$A:$A,"Yorkshire and The Humber",'caseload data'!$B:$B,{"licence","community"}))</f>
        <v>0</v>
      </c>
      <c r="G136" s="377" cm="1">
        <f t="array" ref="G136">SUM(SUMIFS('caseload data'!H:H,'caseload data'!$D:$D,"DMY",'caseload data'!$A:$A,"Yorkshire and The Humber",'caseload data'!$B:$B,{"licence","community"}))</f>
        <v>0</v>
      </c>
      <c r="H136" s="377" cm="1">
        <f t="array" ref="H136">SUM(SUMIFS('caseload data'!I:I,'caseload data'!$D:$D,"DMY",'caseload data'!$A:$A,"Yorkshire and The Humber",'caseload data'!$B:$B,{"licence","community"}))</f>
        <v>0</v>
      </c>
      <c r="I136" s="377" cm="1">
        <f t="array" ref="I136">SUM(SUMIFS('caseload data'!J:J,'caseload data'!$D:$D,"DMY",'caseload data'!$A:$A,"Yorkshire and The Humber",'caseload data'!$B:$B,{"licence","community"}))</f>
        <v>0</v>
      </c>
      <c r="J136" s="377" cm="1">
        <f t="array" ref="J136">SUM(SUMIFS('caseload data'!K:K,'caseload data'!$D:$D,"DMY",'caseload data'!$A:$A,"Yorkshire and The Humber",'caseload data'!$B:$B,{"licence","community"}))</f>
        <v>0</v>
      </c>
      <c r="K136" s="377" cm="1">
        <f t="array" ref="K136">SUM(SUMIFS('caseload data'!L:L,'caseload data'!$D:$D,"DMY",'caseload data'!$A:$A,"Yorkshire and The Humber",'caseload data'!$B:$B,{"licence","community"}))</f>
        <v>0</v>
      </c>
      <c r="L136" s="377" cm="1">
        <f t="array" ref="L136">SUM(SUMIFS('caseload data'!M:M,'caseload data'!$D:$D,"DMY",'caseload data'!$A:$A,"Yorkshire and The Humber",'caseload data'!$B:$B,{"licence","community"}))</f>
        <v>0</v>
      </c>
      <c r="M136" s="377" cm="1">
        <f t="array" ref="M136">SUM(SUMIFS('caseload data'!N:N,'caseload data'!$D:$D,"DMY",'caseload data'!$A:$A,"Yorkshire and The Humber",'caseload data'!$B:$B,{"licence","community"}))</f>
        <v>0</v>
      </c>
      <c r="N136" s="377" cm="1">
        <f t="array" ref="N136">SUM(SUMIFS('caseload data'!O:O,'caseload data'!$D:$D,"DMY",'caseload data'!$A:$A,"Yorkshire and The Humber",'caseload data'!$B:$B,{"licence","community"}))</f>
        <v>0</v>
      </c>
      <c r="O136" s="377" cm="1">
        <f t="array" ref="O136">SUM(SUMIFS('caseload data'!P:P,'caseload data'!$D:$D,"DMY",'caseload data'!$A:$A,"Yorkshire and The Humber",'caseload data'!$B:$B,{"licence","community"}))</f>
        <v>0</v>
      </c>
      <c r="P136" s="377" cm="1">
        <f t="array" ref="P136">SUM(SUMIFS('caseload data'!Q:Q,'caseload data'!$D:$D,"DMY",'caseload data'!$A:$A,"Yorkshire and The Humber",'caseload data'!$B:$B,{"licence","community"}))</f>
        <v>0</v>
      </c>
      <c r="Q136" s="377" cm="1">
        <f t="array" ref="Q136">SUM(SUMIFS('caseload data'!R:R,'caseload data'!$D:$D,"DMY",'caseload data'!$A:$A,"Yorkshire and The Humber",'caseload data'!$B:$B,{"licence","community"}))</f>
        <v>0</v>
      </c>
      <c r="R136" s="377" cm="1">
        <f t="array" ref="R136">SUM(SUMIFS('caseload data'!S:S,'caseload data'!$D:$D,"DMY",'caseload data'!$A:$A,"Yorkshire and The Humber",'caseload data'!$B:$B,{"licence","community"}))</f>
        <v>0</v>
      </c>
      <c r="S136" s="377" cm="1">
        <f t="array" ref="S136">SUM(SUMIFS('caseload data'!T:T,'caseload data'!$D:$D,"DMY",'caseload data'!$A:$A,"Yorkshire and The Humber",'caseload data'!$B:$B,{"licence","community"}))</f>
        <v>0</v>
      </c>
      <c r="T136" s="377" cm="1">
        <f t="array" ref="T136">SUM(SUMIFS('caseload data'!V:V,'caseload data'!$D:$D,"DMY",'caseload data'!$A:$A,"Yorkshire and The Humber",'caseload data'!$B:$B,{"licence","community"}))</f>
        <v>0</v>
      </c>
      <c r="U136" s="64"/>
      <c r="V136" s="64"/>
      <c r="W136" s="474"/>
      <c r="X136" s="129" t="s">
        <v>1339</v>
      </c>
      <c r="Y136" s="373" t="e">
        <f t="shared" si="71"/>
        <v>#DIV/0!</v>
      </c>
      <c r="Z136" s="373" t="e">
        <f t="shared" si="70"/>
        <v>#DIV/0!</v>
      </c>
      <c r="AA136" s="373" t="e">
        <f t="shared" si="70"/>
        <v>#DIV/0!</v>
      </c>
      <c r="AB136" s="373" t="e">
        <f t="shared" si="70"/>
        <v>#DIV/0!</v>
      </c>
      <c r="AC136" s="373" t="e">
        <f t="shared" si="70"/>
        <v>#DIV/0!</v>
      </c>
      <c r="AD136" s="373" t="e">
        <f t="shared" si="70"/>
        <v>#DIV/0!</v>
      </c>
      <c r="AE136" s="373" t="e">
        <f t="shared" si="70"/>
        <v>#DIV/0!</v>
      </c>
      <c r="AF136" s="373" t="e">
        <f t="shared" si="70"/>
        <v>#DIV/0!</v>
      </c>
      <c r="AG136" s="373" t="e">
        <f t="shared" si="70"/>
        <v>#DIV/0!</v>
      </c>
      <c r="AH136" s="373" t="e">
        <f t="shared" si="70"/>
        <v>#DIV/0!</v>
      </c>
      <c r="AI136" s="373" t="e">
        <f t="shared" si="70"/>
        <v>#DIV/0!</v>
      </c>
      <c r="AJ136" s="373" t="e">
        <f t="shared" si="70"/>
        <v>#DIV/0!</v>
      </c>
      <c r="AK136" s="373" t="e">
        <f t="shared" si="70"/>
        <v>#DIV/0!</v>
      </c>
      <c r="AL136" s="373" t="e">
        <f t="shared" si="70"/>
        <v>#DIV/0!</v>
      </c>
      <c r="AM136" s="373" t="e">
        <f t="shared" si="70"/>
        <v>#DIV/0!</v>
      </c>
      <c r="AN136" s="373" t="e">
        <f t="shared" si="70"/>
        <v>#DIV/0!</v>
      </c>
      <c r="AO136" s="373" t="e">
        <f t="shared" si="70"/>
        <v>#DIV/0!</v>
      </c>
    </row>
    <row r="137" spans="2:41" x14ac:dyDescent="0.15">
      <c r="B137" s="497" t="s">
        <v>959</v>
      </c>
      <c r="C137" s="378" t="s">
        <v>997</v>
      </c>
      <c r="D137" s="379" cm="1">
        <f t="array" ref="D137">SUM(SUMIFS('caseload data'!E:E,'caseload data'!$D:$D,"PO",'caseload data'!$B:$B,{"licence","community"}))</f>
        <v>0</v>
      </c>
      <c r="E137" s="379" cm="1">
        <f t="array" ref="E137">SUM(SUMIFS('caseload data'!F:F,'caseload data'!$D:$D,"PO",'caseload data'!$B:$B,{"licence","community"}))</f>
        <v>0</v>
      </c>
      <c r="F137" s="379" cm="1">
        <f t="array" ref="F137">SUM(SUMIFS('caseload data'!G:G,'caseload data'!$D:$D,"PO",'caseload data'!$B:$B,{"licence","community"}))</f>
        <v>0</v>
      </c>
      <c r="G137" s="379" cm="1">
        <f t="array" ref="G137">SUM(SUMIFS('caseload data'!H:H,'caseload data'!$D:$D,"PO",'caseload data'!$B:$B,{"licence","community"}))</f>
        <v>0</v>
      </c>
      <c r="H137" s="379" cm="1">
        <f t="array" ref="H137">SUM(SUMIFS('caseload data'!I:I,'caseload data'!$D:$D,"PO",'caseload data'!$B:$B,{"licence","community"}))</f>
        <v>0</v>
      </c>
      <c r="I137" s="379" cm="1">
        <f t="array" ref="I137">SUM(SUMIFS('caseload data'!J:J,'caseload data'!$D:$D,"PO",'caseload data'!$B:$B,{"licence","community"}))</f>
        <v>0</v>
      </c>
      <c r="J137" s="379" cm="1">
        <f t="array" ref="J137">SUM(SUMIFS('caseload data'!K:K,'caseload data'!$D:$D,"PO",'caseload data'!$B:$B,{"licence","community"}))</f>
        <v>0</v>
      </c>
      <c r="K137" s="379" cm="1">
        <f t="array" ref="K137">SUM(SUMIFS('caseload data'!L:L,'caseload data'!$D:$D,"PO",'caseload data'!$B:$B,{"licence","community"}))</f>
        <v>0</v>
      </c>
      <c r="L137" s="379" cm="1">
        <f t="array" ref="L137">SUM(SUMIFS('caseload data'!M:M,'caseload data'!$D:$D,"PO",'caseload data'!$B:$B,{"licence","community"}))</f>
        <v>0</v>
      </c>
      <c r="M137" s="379" cm="1">
        <f t="array" ref="M137">SUM(SUMIFS('caseload data'!N:N,'caseload data'!$D:$D,"PO",'caseload data'!$B:$B,{"licence","community"}))</f>
        <v>0</v>
      </c>
      <c r="N137" s="379" cm="1">
        <f t="array" ref="N137">SUM(SUMIFS('caseload data'!O:O,'caseload data'!$D:$D,"PO",'caseload data'!$B:$B,{"licence","community"}))</f>
        <v>0</v>
      </c>
      <c r="O137" s="379" cm="1">
        <f t="array" ref="O137">SUM(SUMIFS('caseload data'!P:P,'caseload data'!$D:$D,"PO",'caseload data'!$B:$B,{"licence","community"}))</f>
        <v>0</v>
      </c>
      <c r="P137" s="379" cm="1">
        <f t="array" ref="P137">SUM(SUMIFS('caseload data'!Q:Q,'caseload data'!$D:$D,"PO",'caseload data'!$B:$B,{"licence","community"}))</f>
        <v>0</v>
      </c>
      <c r="Q137" s="379" cm="1">
        <f t="array" ref="Q137">SUM(SUMIFS('caseload data'!R:R,'caseload data'!$D:$D,"PO",'caseload data'!$B:$B,{"licence","community"}))</f>
        <v>0</v>
      </c>
      <c r="R137" s="379" cm="1">
        <f t="array" ref="R137">SUM(SUMIFS('caseload data'!S:S,'caseload data'!$D:$D,"PO",'caseload data'!$B:$B,{"licence","community"}))</f>
        <v>0</v>
      </c>
      <c r="S137" s="379" cm="1">
        <f t="array" ref="S137">SUM(SUMIFS('caseload data'!T:T,'caseload data'!$D:$D,"PO",'caseload data'!$B:$B,{"licence","community"}))</f>
        <v>0</v>
      </c>
      <c r="T137" s="380">
        <f>SUM(SUMIFS('caseload data'!V:V,'caseload data'!D:D,"PO",'caseload data'!B:B,{"licence","community"}))</f>
        <v>0</v>
      </c>
      <c r="U137" s="64"/>
      <c r="V137" s="64"/>
      <c r="W137" s="476" t="s">
        <v>959</v>
      </c>
      <c r="X137" s="378" t="s">
        <v>997</v>
      </c>
      <c r="Y137" s="388" t="e">
        <f>SUM(D137)/SUM(D$137:D$141)</f>
        <v>#DIV/0!</v>
      </c>
      <c r="Z137" s="388" t="e">
        <f t="shared" ref="Z137:AO141" si="72">SUM(E137)/SUM(E$137:E$141)</f>
        <v>#DIV/0!</v>
      </c>
      <c r="AA137" s="388" t="e">
        <f t="shared" si="72"/>
        <v>#DIV/0!</v>
      </c>
      <c r="AB137" s="388" t="e">
        <f t="shared" si="72"/>
        <v>#DIV/0!</v>
      </c>
      <c r="AC137" s="388" t="e">
        <f t="shared" si="72"/>
        <v>#DIV/0!</v>
      </c>
      <c r="AD137" s="388" t="e">
        <f t="shared" si="72"/>
        <v>#DIV/0!</v>
      </c>
      <c r="AE137" s="388" t="e">
        <f t="shared" si="72"/>
        <v>#DIV/0!</v>
      </c>
      <c r="AF137" s="388" t="e">
        <f t="shared" si="72"/>
        <v>#DIV/0!</v>
      </c>
      <c r="AG137" s="388" t="e">
        <f t="shared" si="72"/>
        <v>#DIV/0!</v>
      </c>
      <c r="AH137" s="388" t="e">
        <f t="shared" si="72"/>
        <v>#DIV/0!</v>
      </c>
      <c r="AI137" s="388" t="e">
        <f t="shared" si="72"/>
        <v>#DIV/0!</v>
      </c>
      <c r="AJ137" s="388" t="e">
        <f t="shared" si="72"/>
        <v>#DIV/0!</v>
      </c>
      <c r="AK137" s="388" t="e">
        <f t="shared" si="72"/>
        <v>#DIV/0!</v>
      </c>
      <c r="AL137" s="388" t="e">
        <f t="shared" si="72"/>
        <v>#DIV/0!</v>
      </c>
      <c r="AM137" s="388" t="e">
        <f t="shared" si="72"/>
        <v>#DIV/0!</v>
      </c>
      <c r="AN137" s="388" t="e">
        <f t="shared" si="72"/>
        <v>#DIV/0!</v>
      </c>
      <c r="AO137" s="390" t="e">
        <f t="shared" si="72"/>
        <v>#DIV/0!</v>
      </c>
    </row>
    <row r="138" spans="2:41" x14ac:dyDescent="0.15">
      <c r="B138" s="498"/>
      <c r="C138" s="137" t="s">
        <v>1002</v>
      </c>
      <c r="D138" s="136" cm="1">
        <f t="array" ref="D138">SUM(SUMIFS('caseload data'!E:E,'caseload data'!$D:$D,"PSO",'caseload data'!$B:$B,{"licence","community"}))</f>
        <v>0</v>
      </c>
      <c r="E138" s="136" cm="1">
        <f t="array" ref="E138">SUM(SUMIFS('caseload data'!F:F,'caseload data'!$D:$D,"PSO",'caseload data'!$B:$B,{"licence","community"}))</f>
        <v>0</v>
      </c>
      <c r="F138" s="136" cm="1">
        <f t="array" ref="F138">SUM(SUMIFS('caseload data'!G:G,'caseload data'!$D:$D,"PSO",'caseload data'!$B:$B,{"licence","community"}))</f>
        <v>0</v>
      </c>
      <c r="G138" s="136" cm="1">
        <f t="array" ref="G138">SUM(SUMIFS('caseload data'!H:H,'caseload data'!$D:$D,"PSO",'caseload data'!$B:$B,{"licence","community"}))</f>
        <v>0</v>
      </c>
      <c r="H138" s="136" cm="1">
        <f t="array" ref="H138">SUM(SUMIFS('caseload data'!I:I,'caseload data'!$D:$D,"PSO",'caseload data'!$B:$B,{"licence","community"}))</f>
        <v>0</v>
      </c>
      <c r="I138" s="136" cm="1">
        <f t="array" ref="I138">SUM(SUMIFS('caseload data'!J:J,'caseload data'!$D:$D,"PSO",'caseload data'!$B:$B,{"licence","community"}))</f>
        <v>0</v>
      </c>
      <c r="J138" s="136" cm="1">
        <f t="array" ref="J138">SUM(SUMIFS('caseload data'!K:K,'caseload data'!$D:$D,"PSO",'caseload data'!$B:$B,{"licence","community"}))</f>
        <v>0</v>
      </c>
      <c r="K138" s="136" cm="1">
        <f t="array" ref="K138">SUM(SUMIFS('caseload data'!L:L,'caseload data'!$D:$D,"PSO",'caseload data'!$B:$B,{"licence","community"}))</f>
        <v>0</v>
      </c>
      <c r="L138" s="136" cm="1">
        <f t="array" ref="L138">SUM(SUMIFS('caseload data'!M:M,'caseload data'!$D:$D,"PSO",'caseload data'!$B:$B,{"licence","community"}))</f>
        <v>0</v>
      </c>
      <c r="M138" s="136" cm="1">
        <f t="array" ref="M138">SUM(SUMIFS('caseload data'!N:N,'caseload data'!$D:$D,"PSO",'caseload data'!$B:$B,{"licence","community"}))</f>
        <v>0</v>
      </c>
      <c r="N138" s="136" cm="1">
        <f t="array" ref="N138">SUM(SUMIFS('caseload data'!O:O,'caseload data'!$D:$D,"PSO",'caseload data'!$B:$B,{"licence","community"}))</f>
        <v>0</v>
      </c>
      <c r="O138" s="136" cm="1">
        <f t="array" ref="O138">SUM(SUMIFS('caseload data'!P:P,'caseload data'!$D:$D,"PSO",'caseload data'!$B:$B,{"licence","community"}))</f>
        <v>0</v>
      </c>
      <c r="P138" s="136" cm="1">
        <f t="array" ref="P138">SUM(SUMIFS('caseload data'!Q:Q,'caseload data'!$D:$D,"PSO",'caseload data'!$B:$B,{"licence","community"}))</f>
        <v>0</v>
      </c>
      <c r="Q138" s="136" cm="1">
        <f t="array" ref="Q138">SUM(SUMIFS('caseload data'!R:R,'caseload data'!$D:$D,"PSO",'caseload data'!$B:$B,{"licence","community"}))</f>
        <v>0</v>
      </c>
      <c r="R138" s="136" cm="1">
        <f t="array" ref="R138">SUM(SUMIFS('caseload data'!S:S,'caseload data'!$D:$D,"PSO",'caseload data'!$B:$B,{"licence","community"}))</f>
        <v>0</v>
      </c>
      <c r="S138" s="136" cm="1">
        <f t="array" ref="S138">SUM(SUMIFS('caseload data'!T:T,'caseload data'!$D:$D,"PSO",'caseload data'!$B:$B,{"licence","community"}))</f>
        <v>0</v>
      </c>
      <c r="T138" s="381">
        <f>SUM(SUMIFS('caseload data'!V:V,'caseload data'!D:D,"PSO",'caseload data'!B:B,{"licence","community"}))</f>
        <v>0</v>
      </c>
      <c r="U138" s="64"/>
      <c r="V138" s="64"/>
      <c r="W138" s="477"/>
      <c r="X138" s="137" t="s">
        <v>1002</v>
      </c>
      <c r="Y138" s="138" t="e">
        <f t="shared" ref="Y138:Y141" si="73">SUM(D138)/SUM(D$137:D$141)</f>
        <v>#DIV/0!</v>
      </c>
      <c r="Z138" s="138" t="e">
        <f t="shared" si="72"/>
        <v>#DIV/0!</v>
      </c>
      <c r="AA138" s="138" t="e">
        <f t="shared" si="72"/>
        <v>#DIV/0!</v>
      </c>
      <c r="AB138" s="138" t="e">
        <f t="shared" si="72"/>
        <v>#DIV/0!</v>
      </c>
      <c r="AC138" s="138" t="e">
        <f t="shared" si="72"/>
        <v>#DIV/0!</v>
      </c>
      <c r="AD138" s="138" t="e">
        <f t="shared" si="72"/>
        <v>#DIV/0!</v>
      </c>
      <c r="AE138" s="138" t="e">
        <f t="shared" si="72"/>
        <v>#DIV/0!</v>
      </c>
      <c r="AF138" s="138" t="e">
        <f t="shared" si="72"/>
        <v>#DIV/0!</v>
      </c>
      <c r="AG138" s="138" t="e">
        <f t="shared" si="72"/>
        <v>#DIV/0!</v>
      </c>
      <c r="AH138" s="138" t="e">
        <f t="shared" si="72"/>
        <v>#DIV/0!</v>
      </c>
      <c r="AI138" s="138" t="e">
        <f t="shared" si="72"/>
        <v>#DIV/0!</v>
      </c>
      <c r="AJ138" s="138" t="e">
        <f t="shared" si="72"/>
        <v>#DIV/0!</v>
      </c>
      <c r="AK138" s="138" t="e">
        <f t="shared" si="72"/>
        <v>#DIV/0!</v>
      </c>
      <c r="AL138" s="138" t="e">
        <f t="shared" si="72"/>
        <v>#DIV/0!</v>
      </c>
      <c r="AM138" s="138" t="e">
        <f t="shared" si="72"/>
        <v>#DIV/0!</v>
      </c>
      <c r="AN138" s="138" t="e">
        <f t="shared" si="72"/>
        <v>#DIV/0!</v>
      </c>
      <c r="AO138" s="391" t="e">
        <f t="shared" si="72"/>
        <v>#DIV/0!</v>
      </c>
    </row>
    <row r="139" spans="2:41" x14ac:dyDescent="0.15">
      <c r="B139" s="498"/>
      <c r="C139" s="137" t="s">
        <v>1003</v>
      </c>
      <c r="D139" s="136" cm="1">
        <f t="array" ref="D139">SUM(SUMIFS('caseload data'!E:E,'caseload data'!$D:$D,"TPO",'caseload data'!$B:$B,{"licence","community"}))</f>
        <v>0</v>
      </c>
      <c r="E139" s="136" cm="1">
        <f t="array" ref="E139">SUM(SUMIFS('caseload data'!F:F,'caseload data'!$D:$D,"TPO",'caseload data'!$B:$B,{"licence","community"}))</f>
        <v>0</v>
      </c>
      <c r="F139" s="136" cm="1">
        <f t="array" ref="F139">SUM(SUMIFS('caseload data'!G:G,'caseload data'!$D:$D,"TPO",'caseload data'!$B:$B,{"licence","community"}))</f>
        <v>0</v>
      </c>
      <c r="G139" s="136" cm="1">
        <f t="array" ref="G139">SUM(SUMIFS('caseload data'!H:H,'caseload data'!$D:$D,"TPO",'caseload data'!$B:$B,{"licence","community"}))</f>
        <v>0</v>
      </c>
      <c r="H139" s="136" cm="1">
        <f t="array" ref="H139">SUM(SUMIFS('caseload data'!I:I,'caseload data'!$D:$D,"TPO",'caseload data'!$B:$B,{"licence","community"}))</f>
        <v>0</v>
      </c>
      <c r="I139" s="136" cm="1">
        <f t="array" ref="I139">SUM(SUMIFS('caseload data'!J:J,'caseload data'!$D:$D,"TPO",'caseload data'!$B:$B,{"licence","community"}))</f>
        <v>0</v>
      </c>
      <c r="J139" s="136" cm="1">
        <f t="array" ref="J139">SUM(SUMIFS('caseload data'!K:K,'caseload data'!$D:$D,"TPO",'caseload data'!$B:$B,{"licence","community"}))</f>
        <v>0</v>
      </c>
      <c r="K139" s="136" cm="1">
        <f t="array" ref="K139">SUM(SUMIFS('caseload data'!L:L,'caseload data'!$D:$D,"TPO",'caseload data'!$B:$B,{"licence","community"}))</f>
        <v>0</v>
      </c>
      <c r="L139" s="136" cm="1">
        <f t="array" ref="L139">SUM(SUMIFS('caseload data'!M:M,'caseload data'!$D:$D,"TPO",'caseload data'!$B:$B,{"licence","community"}))</f>
        <v>0</v>
      </c>
      <c r="M139" s="136" cm="1">
        <f t="array" ref="M139">SUM(SUMIFS('caseload data'!N:N,'caseload data'!$D:$D,"TPO",'caseload data'!$B:$B,{"licence","community"}))</f>
        <v>0</v>
      </c>
      <c r="N139" s="136" cm="1">
        <f t="array" ref="N139">SUM(SUMIFS('caseload data'!O:O,'caseload data'!$D:$D,"TPO",'caseload data'!$B:$B,{"licence","community"}))</f>
        <v>0</v>
      </c>
      <c r="O139" s="136" cm="1">
        <f t="array" ref="O139">SUM(SUMIFS('caseload data'!P:P,'caseload data'!$D:$D,"TPO",'caseload data'!$B:$B,{"licence","community"}))</f>
        <v>0</v>
      </c>
      <c r="P139" s="136" cm="1">
        <f t="array" ref="P139">SUM(SUMIFS('caseload data'!Q:Q,'caseload data'!$D:$D,"TPO",'caseload data'!$B:$B,{"licence","community"}))</f>
        <v>0</v>
      </c>
      <c r="Q139" s="136" cm="1">
        <f t="array" ref="Q139">SUM(SUMIFS('caseload data'!R:R,'caseload data'!$D:$D,"TPO",'caseload data'!$B:$B,{"licence","community"}))</f>
        <v>0</v>
      </c>
      <c r="R139" s="136" cm="1">
        <f t="array" ref="R139">SUM(SUMIFS('caseload data'!S:S,'caseload data'!$D:$D,"TPO",'caseload data'!$B:$B,{"licence","community"}))</f>
        <v>0</v>
      </c>
      <c r="S139" s="136" cm="1">
        <f t="array" ref="S139">SUM(SUMIFS('caseload data'!T:T,'caseload data'!$D:$D,"TPO",'caseload data'!$B:$B,{"licence","community"}))</f>
        <v>0</v>
      </c>
      <c r="T139" s="381">
        <f>SUM(SUMIFS('caseload data'!V:V,'caseload data'!D:D,"TPO",'caseload data'!B:B,{"licence","community"}))</f>
        <v>0</v>
      </c>
      <c r="U139" s="64"/>
      <c r="V139" s="64"/>
      <c r="W139" s="477"/>
      <c r="X139" s="137" t="s">
        <v>1003</v>
      </c>
      <c r="Y139" s="138" t="e">
        <f t="shared" si="73"/>
        <v>#DIV/0!</v>
      </c>
      <c r="Z139" s="138" t="e">
        <f t="shared" si="72"/>
        <v>#DIV/0!</v>
      </c>
      <c r="AA139" s="138" t="e">
        <f t="shared" si="72"/>
        <v>#DIV/0!</v>
      </c>
      <c r="AB139" s="138" t="e">
        <f t="shared" si="72"/>
        <v>#DIV/0!</v>
      </c>
      <c r="AC139" s="138" t="e">
        <f t="shared" si="72"/>
        <v>#DIV/0!</v>
      </c>
      <c r="AD139" s="138" t="e">
        <f t="shared" si="72"/>
        <v>#DIV/0!</v>
      </c>
      <c r="AE139" s="138" t="e">
        <f t="shared" si="72"/>
        <v>#DIV/0!</v>
      </c>
      <c r="AF139" s="138" t="e">
        <f t="shared" si="72"/>
        <v>#DIV/0!</v>
      </c>
      <c r="AG139" s="138" t="e">
        <f t="shared" si="72"/>
        <v>#DIV/0!</v>
      </c>
      <c r="AH139" s="138" t="e">
        <f t="shared" si="72"/>
        <v>#DIV/0!</v>
      </c>
      <c r="AI139" s="138" t="e">
        <f t="shared" si="72"/>
        <v>#DIV/0!</v>
      </c>
      <c r="AJ139" s="138" t="e">
        <f t="shared" si="72"/>
        <v>#DIV/0!</v>
      </c>
      <c r="AK139" s="138" t="e">
        <f t="shared" si="72"/>
        <v>#DIV/0!</v>
      </c>
      <c r="AL139" s="138" t="e">
        <f t="shared" si="72"/>
        <v>#DIV/0!</v>
      </c>
      <c r="AM139" s="138" t="e">
        <f t="shared" si="72"/>
        <v>#DIV/0!</v>
      </c>
      <c r="AN139" s="138" t="e">
        <f t="shared" si="72"/>
        <v>#DIV/0!</v>
      </c>
      <c r="AO139" s="391" t="e">
        <f t="shared" si="72"/>
        <v>#DIV/0!</v>
      </c>
    </row>
    <row r="140" spans="2:41" x14ac:dyDescent="0.15">
      <c r="B140" s="498"/>
      <c r="C140" s="137" t="s">
        <v>1004</v>
      </c>
      <c r="D140" s="136">
        <f>SUM(SUMIFS('caseload data'!E:E,'caseload data'!$D:$D,"SPO",'caseload data'!$B:$B,{"licence","community"}))</f>
        <v>0</v>
      </c>
      <c r="E140" s="136">
        <f>SUM(SUMIFS('caseload data'!F:F,'caseload data'!$D:$D,"SPO",'caseload data'!$B:$B,{"licence","community"}))</f>
        <v>0</v>
      </c>
      <c r="F140" s="136">
        <f>SUM(SUMIFS('caseload data'!G:G,'caseload data'!$D:$D,"SPO",'caseload data'!$B:$B,{"licence","community"}))</f>
        <v>0</v>
      </c>
      <c r="G140" s="136">
        <f>SUM(SUMIFS('caseload data'!H:H,'caseload data'!$D:$D,"SPO",'caseload data'!$B:$B,{"licence","community"}))</f>
        <v>0</v>
      </c>
      <c r="H140" s="136">
        <f>SUM(SUMIFS('caseload data'!I:I,'caseload data'!$D:$D,"SPO",'caseload data'!$B:$B,{"licence","community"}))</f>
        <v>0</v>
      </c>
      <c r="I140" s="136">
        <f>SUM(SUMIFS('caseload data'!J:J,'caseload data'!$D:$D,"SPO",'caseload data'!$B:$B,{"licence","community"}))</f>
        <v>0</v>
      </c>
      <c r="J140" s="136">
        <f>SUM(SUMIFS('caseload data'!K:K,'caseload data'!$D:$D,"SPO",'caseload data'!$B:$B,{"licence","community"}))</f>
        <v>0</v>
      </c>
      <c r="K140" s="136">
        <f>SUM(SUMIFS('caseload data'!L:L,'caseload data'!$D:$D,"SPO",'caseload data'!$B:$B,{"licence","community"}))</f>
        <v>0</v>
      </c>
      <c r="L140" s="136">
        <f>SUM(SUMIFS('caseload data'!M:M,'caseload data'!$D:$D,"SPO",'caseload data'!$B:$B,{"licence","community"}))</f>
        <v>0</v>
      </c>
      <c r="M140" s="136">
        <f>SUM(SUMIFS('caseload data'!N:N,'caseload data'!$D:$D,"SPO",'caseload data'!$B:$B,{"licence","community"}))</f>
        <v>0</v>
      </c>
      <c r="N140" s="136">
        <f>SUM(SUMIFS('caseload data'!O:O,'caseload data'!$D:$D,"SPO",'caseload data'!$B:$B,{"licence","community"}))</f>
        <v>0</v>
      </c>
      <c r="O140" s="136">
        <f>SUM(SUMIFS('caseload data'!P:P,'caseload data'!$D:$D,"SPO",'caseload data'!$B:$B,{"licence","community"}))</f>
        <v>0</v>
      </c>
      <c r="P140" s="136">
        <f>SUM(SUMIFS('caseload data'!Q:Q,'caseload data'!$D:$D,"SPO",'caseload data'!$B:$B,{"licence","community"}))</f>
        <v>0</v>
      </c>
      <c r="Q140" s="136">
        <f>SUM(SUMIFS('caseload data'!R:R,'caseload data'!$D:$D,"SPO",'caseload data'!$B:$B,{"licence","community"}))</f>
        <v>0</v>
      </c>
      <c r="R140" s="136">
        <f>SUM(SUMIFS('caseload data'!S:S,'caseload data'!$D:$D,"SPO",'caseload data'!$B:$B,{"licence","community"}))</f>
        <v>0</v>
      </c>
      <c r="S140" s="136">
        <f>SUM(SUMIFS('caseload data'!T:T,'caseload data'!$D:$D,"SPO",'caseload data'!$B:$B,{"licence","community"}))</f>
        <v>0</v>
      </c>
      <c r="T140" s="381">
        <f>SUM(SUMIFS('caseload data'!V:V,'caseload data'!$D:$D,"SPO",'caseload data'!$B:$B,{"licence","community"}))</f>
        <v>0</v>
      </c>
      <c r="U140" s="64"/>
      <c r="V140" s="64"/>
      <c r="W140" s="477"/>
      <c r="X140" s="137" t="s">
        <v>1004</v>
      </c>
      <c r="Y140" s="138" t="e">
        <f t="shared" si="73"/>
        <v>#DIV/0!</v>
      </c>
      <c r="Z140" s="138" t="e">
        <f t="shared" si="72"/>
        <v>#DIV/0!</v>
      </c>
      <c r="AA140" s="138" t="e">
        <f t="shared" si="72"/>
        <v>#DIV/0!</v>
      </c>
      <c r="AB140" s="138" t="e">
        <f t="shared" si="72"/>
        <v>#DIV/0!</v>
      </c>
      <c r="AC140" s="138" t="e">
        <f t="shared" si="72"/>
        <v>#DIV/0!</v>
      </c>
      <c r="AD140" s="138" t="e">
        <f t="shared" si="72"/>
        <v>#DIV/0!</v>
      </c>
      <c r="AE140" s="138" t="e">
        <f t="shared" si="72"/>
        <v>#DIV/0!</v>
      </c>
      <c r="AF140" s="138" t="e">
        <f t="shared" si="72"/>
        <v>#DIV/0!</v>
      </c>
      <c r="AG140" s="138" t="e">
        <f t="shared" si="72"/>
        <v>#DIV/0!</v>
      </c>
      <c r="AH140" s="138" t="e">
        <f t="shared" si="72"/>
        <v>#DIV/0!</v>
      </c>
      <c r="AI140" s="138" t="e">
        <f t="shared" si="72"/>
        <v>#DIV/0!</v>
      </c>
      <c r="AJ140" s="138" t="e">
        <f t="shared" si="72"/>
        <v>#DIV/0!</v>
      </c>
      <c r="AK140" s="138" t="e">
        <f t="shared" si="72"/>
        <v>#DIV/0!</v>
      </c>
      <c r="AL140" s="138" t="e">
        <f t="shared" si="72"/>
        <v>#DIV/0!</v>
      </c>
      <c r="AM140" s="138" t="e">
        <f t="shared" si="72"/>
        <v>#DIV/0!</v>
      </c>
      <c r="AN140" s="138" t="e">
        <f t="shared" si="72"/>
        <v>#DIV/0!</v>
      </c>
      <c r="AO140" s="391" t="e">
        <f t="shared" si="72"/>
        <v>#DIV/0!</v>
      </c>
    </row>
    <row r="141" spans="2:41" ht="15" thickBot="1" x14ac:dyDescent="0.2">
      <c r="B141" s="498"/>
      <c r="C141" s="137" t="s">
        <v>1339</v>
      </c>
      <c r="D141" s="136" cm="1">
        <f t="array" ref="D141">SUM(SUMIFS('caseload data'!E:E,'caseload data'!$D:$D,"DMY",'caseload data'!$B:$B,{"licence","community"}))</f>
        <v>0</v>
      </c>
      <c r="E141" s="136" cm="1">
        <f t="array" ref="E141">SUM(SUMIFS('caseload data'!F:F,'caseload data'!$D:$D,"DMY",'caseload data'!$B:$B,{"licence","community"}))</f>
        <v>0</v>
      </c>
      <c r="F141" s="136" cm="1">
        <f t="array" ref="F141">SUM(SUMIFS('caseload data'!G:G,'caseload data'!$D:$D,"DMY",'caseload data'!$B:$B,{"licence","community"}))</f>
        <v>0</v>
      </c>
      <c r="G141" s="136" cm="1">
        <f t="array" ref="G141">SUM(SUMIFS('caseload data'!H:H,'caseload data'!$D:$D,"DMY",'caseload data'!$B:$B,{"licence","community"}))</f>
        <v>0</v>
      </c>
      <c r="H141" s="136" cm="1">
        <f t="array" ref="H141">SUM(SUMIFS('caseload data'!I:I,'caseload data'!$D:$D,"DMY",'caseload data'!$B:$B,{"licence","community"}))</f>
        <v>0</v>
      </c>
      <c r="I141" s="136" cm="1">
        <f t="array" ref="I141">SUM(SUMIFS('caseload data'!J:J,'caseload data'!$D:$D,"DMY",'caseload data'!$B:$B,{"licence","community"}))</f>
        <v>0</v>
      </c>
      <c r="J141" s="136" cm="1">
        <f t="array" ref="J141">SUM(SUMIFS('caseload data'!K:K,'caseload data'!$D:$D,"DMY",'caseload data'!$B:$B,{"licence","community"}))</f>
        <v>0</v>
      </c>
      <c r="K141" s="136" cm="1">
        <f t="array" ref="K141">SUM(SUMIFS('caseload data'!L:L,'caseload data'!$D:$D,"DMY",'caseload data'!$B:$B,{"licence","community"}))</f>
        <v>0</v>
      </c>
      <c r="L141" s="136" cm="1">
        <f t="array" ref="L141">SUM(SUMIFS('caseload data'!M:M,'caseload data'!$D:$D,"DMY",'caseload data'!$B:$B,{"licence","community"}))</f>
        <v>0</v>
      </c>
      <c r="M141" s="136" cm="1">
        <f t="array" ref="M141">SUM(SUMIFS('caseload data'!N:N,'caseload data'!$D:$D,"DMY",'caseload data'!$B:$B,{"licence","community"}))</f>
        <v>0</v>
      </c>
      <c r="N141" s="136" cm="1">
        <f t="array" ref="N141">SUM(SUMIFS('caseload data'!O:O,'caseload data'!$D:$D,"DMY",'caseload data'!$B:$B,{"licence","community"}))</f>
        <v>0</v>
      </c>
      <c r="O141" s="136" cm="1">
        <f t="array" ref="O141">SUM(SUMIFS('caseload data'!P:P,'caseload data'!$D:$D,"DMY",'caseload data'!$B:$B,{"licence","community"}))</f>
        <v>0</v>
      </c>
      <c r="P141" s="136" cm="1">
        <f t="array" ref="P141">SUM(SUMIFS('caseload data'!Q:Q,'caseload data'!$D:$D,"DMY",'caseload data'!$B:$B,{"licence","community"}))</f>
        <v>0</v>
      </c>
      <c r="Q141" s="136" cm="1">
        <f t="array" ref="Q141">SUM(SUMIFS('caseload data'!R:R,'caseload data'!$D:$D,"DMY",'caseload data'!$B:$B,{"licence","community"}))</f>
        <v>0</v>
      </c>
      <c r="R141" s="136" cm="1">
        <f t="array" ref="R141">SUM(SUMIFS('caseload data'!S:S,'caseload data'!$D:$D,"DMY",'caseload data'!$B:$B,{"licence","community"}))</f>
        <v>0</v>
      </c>
      <c r="S141" s="136" cm="1">
        <f t="array" ref="S141">SUM(SUMIFS('caseload data'!T:T,'caseload data'!$D:$D,"DMY",'caseload data'!$B:$B,{"licence","community"}))</f>
        <v>0</v>
      </c>
      <c r="T141" s="381" cm="1">
        <f t="array" ref="T141">SUM(SUMIFS('caseload data'!V:V,'caseload data'!$D:$D,"DMY",'caseload data'!$B:$B,{"licence","community"}))</f>
        <v>0</v>
      </c>
      <c r="U141" s="64"/>
      <c r="V141" s="64"/>
      <c r="W141" s="478"/>
      <c r="X141" s="385" t="s">
        <v>1339</v>
      </c>
      <c r="Y141" s="389" t="e">
        <f t="shared" si="73"/>
        <v>#DIV/0!</v>
      </c>
      <c r="Z141" s="389" t="e">
        <f t="shared" si="72"/>
        <v>#DIV/0!</v>
      </c>
      <c r="AA141" s="389" t="e">
        <f t="shared" si="72"/>
        <v>#DIV/0!</v>
      </c>
      <c r="AB141" s="389" t="e">
        <f t="shared" si="72"/>
        <v>#DIV/0!</v>
      </c>
      <c r="AC141" s="389" t="e">
        <f t="shared" si="72"/>
        <v>#DIV/0!</v>
      </c>
      <c r="AD141" s="389" t="e">
        <f t="shared" si="72"/>
        <v>#DIV/0!</v>
      </c>
      <c r="AE141" s="389" t="e">
        <f t="shared" si="72"/>
        <v>#DIV/0!</v>
      </c>
      <c r="AF141" s="389" t="e">
        <f t="shared" si="72"/>
        <v>#DIV/0!</v>
      </c>
      <c r="AG141" s="389" t="e">
        <f t="shared" si="72"/>
        <v>#DIV/0!</v>
      </c>
      <c r="AH141" s="389" t="e">
        <f t="shared" si="72"/>
        <v>#DIV/0!</v>
      </c>
      <c r="AI141" s="389" t="e">
        <f t="shared" si="72"/>
        <v>#DIV/0!</v>
      </c>
      <c r="AJ141" s="389" t="e">
        <f t="shared" si="72"/>
        <v>#DIV/0!</v>
      </c>
      <c r="AK141" s="389" t="e">
        <f t="shared" si="72"/>
        <v>#DIV/0!</v>
      </c>
      <c r="AL141" s="389" t="e">
        <f t="shared" si="72"/>
        <v>#DIV/0!</v>
      </c>
      <c r="AM141" s="389" t="e">
        <f t="shared" si="72"/>
        <v>#DIV/0!</v>
      </c>
      <c r="AN141" s="389" t="e">
        <f t="shared" si="72"/>
        <v>#DIV/0!</v>
      </c>
      <c r="AO141" s="392" t="e">
        <f t="shared" si="72"/>
        <v>#DIV/0!</v>
      </c>
    </row>
    <row r="142" spans="2:41" ht="30" customHeight="1" thickBot="1" x14ac:dyDescent="0.2">
      <c r="B142" s="499"/>
      <c r="C142" s="382" t="s">
        <v>1076</v>
      </c>
      <c r="D142" s="383" cm="1">
        <f t="array" ref="D142">SUM(SUMIF('caseload data'!$B:$B,{"licence","community"},'caseload data'!E:E))</f>
        <v>0</v>
      </c>
      <c r="E142" s="383" cm="1">
        <f t="array" ref="E142">SUM(SUMIF('caseload data'!$B:$B,{"licence","community"},'caseload data'!F:F))</f>
        <v>0</v>
      </c>
      <c r="F142" s="383" cm="1">
        <f t="array" ref="F142">SUM(SUMIF('caseload data'!$B:$B,{"licence","community"},'caseload data'!G:G))</f>
        <v>0</v>
      </c>
      <c r="G142" s="383" cm="1">
        <f t="array" ref="G142">SUM(SUMIF('caseload data'!$B:$B,{"licence","community"},'caseload data'!H:H))</f>
        <v>0</v>
      </c>
      <c r="H142" s="383" cm="1">
        <f t="array" ref="H142">SUM(SUMIF('caseload data'!$B:$B,{"licence","community"},'caseload data'!I:I))</f>
        <v>0</v>
      </c>
      <c r="I142" s="383" cm="1">
        <f t="array" ref="I142">SUM(SUMIF('caseload data'!$B:$B,{"licence","community"},'caseload data'!J:J))</f>
        <v>0</v>
      </c>
      <c r="J142" s="383" cm="1">
        <f t="array" ref="J142">SUM(SUMIF('caseload data'!$B:$B,{"licence","community"},'caseload data'!K:K))</f>
        <v>0</v>
      </c>
      <c r="K142" s="383" cm="1">
        <f t="array" ref="K142">SUM(SUMIF('caseload data'!$B:$B,{"licence","community"},'caseload data'!L:L))</f>
        <v>0</v>
      </c>
      <c r="L142" s="383" cm="1">
        <f t="array" ref="L142">SUM(SUMIF('caseload data'!$B:$B,{"licence","community"},'caseload data'!M:M))</f>
        <v>0</v>
      </c>
      <c r="M142" s="383" cm="1">
        <f t="array" ref="M142">SUM(SUMIF('caseload data'!$B:$B,{"licence","community"},'caseload data'!N:N))</f>
        <v>0</v>
      </c>
      <c r="N142" s="383" cm="1">
        <f t="array" ref="N142">SUM(SUMIF('caseload data'!$B:$B,{"licence","community"},'caseload data'!O:O))</f>
        <v>0</v>
      </c>
      <c r="O142" s="383" cm="1">
        <f t="array" ref="O142">SUM(SUMIF('caseload data'!$B:$B,{"licence","community"},'caseload data'!P:P))</f>
        <v>0</v>
      </c>
      <c r="P142" s="383" cm="1">
        <f t="array" ref="P142">SUM(SUMIF('caseload data'!$B:$B,{"licence","community"},'caseload data'!Q:Q))</f>
        <v>0</v>
      </c>
      <c r="Q142" s="383" cm="1">
        <f t="array" ref="Q142">SUM(SUMIF('caseload data'!$B:$B,{"licence","community"},'caseload data'!R:R))</f>
        <v>0</v>
      </c>
      <c r="R142" s="383" cm="1">
        <f t="array" ref="R142">SUM(SUMIF('caseload data'!$B:$B,{"licence","community"},'caseload data'!S:S))</f>
        <v>0</v>
      </c>
      <c r="S142" s="383" cm="1">
        <f t="array" ref="S142">SUM(SUMIF('caseload data'!$B:$B,{"licence","community"},'caseload data'!T:T))</f>
        <v>0</v>
      </c>
      <c r="T142" s="384">
        <f>SUM(SUMIF('caseload data'!B:B,{"licence","community"},'caseload data'!V:V))</f>
        <v>0</v>
      </c>
      <c r="U142" s="64"/>
      <c r="V142" s="64"/>
      <c r="W142" s="131"/>
      <c r="X142" s="132"/>
      <c r="Y142" s="133"/>
      <c r="Z142" s="133"/>
      <c r="AA142" s="133"/>
      <c r="AB142" s="133"/>
      <c r="AC142" s="133"/>
      <c r="AD142" s="133"/>
      <c r="AE142" s="133"/>
    </row>
    <row r="144" spans="2:41" ht="15" thickBot="1" x14ac:dyDescent="0.2"/>
    <row r="145" spans="2:41" ht="17" thickBot="1" x14ac:dyDescent="0.25">
      <c r="B145" s="1"/>
      <c r="C145" s="2"/>
      <c r="D145" s="494" t="s">
        <v>1079</v>
      </c>
      <c r="E145" s="495"/>
      <c r="F145" s="495"/>
      <c r="G145" s="495"/>
      <c r="H145" s="495"/>
      <c r="I145" s="495"/>
      <c r="J145" s="495"/>
      <c r="K145" s="495"/>
      <c r="L145" s="495"/>
      <c r="M145" s="495"/>
      <c r="N145" s="495"/>
      <c r="O145" s="495"/>
      <c r="P145" s="495"/>
      <c r="Q145" s="495"/>
      <c r="R145" s="495"/>
      <c r="S145" s="495"/>
      <c r="T145" s="496"/>
      <c r="W145" s="1"/>
      <c r="X145" s="2"/>
      <c r="Y145" s="492" t="s">
        <v>1080</v>
      </c>
      <c r="Z145" s="493"/>
      <c r="AA145" s="493"/>
      <c r="AB145" s="493"/>
      <c r="AC145" s="493"/>
      <c r="AD145" s="493"/>
      <c r="AE145" s="493"/>
      <c r="AF145" s="493"/>
      <c r="AG145" s="493"/>
      <c r="AH145" s="493"/>
      <c r="AI145" s="493"/>
      <c r="AJ145" s="493"/>
      <c r="AK145" s="493"/>
      <c r="AL145" s="493"/>
      <c r="AM145" s="493"/>
      <c r="AN145" s="493"/>
    </row>
    <row r="146" spans="2:41" x14ac:dyDescent="0.15">
      <c r="B146" s="124" t="s">
        <v>838</v>
      </c>
      <c r="C146" s="126" t="s">
        <v>996</v>
      </c>
      <c r="D146" s="38" t="s">
        <v>864</v>
      </c>
      <c r="E146" s="38" t="s">
        <v>865</v>
      </c>
      <c r="F146" s="38" t="s">
        <v>866</v>
      </c>
      <c r="G146" s="38" t="s">
        <v>867</v>
      </c>
      <c r="H146" s="38" t="s">
        <v>868</v>
      </c>
      <c r="I146" s="38" t="s">
        <v>869</v>
      </c>
      <c r="J146" s="38" t="s">
        <v>870</v>
      </c>
      <c r="K146" s="38" t="s">
        <v>871</v>
      </c>
      <c r="L146" s="38" t="s">
        <v>872</v>
      </c>
      <c r="M146" s="38" t="s">
        <v>873</v>
      </c>
      <c r="N146" s="38" t="s">
        <v>874</v>
      </c>
      <c r="O146" s="38" t="s">
        <v>875</v>
      </c>
      <c r="P146" s="38" t="s">
        <v>876</v>
      </c>
      <c r="Q146" s="38" t="s">
        <v>877</v>
      </c>
      <c r="R146" s="38" t="s">
        <v>878</v>
      </c>
      <c r="S146" s="38" t="s">
        <v>879</v>
      </c>
      <c r="T146" s="126" t="s">
        <v>881</v>
      </c>
      <c r="U146" s="64"/>
      <c r="V146" s="64"/>
      <c r="W146" s="124" t="s">
        <v>838</v>
      </c>
      <c r="X146" s="126" t="s">
        <v>996</v>
      </c>
      <c r="Y146" s="38" t="s">
        <v>864</v>
      </c>
      <c r="Z146" s="38" t="s">
        <v>865</v>
      </c>
      <c r="AA146" s="38" t="s">
        <v>866</v>
      </c>
      <c r="AB146" s="38" t="s">
        <v>867</v>
      </c>
      <c r="AC146" s="38" t="s">
        <v>868</v>
      </c>
      <c r="AD146" s="38" t="s">
        <v>869</v>
      </c>
      <c r="AE146" s="38" t="s">
        <v>870</v>
      </c>
      <c r="AF146" s="38" t="s">
        <v>871</v>
      </c>
      <c r="AG146" s="38" t="s">
        <v>872</v>
      </c>
      <c r="AH146" s="38" t="s">
        <v>873</v>
      </c>
      <c r="AI146" s="38" t="s">
        <v>874</v>
      </c>
      <c r="AJ146" s="38" t="s">
        <v>875</v>
      </c>
      <c r="AK146" s="38" t="s">
        <v>876</v>
      </c>
      <c r="AL146" s="38" t="s">
        <v>877</v>
      </c>
      <c r="AM146" s="38" t="s">
        <v>878</v>
      </c>
      <c r="AN146" s="38" t="s">
        <v>879</v>
      </c>
      <c r="AO146" s="38" t="s">
        <v>994</v>
      </c>
    </row>
    <row r="147" spans="2:41" x14ac:dyDescent="0.15">
      <c r="B147" s="473" t="s">
        <v>17</v>
      </c>
      <c r="C147" s="128" t="s">
        <v>997</v>
      </c>
      <c r="D147" s="94">
        <f>SUMIFS('caseload data'!E:E,'caseload data'!$D:$D,"PO",'caseload data'!$A:$A,'national caseload'!$B$147:$B$149,'caseload data'!$B:$B,"custody")</f>
        <v>0</v>
      </c>
      <c r="E147" s="94">
        <f>SUMIFS('caseload data'!F:F,'caseload data'!$D:$D,"PO",'caseload data'!$A:$A,'national caseload'!$B$147:$B$149,'caseload data'!$B:$B,"custody")</f>
        <v>0</v>
      </c>
      <c r="F147" s="94">
        <f>SUMIFS('caseload data'!G:G,'caseload data'!$D:$D,"PO",'caseload data'!$A:$A,'national caseload'!$B$147:$B$149,'caseload data'!$B:$B,"custody")</f>
        <v>0</v>
      </c>
      <c r="G147" s="94">
        <f>SUMIFS('caseload data'!H:H,'caseload data'!$D:$D,"PO",'caseload data'!$A:$A,'national caseload'!$B$147:$B$149,'caseload data'!$B:$B,"custody")</f>
        <v>0</v>
      </c>
      <c r="H147" s="94">
        <f>SUMIFS('caseload data'!I:I,'caseload data'!$D:$D,"PO",'caseload data'!$A:$A,'national caseload'!$B$147:$B$149,'caseload data'!$B:$B,"custody")</f>
        <v>0</v>
      </c>
      <c r="I147" s="94">
        <f>SUMIFS('caseload data'!J:J,'caseload data'!$D:$D,"PO",'caseload data'!$A:$A,'national caseload'!$B$147:$B$149,'caseload data'!$B:$B,"custody")</f>
        <v>0</v>
      </c>
      <c r="J147" s="94">
        <f>SUMIFS('caseload data'!K:K,'caseload data'!$D:$D,"PO",'caseload data'!$A:$A,'national caseload'!$B$147:$B$149,'caseload data'!$B:$B,"custody")</f>
        <v>0</v>
      </c>
      <c r="K147" s="94">
        <f>SUMIFS('caseload data'!L:L,'caseload data'!$D:$D,"PO",'caseload data'!$A:$A,'national caseload'!$B$147:$B$149,'caseload data'!$B:$B,"custody")</f>
        <v>0</v>
      </c>
      <c r="L147" s="94">
        <f>SUMIFS('caseload data'!M:M,'caseload data'!$D:$D,"PO",'caseload data'!$A:$A,'national caseload'!$B$147:$B$149,'caseload data'!$B:$B,"custody")</f>
        <v>0</v>
      </c>
      <c r="M147" s="94">
        <f>SUMIFS('caseload data'!N:N,'caseload data'!$D:$D,"PO",'caseload data'!$A:$A,'national caseload'!$B$147:$B$149,'caseload data'!$B:$B,"custody")</f>
        <v>0</v>
      </c>
      <c r="N147" s="94">
        <f>SUMIFS('caseload data'!O:O,'caseload data'!$D:$D,"PO",'caseload data'!$A:$A,'national caseload'!$B$147:$B$149,'caseload data'!$B:$B,"custody")</f>
        <v>0</v>
      </c>
      <c r="O147" s="94">
        <f>SUMIFS('caseload data'!P:P,'caseload data'!$D:$D,"PO",'caseload data'!$A:$A,'national caseload'!$B$147:$B$149,'caseload data'!$B:$B,"custody")</f>
        <v>0</v>
      </c>
      <c r="P147" s="94">
        <f>SUMIFS('caseload data'!Q:Q,'caseload data'!$D:$D,"PO",'caseload data'!$A:$A,'national caseload'!$B$147:$B$149,'caseload data'!$B:$B,"custody")</f>
        <v>0</v>
      </c>
      <c r="Q147" s="94">
        <f>SUMIFS('caseload data'!R:R,'caseload data'!$D:$D,"PO",'caseload data'!$A:$A,'national caseload'!$B$147:$B$149,'caseload data'!$B:$B,"custody")</f>
        <v>0</v>
      </c>
      <c r="R147" s="94">
        <f>SUMIFS('caseload data'!S:S,'caseload data'!$D:$D,"PO",'caseload data'!$A:$A,'national caseload'!$B$147:$B$149,'caseload data'!$B:$B,"custody")</f>
        <v>0</v>
      </c>
      <c r="S147" s="94">
        <f>SUMIFS('caseload data'!T:T,'caseload data'!$D:$D,"PO",'caseload data'!$A:$A,'national caseload'!$B$147:$B$149,'caseload data'!$B:$B,"custody")</f>
        <v>0</v>
      </c>
      <c r="T147" s="94">
        <f>SUMIFS('caseload data'!V:V,'caseload data'!D:D,"PO",'caseload data'!A:A,'national caseload'!B147:B149,'caseload data'!B:B,"custody")</f>
        <v>0</v>
      </c>
      <c r="U147" s="64"/>
      <c r="V147" s="64"/>
      <c r="W147" s="473" t="s">
        <v>17</v>
      </c>
      <c r="X147" s="128" t="s">
        <v>997</v>
      </c>
      <c r="Y147" s="167" t="e">
        <f>SUM(D147)/SUM(D$147:D$151)</f>
        <v>#DIV/0!</v>
      </c>
      <c r="Z147" s="167" t="e">
        <f t="shared" ref="Z147:AD151" si="74">SUM(E147)/SUM(E$147:E$151)</f>
        <v>#DIV/0!</v>
      </c>
      <c r="AA147" s="167" t="e">
        <f t="shared" si="74"/>
        <v>#DIV/0!</v>
      </c>
      <c r="AB147" s="167" t="e">
        <f t="shared" si="74"/>
        <v>#DIV/0!</v>
      </c>
      <c r="AC147" s="167" t="e">
        <f t="shared" si="74"/>
        <v>#DIV/0!</v>
      </c>
      <c r="AD147" s="167" t="e">
        <f t="shared" si="74"/>
        <v>#DIV/0!</v>
      </c>
      <c r="AE147" s="167" t="e">
        <f t="shared" ref="AE147:AE151" si="75">SUM(J147)/SUM(J$147:J$151)</f>
        <v>#DIV/0!</v>
      </c>
      <c r="AF147" s="167" t="e">
        <f t="shared" ref="AF147:AF151" si="76">SUM(K147)/SUM(K$147:K$151)</f>
        <v>#DIV/0!</v>
      </c>
      <c r="AG147" s="167" t="e">
        <f t="shared" ref="AG147:AG151" si="77">SUM(L147)/SUM(L$147:L$151)</f>
        <v>#DIV/0!</v>
      </c>
      <c r="AH147" s="167" t="e">
        <f t="shared" ref="AH147:AH151" si="78">SUM(M147)/SUM(M$147:M$151)</f>
        <v>#DIV/0!</v>
      </c>
      <c r="AI147" s="167" t="e">
        <f t="shared" ref="AI147:AI151" si="79">SUM(N147)/SUM(N$147:N$151)</f>
        <v>#DIV/0!</v>
      </c>
      <c r="AJ147" s="167" t="e">
        <f t="shared" ref="AJ147:AJ151" si="80">SUM(O147)/SUM(O$147:O$151)</f>
        <v>#DIV/0!</v>
      </c>
      <c r="AK147" s="167" t="e">
        <f t="shared" ref="AK147:AK151" si="81">SUM(P147)/SUM(P$147:P$151)</f>
        <v>#DIV/0!</v>
      </c>
      <c r="AL147" s="167" t="e">
        <f t="shared" ref="AL147:AL151" si="82">SUM(Q147)/SUM(Q$147:Q$151)</f>
        <v>#DIV/0!</v>
      </c>
      <c r="AM147" s="167" t="e">
        <f t="shared" ref="AM147:AM151" si="83">SUM(R147)/SUM(R$147:R$151)</f>
        <v>#DIV/0!</v>
      </c>
      <c r="AN147" s="167" t="e">
        <f t="shared" ref="AN147:AO151" si="84">SUM(S147)/SUM(S$147:S$151)</f>
        <v>#DIV/0!</v>
      </c>
      <c r="AO147" s="167" t="e">
        <f>SUM(T147)/SUM(T$147:T$151)</f>
        <v>#DIV/0!</v>
      </c>
    </row>
    <row r="148" spans="2:41" x14ac:dyDescent="0.15">
      <c r="B148" s="474"/>
      <c r="C148" s="129" t="s">
        <v>1002</v>
      </c>
      <c r="D148" s="94">
        <f>SUMIFS('caseload data'!E:E,'caseload data'!$D:$D,"PSO",'caseload data'!$A:$A,"East Midlands Region",'caseload data'!$B:$B,"custody")</f>
        <v>0</v>
      </c>
      <c r="E148" s="94">
        <f>SUMIFS('caseload data'!F:F,'caseload data'!$D:$D,"PSO",'caseload data'!$A:$A,"East Midlands Region",'caseload data'!$B:$B,"custody")</f>
        <v>0</v>
      </c>
      <c r="F148" s="94">
        <f>SUMIFS('caseload data'!G:G,'caseload data'!$D:$D,"PSO",'caseload data'!$A:$A,"East Midlands Region",'caseload data'!$B:$B,"custody")</f>
        <v>0</v>
      </c>
      <c r="G148" s="94">
        <f>SUMIFS('caseload data'!H:H,'caseload data'!$D:$D,"PSO",'caseload data'!$A:$A,"East Midlands Region",'caseload data'!$B:$B,"custody")</f>
        <v>0</v>
      </c>
      <c r="H148" s="94">
        <f>SUMIFS('caseload data'!I:I,'caseload data'!$D:$D,"PSO",'caseload data'!$A:$A,"East Midlands Region",'caseload data'!$B:$B,"custody")</f>
        <v>0</v>
      </c>
      <c r="I148" s="94">
        <f>SUMIFS('caseload data'!J:J,'caseload data'!$D:$D,"PSO",'caseload data'!$A:$A,"East Midlands Region",'caseload data'!$B:$B,"custody")</f>
        <v>0</v>
      </c>
      <c r="J148" s="94">
        <f>SUMIFS('caseload data'!K:K,'caseload data'!$D:$D,"PSO",'caseload data'!$A:$A,"East Midlands Region",'caseload data'!$B:$B,"custody")</f>
        <v>0</v>
      </c>
      <c r="K148" s="94">
        <f>SUMIFS('caseload data'!L:L,'caseload data'!$D:$D,"PSO",'caseload data'!$A:$A,"East Midlands Region",'caseload data'!$B:$B,"custody")</f>
        <v>0</v>
      </c>
      <c r="L148" s="94">
        <f>SUMIFS('caseload data'!M:M,'caseload data'!$D:$D,"PSO",'caseload data'!$A:$A,"East Midlands Region",'caseload data'!$B:$B,"custody")</f>
        <v>0</v>
      </c>
      <c r="M148" s="94">
        <f>SUMIFS('caseload data'!N:N,'caseload data'!$D:$D,"PSO",'caseload data'!$A:$A,"East Midlands Region",'caseload data'!$B:$B,"custody")</f>
        <v>0</v>
      </c>
      <c r="N148" s="94">
        <f>SUMIFS('caseload data'!O:O,'caseload data'!$D:$D,"PSO",'caseload data'!$A:$A,"East Midlands Region",'caseload data'!$B:$B,"custody")</f>
        <v>0</v>
      </c>
      <c r="O148" s="94">
        <f>SUMIFS('caseload data'!P:P,'caseload data'!$D:$D,"PSO",'caseload data'!$A:$A,"East Midlands Region",'caseload data'!$B:$B,"custody")</f>
        <v>0</v>
      </c>
      <c r="P148" s="94">
        <f>SUMIFS('caseload data'!Q:Q,'caseload data'!$D:$D,"PSO",'caseload data'!$A:$A,"East Midlands Region",'caseload data'!$B:$B,"custody")</f>
        <v>0</v>
      </c>
      <c r="Q148" s="94">
        <f>SUMIFS('caseload data'!R:R,'caseload data'!$D:$D,"PSO",'caseload data'!$A:$A,"East Midlands Region",'caseload data'!$B:$B,"custody")</f>
        <v>0</v>
      </c>
      <c r="R148" s="94">
        <f>SUMIFS('caseload data'!S:S,'caseload data'!$D:$D,"PSO",'caseload data'!$A:$A,"East Midlands Region",'caseload data'!$B:$B,"custody")</f>
        <v>0</v>
      </c>
      <c r="S148" s="94">
        <f>SUMIFS('caseload data'!T:T,'caseload data'!$D:$D,"PSO",'caseload data'!$A:$A,"East Midlands Region",'caseload data'!$B:$B,"custody")</f>
        <v>0</v>
      </c>
      <c r="T148" s="94">
        <f>SUMIFS('caseload data'!V:V,'caseload data'!D:D,"PSO",'caseload data'!A:A,"East Midlands Region",'caseload data'!B:B,"custody")</f>
        <v>0</v>
      </c>
      <c r="U148" s="64"/>
      <c r="V148" s="64"/>
      <c r="W148" s="474"/>
      <c r="X148" s="129" t="s">
        <v>1002</v>
      </c>
      <c r="Y148" s="167" t="e">
        <f t="shared" ref="Y148:Y151" si="85">SUM(D148)/SUM(D$147:D$151)</f>
        <v>#DIV/0!</v>
      </c>
      <c r="Z148" s="167" t="e">
        <f t="shared" si="74"/>
        <v>#DIV/0!</v>
      </c>
      <c r="AA148" s="167" t="e">
        <f t="shared" si="74"/>
        <v>#DIV/0!</v>
      </c>
      <c r="AB148" s="167" t="e">
        <f t="shared" si="74"/>
        <v>#DIV/0!</v>
      </c>
      <c r="AC148" s="167" t="e">
        <f t="shared" si="74"/>
        <v>#DIV/0!</v>
      </c>
      <c r="AD148" s="167" t="e">
        <f t="shared" si="74"/>
        <v>#DIV/0!</v>
      </c>
      <c r="AE148" s="167" t="e">
        <f t="shared" si="75"/>
        <v>#DIV/0!</v>
      </c>
      <c r="AF148" s="167" t="e">
        <f t="shared" si="76"/>
        <v>#DIV/0!</v>
      </c>
      <c r="AG148" s="167" t="e">
        <f t="shared" si="77"/>
        <v>#DIV/0!</v>
      </c>
      <c r="AH148" s="167" t="e">
        <f t="shared" si="78"/>
        <v>#DIV/0!</v>
      </c>
      <c r="AI148" s="167" t="e">
        <f t="shared" si="79"/>
        <v>#DIV/0!</v>
      </c>
      <c r="AJ148" s="167" t="e">
        <f t="shared" si="80"/>
        <v>#DIV/0!</v>
      </c>
      <c r="AK148" s="167" t="e">
        <f t="shared" si="81"/>
        <v>#DIV/0!</v>
      </c>
      <c r="AL148" s="167" t="e">
        <f t="shared" si="82"/>
        <v>#DIV/0!</v>
      </c>
      <c r="AM148" s="167" t="e">
        <f t="shared" si="83"/>
        <v>#DIV/0!</v>
      </c>
      <c r="AN148" s="167" t="e">
        <f t="shared" si="84"/>
        <v>#DIV/0!</v>
      </c>
      <c r="AO148" s="167" t="e">
        <f t="shared" si="84"/>
        <v>#DIV/0!</v>
      </c>
    </row>
    <row r="149" spans="2:41" x14ac:dyDescent="0.15">
      <c r="B149" s="474"/>
      <c r="C149" s="129" t="s">
        <v>1003</v>
      </c>
      <c r="D149" s="94">
        <f>SUMIFS('caseload data'!E:E,'caseload data'!$D:$D,"TPO",'caseload data'!$A:$A,"East Midlands Region",'caseload data'!$B:$B,"custody")</f>
        <v>0</v>
      </c>
      <c r="E149" s="94">
        <f>SUMIFS('caseload data'!F:F,'caseload data'!$D:$D,"TPO",'caseload data'!$A:$A,"East Midlands Region",'caseload data'!$B:$B,"custody")</f>
        <v>0</v>
      </c>
      <c r="F149" s="94">
        <f>SUMIFS('caseload data'!G:G,'caseload data'!$D:$D,"TPO",'caseload data'!$A:$A,"East Midlands Region",'caseload data'!$B:$B,"custody")</f>
        <v>0</v>
      </c>
      <c r="G149" s="94">
        <f>SUMIFS('caseload data'!H:H,'caseload data'!$D:$D,"TPO",'caseload data'!$A:$A,"East Midlands Region",'caseload data'!$B:$B,"custody")</f>
        <v>0</v>
      </c>
      <c r="H149" s="94">
        <f>SUMIFS('caseload data'!I:I,'caseload data'!$D:$D,"TPO",'caseload data'!$A:$A,"East Midlands Region",'caseload data'!$B:$B,"custody")</f>
        <v>0</v>
      </c>
      <c r="I149" s="94">
        <f>SUMIFS('caseload data'!J:J,'caseload data'!$D:$D,"TPO",'caseload data'!$A:$A,"East Midlands Region",'caseload data'!$B:$B,"custody")</f>
        <v>0</v>
      </c>
      <c r="J149" s="94">
        <f>SUMIFS('caseload data'!K:K,'caseload data'!$D:$D,"TPO",'caseload data'!$A:$A,"East Midlands Region",'caseload data'!$B:$B,"custody")</f>
        <v>0</v>
      </c>
      <c r="K149" s="94">
        <f>SUMIFS('caseload data'!L:L,'caseload data'!$D:$D,"TPO",'caseload data'!$A:$A,"East Midlands Region",'caseload data'!$B:$B,"custody")</f>
        <v>0</v>
      </c>
      <c r="L149" s="94">
        <f>SUMIFS('caseload data'!M:M,'caseload data'!$D:$D,"TPO",'caseload data'!$A:$A,"East Midlands Region",'caseload data'!$B:$B,"custody")</f>
        <v>0</v>
      </c>
      <c r="M149" s="94">
        <f>SUMIFS('caseload data'!N:N,'caseload data'!$D:$D,"TPO",'caseload data'!$A:$A,"East Midlands Region",'caseload data'!$B:$B,"custody")</f>
        <v>0</v>
      </c>
      <c r="N149" s="94">
        <f>SUMIFS('caseload data'!O:O,'caseload data'!$D:$D,"TPO",'caseload data'!$A:$A,"East Midlands Region",'caseload data'!$B:$B,"custody")</f>
        <v>0</v>
      </c>
      <c r="O149" s="94">
        <f>SUMIFS('caseload data'!P:P,'caseload data'!$D:$D,"TPO",'caseload data'!$A:$A,"East Midlands Region",'caseload data'!$B:$B,"custody")</f>
        <v>0</v>
      </c>
      <c r="P149" s="94">
        <f>SUMIFS('caseload data'!Q:Q,'caseload data'!$D:$D,"TPO",'caseload data'!$A:$A,"East Midlands Region",'caseload data'!$B:$B,"custody")</f>
        <v>0</v>
      </c>
      <c r="Q149" s="94">
        <f>SUMIFS('caseload data'!R:R,'caseload data'!$D:$D,"TPO",'caseload data'!$A:$A,"East Midlands Region",'caseload data'!$B:$B,"custody")</f>
        <v>0</v>
      </c>
      <c r="R149" s="94">
        <f>SUMIFS('caseload data'!S:S,'caseload data'!$D:$D,"TPO",'caseload data'!$A:$A,"East Midlands Region",'caseload data'!$B:$B,"custody")</f>
        <v>0</v>
      </c>
      <c r="S149" s="94">
        <f>SUMIFS('caseload data'!T:T,'caseload data'!$D:$D,"TPO",'caseload data'!$A:$A,"East Midlands Region",'caseload data'!$B:$B,"custody")</f>
        <v>0</v>
      </c>
      <c r="T149" s="94">
        <f>SUMIFS('caseload data'!V:V,'caseload data'!D:D,"TPO",'caseload data'!A:A,"East Midlands Region",'caseload data'!B:B,"custody")</f>
        <v>0</v>
      </c>
      <c r="U149" s="64"/>
      <c r="V149" s="64"/>
      <c r="W149" s="474"/>
      <c r="X149" s="129" t="s">
        <v>1003</v>
      </c>
      <c r="Y149" s="167" t="e">
        <f t="shared" si="85"/>
        <v>#DIV/0!</v>
      </c>
      <c r="Z149" s="167" t="e">
        <f t="shared" si="74"/>
        <v>#DIV/0!</v>
      </c>
      <c r="AA149" s="167" t="e">
        <f t="shared" si="74"/>
        <v>#DIV/0!</v>
      </c>
      <c r="AB149" s="167" t="e">
        <f t="shared" si="74"/>
        <v>#DIV/0!</v>
      </c>
      <c r="AC149" s="167" t="e">
        <f t="shared" si="74"/>
        <v>#DIV/0!</v>
      </c>
      <c r="AD149" s="167" t="e">
        <f t="shared" si="74"/>
        <v>#DIV/0!</v>
      </c>
      <c r="AE149" s="167" t="e">
        <f t="shared" si="75"/>
        <v>#DIV/0!</v>
      </c>
      <c r="AF149" s="167" t="e">
        <f t="shared" si="76"/>
        <v>#DIV/0!</v>
      </c>
      <c r="AG149" s="167" t="e">
        <f t="shared" si="77"/>
        <v>#DIV/0!</v>
      </c>
      <c r="AH149" s="167" t="e">
        <f t="shared" si="78"/>
        <v>#DIV/0!</v>
      </c>
      <c r="AI149" s="167" t="e">
        <f t="shared" si="79"/>
        <v>#DIV/0!</v>
      </c>
      <c r="AJ149" s="167" t="e">
        <f t="shared" si="80"/>
        <v>#DIV/0!</v>
      </c>
      <c r="AK149" s="167" t="e">
        <f t="shared" si="81"/>
        <v>#DIV/0!</v>
      </c>
      <c r="AL149" s="167" t="e">
        <f t="shared" si="82"/>
        <v>#DIV/0!</v>
      </c>
      <c r="AM149" s="167" t="e">
        <f t="shared" si="83"/>
        <v>#DIV/0!</v>
      </c>
      <c r="AN149" s="167" t="e">
        <f t="shared" si="84"/>
        <v>#DIV/0!</v>
      </c>
      <c r="AO149" s="167" t="e">
        <f t="shared" si="84"/>
        <v>#DIV/0!</v>
      </c>
    </row>
    <row r="150" spans="2:41" x14ac:dyDescent="0.15">
      <c r="B150" s="474"/>
      <c r="C150" s="129" t="s">
        <v>1004</v>
      </c>
      <c r="D150" s="94">
        <f>SUMIFS('caseload data'!E:E,'caseload data'!$D:$D,"SPO",'caseload data'!$A:$A,"East Midlands Region",'caseload data'!$B:$B,"custody")</f>
        <v>0</v>
      </c>
      <c r="E150" s="94">
        <f>SUMIFS('caseload data'!F:F,'caseload data'!$D:$D,"SPO",'caseload data'!$A:$A,"East Midlands Region",'caseload data'!$B:$B,"custody")</f>
        <v>0</v>
      </c>
      <c r="F150" s="94">
        <f>SUMIFS('caseload data'!G:G,'caseload data'!$D:$D,"SPO",'caseload data'!$A:$A,"East Midlands Region",'caseload data'!$B:$B,"custody")</f>
        <v>0</v>
      </c>
      <c r="G150" s="94">
        <f>SUMIFS('caseload data'!H:H,'caseload data'!$D:$D,"SPO",'caseload data'!$A:$A,"East Midlands Region",'caseload data'!$B:$B,"custody")</f>
        <v>0</v>
      </c>
      <c r="H150" s="94">
        <f>SUMIFS('caseload data'!I:I,'caseload data'!$D:$D,"SPO",'caseload data'!$A:$A,"East Midlands Region",'caseload data'!$B:$B,"custody")</f>
        <v>0</v>
      </c>
      <c r="I150" s="94">
        <f>SUMIFS('caseload data'!J:J,'caseload data'!$D:$D,"SPO",'caseload data'!$A:$A,"East Midlands Region",'caseload data'!$B:$B,"custody")</f>
        <v>0</v>
      </c>
      <c r="J150" s="94">
        <f>SUMIFS('caseload data'!K:K,'caseload data'!$D:$D,"SPO",'caseload data'!$A:$A,"East Midlands Region",'caseload data'!$B:$B,"custody")</f>
        <v>0</v>
      </c>
      <c r="K150" s="94">
        <f>SUMIFS('caseload data'!L:L,'caseload data'!$D:$D,"SPO",'caseload data'!$A:$A,"East Midlands Region",'caseload data'!$B:$B,"custody")</f>
        <v>0</v>
      </c>
      <c r="L150" s="94">
        <f>SUMIFS('caseload data'!M:M,'caseload data'!$D:$D,"SPO",'caseload data'!$A:$A,"East Midlands Region",'caseload data'!$B:$B,"custody")</f>
        <v>0</v>
      </c>
      <c r="M150" s="94">
        <f>SUMIFS('caseload data'!N:N,'caseload data'!$D:$D,"SPO",'caseload data'!$A:$A,"East Midlands Region",'caseload data'!$B:$B,"custody")</f>
        <v>0</v>
      </c>
      <c r="N150" s="94">
        <f>SUMIFS('caseload data'!O:O,'caseload data'!$D:$D,"SPO",'caseload data'!$A:$A,"East Midlands Region",'caseload data'!$B:$B,"custody")</f>
        <v>0</v>
      </c>
      <c r="O150" s="94">
        <f>SUMIFS('caseload data'!P:P,'caseload data'!$D:$D,"SPO",'caseload data'!$A:$A,"East Midlands Region",'caseload data'!$B:$B,"custody")</f>
        <v>0</v>
      </c>
      <c r="P150" s="94">
        <f>SUMIFS('caseload data'!Q:Q,'caseload data'!$D:$D,"SPO",'caseload data'!$A:$A,"East Midlands Region",'caseload data'!$B:$B,"custody")</f>
        <v>0</v>
      </c>
      <c r="Q150" s="94">
        <f>SUMIFS('caseload data'!R:R,'caseload data'!$D:$D,"SPO",'caseload data'!$A:$A,"East Midlands Region",'caseload data'!$B:$B,"custody")</f>
        <v>0</v>
      </c>
      <c r="R150" s="94">
        <f>SUMIFS('caseload data'!S:S,'caseload data'!$D:$D,"SPO",'caseload data'!$A:$A,"East Midlands Region",'caseload data'!$B:$B,"custody")</f>
        <v>0</v>
      </c>
      <c r="S150" s="94">
        <f>SUMIFS('caseload data'!T:T,'caseload data'!$D:$D,"SPO",'caseload data'!$A:$A,"East Midlands Region",'caseload data'!$B:$B,"custody")</f>
        <v>0</v>
      </c>
      <c r="T150" s="94">
        <f>SUMIFS('caseload data'!V:V,'caseload data'!$D:$D,"SPO",'caseload data'!$A:$A,"East Midlands Region",'caseload data'!$B:$B,"custody")</f>
        <v>0</v>
      </c>
      <c r="U150" s="64"/>
      <c r="V150" s="64"/>
      <c r="W150" s="474"/>
      <c r="X150" s="129" t="s">
        <v>1004</v>
      </c>
      <c r="Y150" s="167" t="e">
        <f t="shared" si="85"/>
        <v>#DIV/0!</v>
      </c>
      <c r="Z150" s="167" t="e">
        <f t="shared" si="74"/>
        <v>#DIV/0!</v>
      </c>
      <c r="AA150" s="167" t="e">
        <f t="shared" si="74"/>
        <v>#DIV/0!</v>
      </c>
      <c r="AB150" s="167" t="e">
        <f t="shared" si="74"/>
        <v>#DIV/0!</v>
      </c>
      <c r="AC150" s="167" t="e">
        <f t="shared" si="74"/>
        <v>#DIV/0!</v>
      </c>
      <c r="AD150" s="167" t="e">
        <f t="shared" si="74"/>
        <v>#DIV/0!</v>
      </c>
      <c r="AE150" s="167" t="e">
        <f t="shared" si="75"/>
        <v>#DIV/0!</v>
      </c>
      <c r="AF150" s="167" t="e">
        <f t="shared" si="76"/>
        <v>#DIV/0!</v>
      </c>
      <c r="AG150" s="167" t="e">
        <f t="shared" si="77"/>
        <v>#DIV/0!</v>
      </c>
      <c r="AH150" s="167" t="e">
        <f t="shared" si="78"/>
        <v>#DIV/0!</v>
      </c>
      <c r="AI150" s="167" t="e">
        <f t="shared" si="79"/>
        <v>#DIV/0!</v>
      </c>
      <c r="AJ150" s="167" t="e">
        <f t="shared" si="80"/>
        <v>#DIV/0!</v>
      </c>
      <c r="AK150" s="167" t="e">
        <f t="shared" si="81"/>
        <v>#DIV/0!</v>
      </c>
      <c r="AL150" s="167" t="e">
        <f t="shared" si="82"/>
        <v>#DIV/0!</v>
      </c>
      <c r="AM150" s="167" t="e">
        <f t="shared" si="83"/>
        <v>#DIV/0!</v>
      </c>
      <c r="AN150" s="167" t="e">
        <f t="shared" si="84"/>
        <v>#DIV/0!</v>
      </c>
      <c r="AO150" s="167" t="e">
        <f t="shared" si="84"/>
        <v>#DIV/0!</v>
      </c>
    </row>
    <row r="151" spans="2:41" x14ac:dyDescent="0.15">
      <c r="B151" s="475"/>
      <c r="C151" s="130" t="s">
        <v>1339</v>
      </c>
      <c r="D151" s="94">
        <f>SUMIFS('caseload data'!E:E,'caseload data'!$D:$D,"DMY",'caseload data'!$A:$A,"East Midlands Region",'caseload data'!$B:$B,"custody")</f>
        <v>0</v>
      </c>
      <c r="E151" s="94">
        <f>SUMIFS('caseload data'!F:F,'caseload data'!$D:$D,"DMY",'caseload data'!$A:$A,"East Midlands Region",'caseload data'!$B:$B,"custody")</f>
        <v>0</v>
      </c>
      <c r="F151" s="94">
        <f>SUMIFS('caseload data'!G:G,'caseload data'!$D:$D,"DMY",'caseload data'!$A:$A,"East Midlands Region",'caseload data'!$B:$B,"custody")</f>
        <v>0</v>
      </c>
      <c r="G151" s="94">
        <f>SUMIFS('caseload data'!H:H,'caseload data'!$D:$D,"DMY",'caseload data'!$A:$A,"East Midlands Region",'caseload data'!$B:$B,"custody")</f>
        <v>0</v>
      </c>
      <c r="H151" s="94">
        <f>SUMIFS('caseload data'!I:I,'caseload data'!$D:$D,"DMY",'caseload data'!$A:$A,"East Midlands Region",'caseload data'!$B:$B,"custody")</f>
        <v>0</v>
      </c>
      <c r="I151" s="94">
        <f>SUMIFS('caseload data'!J:J,'caseload data'!$D:$D,"DMY",'caseload data'!$A:$A,"East Midlands Region",'caseload data'!$B:$B,"custody")</f>
        <v>0</v>
      </c>
      <c r="J151" s="94">
        <f>SUMIFS('caseload data'!K:K,'caseload data'!$D:$D,"DMY",'caseload data'!$A:$A,"East Midlands Region",'caseload data'!$B:$B,"custody")</f>
        <v>0</v>
      </c>
      <c r="K151" s="94">
        <f>SUMIFS('caseload data'!L:L,'caseload data'!$D:$D,"DMY",'caseload data'!$A:$A,"East Midlands Region",'caseload data'!$B:$B,"custody")</f>
        <v>0</v>
      </c>
      <c r="L151" s="94">
        <f>SUMIFS('caseload data'!M:M,'caseload data'!$D:$D,"DMY",'caseload data'!$A:$A,"East Midlands Region",'caseload data'!$B:$B,"custody")</f>
        <v>0</v>
      </c>
      <c r="M151" s="94">
        <f>SUMIFS('caseload data'!N:N,'caseload data'!$D:$D,"DMY",'caseload data'!$A:$A,"East Midlands Region",'caseload data'!$B:$B,"custody")</f>
        <v>0</v>
      </c>
      <c r="N151" s="94">
        <f>SUMIFS('caseload data'!O:O,'caseload data'!$D:$D,"DMY",'caseload data'!$A:$A,"East Midlands Region",'caseload data'!$B:$B,"custody")</f>
        <v>0</v>
      </c>
      <c r="O151" s="94">
        <f>SUMIFS('caseload data'!P:P,'caseload data'!$D:$D,"DMY",'caseload data'!$A:$A,"East Midlands Region",'caseload data'!$B:$B,"custody")</f>
        <v>0</v>
      </c>
      <c r="P151" s="94">
        <f>SUMIFS('caseload data'!Q:Q,'caseload data'!$D:$D,"DMY",'caseload data'!$A:$A,"East Midlands Region",'caseload data'!$B:$B,"custody")</f>
        <v>0</v>
      </c>
      <c r="Q151" s="94">
        <f>SUMIFS('caseload data'!R:R,'caseload data'!$D:$D,"DMY",'caseload data'!$A:$A,"East Midlands Region",'caseload data'!$B:$B,"custody")</f>
        <v>0</v>
      </c>
      <c r="R151" s="94">
        <f>SUMIFS('caseload data'!S:S,'caseload data'!$D:$D,"DMY",'caseload data'!$A:$A,"East Midlands Region",'caseload data'!$B:$B,"custody")</f>
        <v>0</v>
      </c>
      <c r="S151" s="94">
        <f>SUMIFS('caseload data'!T:T,'caseload data'!$D:$D,"DMY",'caseload data'!$A:$A,"East Midlands Region",'caseload data'!$B:$B,"custody")</f>
        <v>0</v>
      </c>
      <c r="T151" s="94">
        <f>SUMIFS('caseload data'!V:V,'caseload data'!$D:$D,"DMY",'caseload data'!$A:$A,"East Midlands Region",'caseload data'!$B:$B,"custody")</f>
        <v>0</v>
      </c>
      <c r="U151" s="64"/>
      <c r="V151" s="64"/>
      <c r="W151" s="475"/>
      <c r="X151" s="130" t="s">
        <v>1339</v>
      </c>
      <c r="Y151" s="167" t="e">
        <f t="shared" si="85"/>
        <v>#DIV/0!</v>
      </c>
      <c r="Z151" s="167" t="e">
        <f t="shared" si="74"/>
        <v>#DIV/0!</v>
      </c>
      <c r="AA151" s="167" t="e">
        <f t="shared" si="74"/>
        <v>#DIV/0!</v>
      </c>
      <c r="AB151" s="167" t="e">
        <f t="shared" si="74"/>
        <v>#DIV/0!</v>
      </c>
      <c r="AC151" s="167" t="e">
        <f t="shared" si="74"/>
        <v>#DIV/0!</v>
      </c>
      <c r="AD151" s="167" t="e">
        <f t="shared" si="74"/>
        <v>#DIV/0!</v>
      </c>
      <c r="AE151" s="167" t="e">
        <f t="shared" si="75"/>
        <v>#DIV/0!</v>
      </c>
      <c r="AF151" s="167" t="e">
        <f t="shared" si="76"/>
        <v>#DIV/0!</v>
      </c>
      <c r="AG151" s="167" t="e">
        <f t="shared" si="77"/>
        <v>#DIV/0!</v>
      </c>
      <c r="AH151" s="167" t="e">
        <f t="shared" si="78"/>
        <v>#DIV/0!</v>
      </c>
      <c r="AI151" s="167" t="e">
        <f t="shared" si="79"/>
        <v>#DIV/0!</v>
      </c>
      <c r="AJ151" s="167" t="e">
        <f t="shared" si="80"/>
        <v>#DIV/0!</v>
      </c>
      <c r="AK151" s="167" t="e">
        <f t="shared" si="81"/>
        <v>#DIV/0!</v>
      </c>
      <c r="AL151" s="167" t="e">
        <f t="shared" si="82"/>
        <v>#DIV/0!</v>
      </c>
      <c r="AM151" s="167" t="e">
        <f t="shared" si="83"/>
        <v>#DIV/0!</v>
      </c>
      <c r="AN151" s="167" t="e">
        <f t="shared" si="84"/>
        <v>#DIV/0!</v>
      </c>
      <c r="AO151" s="167" t="e">
        <f t="shared" si="84"/>
        <v>#DIV/0!</v>
      </c>
    </row>
    <row r="152" spans="2:41" x14ac:dyDescent="0.15">
      <c r="B152" s="473" t="s">
        <v>18</v>
      </c>
      <c r="C152" s="128" t="s">
        <v>997</v>
      </c>
      <c r="D152" s="94">
        <f>SUMIFS('caseload data'!E:E,'caseload data'!$D:$D,"PO",'caseload data'!$A:$A,$B$152,'caseload data'!$B:$B,"custody")</f>
        <v>0</v>
      </c>
      <c r="E152" s="94">
        <f>SUMIFS('caseload data'!F:F,'caseload data'!$D:$D,"PO",'caseload data'!$A:$A,$B$152,'caseload data'!$B:$B,"custody")</f>
        <v>0</v>
      </c>
      <c r="F152" s="94">
        <f>SUMIFS('caseload data'!G:G,'caseload data'!$D:$D,"PO",'caseload data'!$A:$A,$B$152,'caseload data'!$B:$B,"custody")</f>
        <v>0</v>
      </c>
      <c r="G152" s="94">
        <f>SUMIFS('caseload data'!H:H,'caseload data'!$D:$D,"PO",'caseload data'!$A:$A,$B$152,'caseload data'!$B:$B,"custody")</f>
        <v>0</v>
      </c>
      <c r="H152" s="94">
        <f>SUMIFS('caseload data'!I:I,'caseload data'!$D:$D,"PO",'caseload data'!$A:$A,$B$152,'caseload data'!$B:$B,"custody")</f>
        <v>0</v>
      </c>
      <c r="I152" s="94">
        <f>SUMIFS('caseload data'!J:J,'caseload data'!$D:$D,"PO",'caseload data'!$A:$A,$B$152,'caseload data'!$B:$B,"custody")</f>
        <v>0</v>
      </c>
      <c r="J152" s="94">
        <f>SUMIFS('caseload data'!K:K,'caseload data'!$D:$D,"PO",'caseload data'!$A:$A,$B$152,'caseload data'!$B:$B,"custody")</f>
        <v>0</v>
      </c>
      <c r="K152" s="94">
        <f>SUMIFS('caseload data'!L:L,'caseload data'!$D:$D,"PO",'caseload data'!$A:$A,$B$152,'caseload data'!$B:$B,"custody")</f>
        <v>0</v>
      </c>
      <c r="L152" s="94">
        <f>SUMIFS('caseload data'!M:M,'caseload data'!$D:$D,"PO",'caseload data'!$A:$A,$B$152,'caseload data'!$B:$B,"custody")</f>
        <v>0</v>
      </c>
      <c r="M152" s="94">
        <f>SUMIFS('caseload data'!N:N,'caseload data'!$D:$D,"PO",'caseload data'!$A:$A,$B$152,'caseload data'!$B:$B,"custody")</f>
        <v>0</v>
      </c>
      <c r="N152" s="94">
        <f>SUMIFS('caseload data'!O:O,'caseload data'!$D:$D,"PO",'caseload data'!$A:$A,$B$152,'caseload data'!$B:$B,"custody")</f>
        <v>0</v>
      </c>
      <c r="O152" s="94">
        <f>SUMIFS('caseload data'!P:P,'caseload data'!$D:$D,"PO",'caseload data'!$A:$A,$B$152,'caseload data'!$B:$B,"custody")</f>
        <v>0</v>
      </c>
      <c r="P152" s="94">
        <f>SUMIFS('caseload data'!Q:Q,'caseload data'!$D:$D,"PO",'caseload data'!$A:$A,$B$152,'caseload data'!$B:$B,"custody")</f>
        <v>0</v>
      </c>
      <c r="Q152" s="94">
        <f>SUMIFS('caseload data'!R:R,'caseload data'!$D:$D,"PO",'caseload data'!$A:$A,$B$152,'caseload data'!$B:$B,"custody")</f>
        <v>0</v>
      </c>
      <c r="R152" s="94">
        <f>SUMIFS('caseload data'!S:S,'caseload data'!$D:$D,"PO",'caseload data'!$A:$A,$B$152,'caseload data'!$B:$B,"custody")</f>
        <v>0</v>
      </c>
      <c r="S152" s="94">
        <f>SUMIFS('caseload data'!T:T,'caseload data'!$D:$D,"PO",'caseload data'!$A:$A,$B$152,'caseload data'!$B:$B,"custody")</f>
        <v>0</v>
      </c>
      <c r="T152" s="94">
        <f>SUMIFS('caseload data'!V:V,'caseload data'!D:D,"PO",'caseload data'!A:A,B152,'caseload data'!B:B,"custody")</f>
        <v>0</v>
      </c>
      <c r="U152" s="64"/>
      <c r="V152" s="64"/>
      <c r="W152" s="473" t="s">
        <v>18</v>
      </c>
      <c r="X152" s="128" t="s">
        <v>997</v>
      </c>
      <c r="Y152" s="167" t="e">
        <f>SUM(D152)/SUM(D$152:D$156)</f>
        <v>#DIV/0!</v>
      </c>
      <c r="Z152" s="167" t="e">
        <f t="shared" ref="Z152:AO156" si="86">SUM(E152)/SUM(E$152:E$156)</f>
        <v>#DIV/0!</v>
      </c>
      <c r="AA152" s="167" t="e">
        <f t="shared" si="86"/>
        <v>#DIV/0!</v>
      </c>
      <c r="AB152" s="167" t="e">
        <f t="shared" si="86"/>
        <v>#DIV/0!</v>
      </c>
      <c r="AC152" s="167" t="e">
        <f t="shared" si="86"/>
        <v>#DIV/0!</v>
      </c>
      <c r="AD152" s="167" t="e">
        <f t="shared" si="86"/>
        <v>#DIV/0!</v>
      </c>
      <c r="AE152" s="167" t="e">
        <f t="shared" si="86"/>
        <v>#DIV/0!</v>
      </c>
      <c r="AF152" s="167" t="e">
        <f t="shared" si="86"/>
        <v>#DIV/0!</v>
      </c>
      <c r="AG152" s="167" t="e">
        <f t="shared" si="86"/>
        <v>#DIV/0!</v>
      </c>
      <c r="AH152" s="167" t="e">
        <f t="shared" si="86"/>
        <v>#DIV/0!</v>
      </c>
      <c r="AI152" s="167" t="e">
        <f t="shared" si="86"/>
        <v>#DIV/0!</v>
      </c>
      <c r="AJ152" s="167" t="e">
        <f t="shared" si="86"/>
        <v>#DIV/0!</v>
      </c>
      <c r="AK152" s="167" t="e">
        <f t="shared" si="86"/>
        <v>#DIV/0!</v>
      </c>
      <c r="AL152" s="167" t="e">
        <f t="shared" si="86"/>
        <v>#DIV/0!</v>
      </c>
      <c r="AM152" s="167" t="e">
        <f t="shared" si="86"/>
        <v>#DIV/0!</v>
      </c>
      <c r="AN152" s="167" t="e">
        <f t="shared" si="86"/>
        <v>#DIV/0!</v>
      </c>
      <c r="AO152" s="167" t="e">
        <f t="shared" si="86"/>
        <v>#DIV/0!</v>
      </c>
    </row>
    <row r="153" spans="2:41" x14ac:dyDescent="0.15">
      <c r="B153" s="474"/>
      <c r="C153" s="129" t="s">
        <v>1002</v>
      </c>
      <c r="D153" s="94">
        <f>SUMIFS('caseload data'!E:E,'caseload data'!$D:$D,"PSO",'caseload data'!$A:$A,"East of England",'caseload data'!$B:$B,"custody")</f>
        <v>0</v>
      </c>
      <c r="E153" s="94">
        <f>SUMIFS('caseload data'!F:F,'caseload data'!$D:$D,"PSO",'caseload data'!$A:$A,"East of England",'caseload data'!$B:$B,"custody")</f>
        <v>0</v>
      </c>
      <c r="F153" s="94">
        <f>SUMIFS('caseload data'!G:G,'caseload data'!$D:$D,"PSO",'caseload data'!$A:$A,"East of England",'caseload data'!$B:$B,"custody")</f>
        <v>0</v>
      </c>
      <c r="G153" s="94">
        <f>SUMIFS('caseload data'!H:H,'caseload data'!$D:$D,"PSO",'caseload data'!$A:$A,"East of England",'caseload data'!$B:$B,"custody")</f>
        <v>0</v>
      </c>
      <c r="H153" s="94">
        <f>SUMIFS('caseload data'!I:I,'caseload data'!$D:$D,"PSO",'caseload data'!$A:$A,"East of England",'caseload data'!$B:$B,"custody")</f>
        <v>0</v>
      </c>
      <c r="I153" s="94">
        <f>SUMIFS('caseload data'!J:J,'caseload data'!$D:$D,"PSO",'caseload data'!$A:$A,"East of England",'caseload data'!$B:$B,"custody")</f>
        <v>0</v>
      </c>
      <c r="J153" s="94">
        <f>SUMIFS('caseload data'!K:K,'caseload data'!$D:$D,"PSO",'caseload data'!$A:$A,"East of England",'caseload data'!$B:$B,"custody")</f>
        <v>0</v>
      </c>
      <c r="K153" s="94">
        <f>SUMIFS('caseload data'!L:L,'caseload data'!$D:$D,"PSO",'caseload data'!$A:$A,"East of England",'caseload data'!$B:$B,"custody")</f>
        <v>0</v>
      </c>
      <c r="L153" s="94">
        <f>SUMIFS('caseload data'!M:M,'caseload data'!$D:$D,"PSO",'caseload data'!$A:$A,"East of England",'caseload data'!$B:$B,"custody")</f>
        <v>0</v>
      </c>
      <c r="M153" s="94">
        <f>SUMIFS('caseload data'!N:N,'caseload data'!$D:$D,"PSO",'caseload data'!$A:$A,"East of England",'caseload data'!$B:$B,"custody")</f>
        <v>0</v>
      </c>
      <c r="N153" s="94">
        <f>SUMIFS('caseload data'!O:O,'caseload data'!$D:$D,"PSO",'caseload data'!$A:$A,"East of England",'caseload data'!$B:$B,"custody")</f>
        <v>0</v>
      </c>
      <c r="O153" s="94">
        <f>SUMIFS('caseload data'!P:P,'caseload data'!$D:$D,"PSO",'caseload data'!$A:$A,"East of England",'caseload data'!$B:$B,"custody")</f>
        <v>0</v>
      </c>
      <c r="P153" s="94">
        <f>SUMIFS('caseload data'!Q:Q,'caseload data'!$D:$D,"PSO",'caseload data'!$A:$A,"East of England",'caseload data'!$B:$B,"custody")</f>
        <v>0</v>
      </c>
      <c r="Q153" s="94">
        <f>SUMIFS('caseload data'!R:R,'caseload data'!$D:$D,"PSO",'caseload data'!$A:$A,"East of England",'caseload data'!$B:$B,"custody")</f>
        <v>0</v>
      </c>
      <c r="R153" s="94">
        <f>SUMIFS('caseload data'!S:S,'caseload data'!$D:$D,"PSO",'caseload data'!$A:$A,"East of England",'caseload data'!$B:$B,"custody")</f>
        <v>0</v>
      </c>
      <c r="S153" s="94">
        <f>SUMIFS('caseload data'!T:T,'caseload data'!$D:$D,"PSO",'caseload data'!$A:$A,"East of England",'caseload data'!$B:$B,"custody")</f>
        <v>0</v>
      </c>
      <c r="T153" s="94">
        <f>SUMIFS('caseload data'!V:V,'caseload data'!D:D,"PSO",'caseload data'!A:A,"East of England",'caseload data'!B:B,"custody")</f>
        <v>0</v>
      </c>
      <c r="U153" s="64"/>
      <c r="V153" s="64"/>
      <c r="W153" s="474"/>
      <c r="X153" s="129" t="s">
        <v>1002</v>
      </c>
      <c r="Y153" s="167" t="e">
        <f t="shared" ref="Y153:Y156" si="87">SUM(D153)/SUM(D$152:D$156)</f>
        <v>#DIV/0!</v>
      </c>
      <c r="Z153" s="167" t="e">
        <f t="shared" si="86"/>
        <v>#DIV/0!</v>
      </c>
      <c r="AA153" s="167" t="e">
        <f t="shared" si="86"/>
        <v>#DIV/0!</v>
      </c>
      <c r="AB153" s="167" t="e">
        <f t="shared" si="86"/>
        <v>#DIV/0!</v>
      </c>
      <c r="AC153" s="167" t="e">
        <f t="shared" si="86"/>
        <v>#DIV/0!</v>
      </c>
      <c r="AD153" s="167" t="e">
        <f t="shared" si="86"/>
        <v>#DIV/0!</v>
      </c>
      <c r="AE153" s="167" t="e">
        <f t="shared" si="86"/>
        <v>#DIV/0!</v>
      </c>
      <c r="AF153" s="167" t="e">
        <f t="shared" si="86"/>
        <v>#DIV/0!</v>
      </c>
      <c r="AG153" s="167" t="e">
        <f t="shared" si="86"/>
        <v>#DIV/0!</v>
      </c>
      <c r="AH153" s="167" t="e">
        <f t="shared" si="86"/>
        <v>#DIV/0!</v>
      </c>
      <c r="AI153" s="167" t="e">
        <f t="shared" si="86"/>
        <v>#DIV/0!</v>
      </c>
      <c r="AJ153" s="167" t="e">
        <f t="shared" si="86"/>
        <v>#DIV/0!</v>
      </c>
      <c r="AK153" s="167" t="e">
        <f t="shared" si="86"/>
        <v>#DIV/0!</v>
      </c>
      <c r="AL153" s="167" t="e">
        <f t="shared" si="86"/>
        <v>#DIV/0!</v>
      </c>
      <c r="AM153" s="167" t="e">
        <f t="shared" si="86"/>
        <v>#DIV/0!</v>
      </c>
      <c r="AN153" s="167" t="e">
        <f t="shared" si="86"/>
        <v>#DIV/0!</v>
      </c>
      <c r="AO153" s="167" t="e">
        <f t="shared" si="86"/>
        <v>#DIV/0!</v>
      </c>
    </row>
    <row r="154" spans="2:41" x14ac:dyDescent="0.15">
      <c r="B154" s="474"/>
      <c r="C154" s="129" t="s">
        <v>1003</v>
      </c>
      <c r="D154" s="94">
        <f>SUMIFS('caseload data'!E:E,'caseload data'!$D:$D,"TPO",'caseload data'!$A:$A,"East of England",'caseload data'!$B:$B,"custody")</f>
        <v>0</v>
      </c>
      <c r="E154" s="94">
        <f>SUMIFS('caseload data'!F:F,'caseload data'!$D:$D,"TPO",'caseload data'!$A:$A,"East of England",'caseload data'!$B:$B,"custody")</f>
        <v>0</v>
      </c>
      <c r="F154" s="94">
        <f>SUMIFS('caseload data'!G:G,'caseload data'!$D:$D,"TPO",'caseload data'!$A:$A,"East of England",'caseload data'!$B:$B,"custody")</f>
        <v>0</v>
      </c>
      <c r="G154" s="94">
        <f>SUMIFS('caseload data'!H:H,'caseload data'!$D:$D,"TPO",'caseload data'!$A:$A,"East of England",'caseload data'!$B:$B,"custody")</f>
        <v>0</v>
      </c>
      <c r="H154" s="94">
        <f>SUMIFS('caseload data'!I:I,'caseload data'!$D:$D,"TPO",'caseload data'!$A:$A,"East of England",'caseload data'!$B:$B,"custody")</f>
        <v>0</v>
      </c>
      <c r="I154" s="94">
        <f>SUMIFS('caseload data'!J:J,'caseload data'!$D:$D,"TPO",'caseload data'!$A:$A,"East of England",'caseload data'!$B:$B,"custody")</f>
        <v>0</v>
      </c>
      <c r="J154" s="94">
        <f>SUMIFS('caseload data'!K:K,'caseload data'!$D:$D,"TPO",'caseload data'!$A:$A,"East of England",'caseload data'!$B:$B,"custody")</f>
        <v>0</v>
      </c>
      <c r="K154" s="94">
        <f>SUMIFS('caseload data'!L:L,'caseload data'!$D:$D,"TPO",'caseload data'!$A:$A,"East of England",'caseload data'!$B:$B,"custody")</f>
        <v>0</v>
      </c>
      <c r="L154" s="94">
        <f>SUMIFS('caseload data'!M:M,'caseload data'!$D:$D,"TPO",'caseload data'!$A:$A,"East of England",'caseload data'!$B:$B,"custody")</f>
        <v>0</v>
      </c>
      <c r="M154" s="94">
        <f>SUMIFS('caseload data'!N:N,'caseload data'!$D:$D,"TPO",'caseload data'!$A:$A,"East of England",'caseload data'!$B:$B,"custody")</f>
        <v>0</v>
      </c>
      <c r="N154" s="94">
        <f>SUMIFS('caseload data'!O:O,'caseload data'!$D:$D,"TPO",'caseload data'!$A:$A,"East of England",'caseload data'!$B:$B,"custody")</f>
        <v>0</v>
      </c>
      <c r="O154" s="94">
        <f>SUMIFS('caseload data'!P:P,'caseload data'!$D:$D,"TPO",'caseload data'!$A:$A,"East of England",'caseload data'!$B:$B,"custody")</f>
        <v>0</v>
      </c>
      <c r="P154" s="94">
        <f>SUMIFS('caseload data'!Q:Q,'caseload data'!$D:$D,"TPO",'caseload data'!$A:$A,"East of England",'caseload data'!$B:$B,"custody")</f>
        <v>0</v>
      </c>
      <c r="Q154" s="94">
        <f>SUMIFS('caseload data'!R:R,'caseload data'!$D:$D,"TPO",'caseload data'!$A:$A,"East of England",'caseload data'!$B:$B,"custody")</f>
        <v>0</v>
      </c>
      <c r="R154" s="94">
        <f>SUMIFS('caseload data'!S:S,'caseload data'!$D:$D,"TPO",'caseload data'!$A:$A,"East of England",'caseload data'!$B:$B,"custody")</f>
        <v>0</v>
      </c>
      <c r="S154" s="94">
        <f>SUMIFS('caseload data'!T:T,'caseload data'!$D:$D,"TPO",'caseload data'!$A:$A,"East of England",'caseload data'!$B:$B,"custody")</f>
        <v>0</v>
      </c>
      <c r="T154" s="94">
        <f>SUMIFS('caseload data'!V:V,'caseload data'!D:D,"TPO",'caseload data'!A:A,"East of England",'caseload data'!B:B,"custody")</f>
        <v>0</v>
      </c>
      <c r="U154" s="64"/>
      <c r="V154" s="64"/>
      <c r="W154" s="474"/>
      <c r="X154" s="129" t="s">
        <v>1003</v>
      </c>
      <c r="Y154" s="167" t="e">
        <f t="shared" si="87"/>
        <v>#DIV/0!</v>
      </c>
      <c r="Z154" s="167" t="e">
        <f t="shared" si="86"/>
        <v>#DIV/0!</v>
      </c>
      <c r="AA154" s="167" t="e">
        <f t="shared" si="86"/>
        <v>#DIV/0!</v>
      </c>
      <c r="AB154" s="167" t="e">
        <f t="shared" si="86"/>
        <v>#DIV/0!</v>
      </c>
      <c r="AC154" s="167" t="e">
        <f t="shared" si="86"/>
        <v>#DIV/0!</v>
      </c>
      <c r="AD154" s="167" t="e">
        <f t="shared" si="86"/>
        <v>#DIV/0!</v>
      </c>
      <c r="AE154" s="167" t="e">
        <f t="shared" si="86"/>
        <v>#DIV/0!</v>
      </c>
      <c r="AF154" s="167" t="e">
        <f t="shared" si="86"/>
        <v>#DIV/0!</v>
      </c>
      <c r="AG154" s="167" t="e">
        <f t="shared" si="86"/>
        <v>#DIV/0!</v>
      </c>
      <c r="AH154" s="167" t="e">
        <f t="shared" si="86"/>
        <v>#DIV/0!</v>
      </c>
      <c r="AI154" s="167" t="e">
        <f t="shared" si="86"/>
        <v>#DIV/0!</v>
      </c>
      <c r="AJ154" s="167" t="e">
        <f t="shared" si="86"/>
        <v>#DIV/0!</v>
      </c>
      <c r="AK154" s="167" t="e">
        <f t="shared" si="86"/>
        <v>#DIV/0!</v>
      </c>
      <c r="AL154" s="167" t="e">
        <f t="shared" si="86"/>
        <v>#DIV/0!</v>
      </c>
      <c r="AM154" s="167" t="e">
        <f t="shared" si="86"/>
        <v>#DIV/0!</v>
      </c>
      <c r="AN154" s="167" t="e">
        <f t="shared" si="86"/>
        <v>#DIV/0!</v>
      </c>
      <c r="AO154" s="167" t="e">
        <f t="shared" si="86"/>
        <v>#DIV/0!</v>
      </c>
    </row>
    <row r="155" spans="2:41" x14ac:dyDescent="0.15">
      <c r="B155" s="474"/>
      <c r="C155" s="129" t="s">
        <v>1004</v>
      </c>
      <c r="D155" s="94">
        <f>SUMIFS('caseload data'!E:E,'caseload data'!$D:$D,"SPO",'caseload data'!$A:$A,"East of England",'caseload data'!$B:$B,"custody")</f>
        <v>0</v>
      </c>
      <c r="E155" s="94">
        <f>SUMIFS('caseload data'!F:F,'caseload data'!$D:$D,"SPO",'caseload data'!$A:$A,"East of England",'caseload data'!$B:$B,"custody")</f>
        <v>0</v>
      </c>
      <c r="F155" s="94">
        <f>SUMIFS('caseload data'!G:G,'caseload data'!$D:$D,"SPO",'caseload data'!$A:$A,"East of England",'caseload data'!$B:$B,"custody")</f>
        <v>0</v>
      </c>
      <c r="G155" s="94">
        <f>SUMIFS('caseload data'!H:H,'caseload data'!$D:$D,"SPO",'caseload data'!$A:$A,"East of England",'caseload data'!$B:$B,"custody")</f>
        <v>0</v>
      </c>
      <c r="H155" s="94">
        <f>SUMIFS('caseload data'!I:I,'caseload data'!$D:$D,"SPO",'caseload data'!$A:$A,"East of England",'caseload data'!$B:$B,"custody")</f>
        <v>0</v>
      </c>
      <c r="I155" s="94">
        <f>SUMIFS('caseload data'!J:J,'caseload data'!$D:$D,"SPO",'caseload data'!$A:$A,"East of England",'caseload data'!$B:$B,"custody")</f>
        <v>0</v>
      </c>
      <c r="J155" s="94">
        <f>SUMIFS('caseload data'!K:K,'caseload data'!$D:$D,"SPO",'caseload data'!$A:$A,"East of England",'caseload data'!$B:$B,"custody")</f>
        <v>0</v>
      </c>
      <c r="K155" s="94">
        <f>SUMIFS('caseload data'!L:L,'caseload data'!$D:$D,"SPO",'caseload data'!$A:$A,"East of England",'caseload data'!$B:$B,"custody")</f>
        <v>0</v>
      </c>
      <c r="L155" s="94">
        <f>SUMIFS('caseload data'!M:M,'caseload data'!$D:$D,"SPO",'caseload data'!$A:$A,"East of England",'caseload data'!$B:$B,"custody")</f>
        <v>0</v>
      </c>
      <c r="M155" s="94">
        <f>SUMIFS('caseload data'!N:N,'caseload data'!$D:$D,"SPO",'caseload data'!$A:$A,"East of England",'caseload data'!$B:$B,"custody")</f>
        <v>0</v>
      </c>
      <c r="N155" s="94">
        <f>SUMIFS('caseload data'!O:O,'caseload data'!$D:$D,"SPO",'caseload data'!$A:$A,"East of England",'caseload data'!$B:$B,"custody")</f>
        <v>0</v>
      </c>
      <c r="O155" s="94">
        <f>SUMIFS('caseload data'!P:P,'caseload data'!$D:$D,"SPO",'caseload data'!$A:$A,"East of England",'caseload data'!$B:$B,"custody")</f>
        <v>0</v>
      </c>
      <c r="P155" s="94">
        <f>SUMIFS('caseload data'!Q:Q,'caseload data'!$D:$D,"SPO",'caseload data'!$A:$A,"East of England",'caseload data'!$B:$B,"custody")</f>
        <v>0</v>
      </c>
      <c r="Q155" s="94">
        <f>SUMIFS('caseload data'!R:R,'caseload data'!$D:$D,"SPO",'caseload data'!$A:$A,"East of England",'caseload data'!$B:$B,"custody")</f>
        <v>0</v>
      </c>
      <c r="R155" s="94">
        <f>SUMIFS('caseload data'!S:S,'caseload data'!$D:$D,"SPO",'caseload data'!$A:$A,"East of England",'caseload data'!$B:$B,"custody")</f>
        <v>0</v>
      </c>
      <c r="S155" s="94">
        <f>SUMIFS('caseload data'!T:T,'caseload data'!$D:$D,"SPO",'caseload data'!$A:$A,"East of England",'caseload data'!$B:$B,"custody")</f>
        <v>0</v>
      </c>
      <c r="T155" s="94">
        <f>SUMIFS('caseload data'!V:V,'caseload data'!$D:$D,"SPO",'caseload data'!$A:$A,"East of England",'caseload data'!$B:$B,"custody")</f>
        <v>0</v>
      </c>
      <c r="U155" s="64"/>
      <c r="V155" s="64"/>
      <c r="W155" s="474"/>
      <c r="X155" s="129" t="s">
        <v>1004</v>
      </c>
      <c r="Y155" s="167" t="e">
        <f t="shared" si="87"/>
        <v>#DIV/0!</v>
      </c>
      <c r="Z155" s="167" t="e">
        <f t="shared" si="86"/>
        <v>#DIV/0!</v>
      </c>
      <c r="AA155" s="167" t="e">
        <f t="shared" si="86"/>
        <v>#DIV/0!</v>
      </c>
      <c r="AB155" s="167" t="e">
        <f t="shared" si="86"/>
        <v>#DIV/0!</v>
      </c>
      <c r="AC155" s="167" t="e">
        <f t="shared" si="86"/>
        <v>#DIV/0!</v>
      </c>
      <c r="AD155" s="167" t="e">
        <f t="shared" si="86"/>
        <v>#DIV/0!</v>
      </c>
      <c r="AE155" s="167" t="e">
        <f t="shared" si="86"/>
        <v>#DIV/0!</v>
      </c>
      <c r="AF155" s="167" t="e">
        <f t="shared" si="86"/>
        <v>#DIV/0!</v>
      </c>
      <c r="AG155" s="167" t="e">
        <f t="shared" si="86"/>
        <v>#DIV/0!</v>
      </c>
      <c r="AH155" s="167" t="e">
        <f t="shared" si="86"/>
        <v>#DIV/0!</v>
      </c>
      <c r="AI155" s="167" t="e">
        <f t="shared" si="86"/>
        <v>#DIV/0!</v>
      </c>
      <c r="AJ155" s="167" t="e">
        <f t="shared" si="86"/>
        <v>#DIV/0!</v>
      </c>
      <c r="AK155" s="167" t="e">
        <f t="shared" si="86"/>
        <v>#DIV/0!</v>
      </c>
      <c r="AL155" s="167" t="e">
        <f t="shared" si="86"/>
        <v>#DIV/0!</v>
      </c>
      <c r="AM155" s="167" t="e">
        <f t="shared" si="86"/>
        <v>#DIV/0!</v>
      </c>
      <c r="AN155" s="167" t="e">
        <f t="shared" si="86"/>
        <v>#DIV/0!</v>
      </c>
      <c r="AO155" s="167" t="e">
        <f t="shared" si="86"/>
        <v>#DIV/0!</v>
      </c>
    </row>
    <row r="156" spans="2:41" x14ac:dyDescent="0.15">
      <c r="B156" s="475"/>
      <c r="C156" s="130" t="s">
        <v>1339</v>
      </c>
      <c r="D156" s="94">
        <f>SUMIFS('caseload data'!E:E,'caseload data'!$D:$D,"DMY",'caseload data'!$A:$A,"East of England",'caseload data'!$B:$B,"custody")</f>
        <v>0</v>
      </c>
      <c r="E156" s="94">
        <f>SUMIFS('caseload data'!F:F,'caseload data'!$D:$D,"DMY",'caseload data'!$A:$A,"East of England",'caseload data'!$B:$B,"custody")</f>
        <v>0</v>
      </c>
      <c r="F156" s="94">
        <f>SUMIFS('caseload data'!G:G,'caseload data'!$D:$D,"DMY",'caseload data'!$A:$A,"East of England",'caseload data'!$B:$B,"custody")</f>
        <v>0</v>
      </c>
      <c r="G156" s="94">
        <f>SUMIFS('caseload data'!H:H,'caseload data'!$D:$D,"DMY",'caseload data'!$A:$A,"East of England",'caseload data'!$B:$B,"custody")</f>
        <v>0</v>
      </c>
      <c r="H156" s="94">
        <f>SUMIFS('caseload data'!I:I,'caseload data'!$D:$D,"DMY",'caseload data'!$A:$A,"East of England",'caseload data'!$B:$B,"custody")</f>
        <v>0</v>
      </c>
      <c r="I156" s="94">
        <f>SUMIFS('caseload data'!J:J,'caseload data'!$D:$D,"DMY",'caseload data'!$A:$A,"East of England",'caseload data'!$B:$B,"custody")</f>
        <v>0</v>
      </c>
      <c r="J156" s="94">
        <f>SUMIFS('caseload data'!K:K,'caseload data'!$D:$D,"DMY",'caseload data'!$A:$A,"East of England",'caseload data'!$B:$B,"custody")</f>
        <v>0</v>
      </c>
      <c r="K156" s="94">
        <f>SUMIFS('caseload data'!L:L,'caseload data'!$D:$D,"DMY",'caseload data'!$A:$A,"East of England",'caseload data'!$B:$B,"custody")</f>
        <v>0</v>
      </c>
      <c r="L156" s="94">
        <f>SUMIFS('caseload data'!M:M,'caseload data'!$D:$D,"DMY",'caseload data'!$A:$A,"East of England",'caseload data'!$B:$B,"custody")</f>
        <v>0</v>
      </c>
      <c r="M156" s="94">
        <f>SUMIFS('caseload data'!N:N,'caseload data'!$D:$D,"DMY",'caseload data'!$A:$A,"East of England",'caseload data'!$B:$B,"custody")</f>
        <v>0</v>
      </c>
      <c r="N156" s="94">
        <f>SUMIFS('caseload data'!O:O,'caseload data'!$D:$D,"DMY",'caseload data'!$A:$A,"East of England",'caseload data'!$B:$B,"custody")</f>
        <v>0</v>
      </c>
      <c r="O156" s="94">
        <f>SUMIFS('caseload data'!P:P,'caseload data'!$D:$D,"DMY",'caseload data'!$A:$A,"East of England",'caseload data'!$B:$B,"custody")</f>
        <v>0</v>
      </c>
      <c r="P156" s="94">
        <f>SUMIFS('caseload data'!Q:Q,'caseload data'!$D:$D,"DMY",'caseload data'!$A:$A,"East of England",'caseload data'!$B:$B,"custody")</f>
        <v>0</v>
      </c>
      <c r="Q156" s="94">
        <f>SUMIFS('caseload data'!R:R,'caseload data'!$D:$D,"DMY",'caseload data'!$A:$A,"East of England",'caseload data'!$B:$B,"custody")</f>
        <v>0</v>
      </c>
      <c r="R156" s="94">
        <f>SUMIFS('caseload data'!S:S,'caseload data'!$D:$D,"DMY",'caseload data'!$A:$A,"East of England",'caseload data'!$B:$B,"custody")</f>
        <v>0</v>
      </c>
      <c r="S156" s="94">
        <f>SUMIFS('caseload data'!T:T,'caseload data'!$D:$D,"DMY",'caseload data'!$A:$A,"East of England",'caseload data'!$B:$B,"custody")</f>
        <v>0</v>
      </c>
      <c r="T156" s="94">
        <f>SUMIFS('caseload data'!V:V,'caseload data'!$D:$D,"DMY",'caseload data'!$A:$A,"East of England",'caseload data'!$B:$B,"custody")</f>
        <v>0</v>
      </c>
      <c r="U156" s="64"/>
      <c r="V156" s="64"/>
      <c r="W156" s="475"/>
      <c r="X156" s="130" t="s">
        <v>1339</v>
      </c>
      <c r="Y156" s="167" t="e">
        <f t="shared" si="87"/>
        <v>#DIV/0!</v>
      </c>
      <c r="Z156" s="167" t="e">
        <f t="shared" si="86"/>
        <v>#DIV/0!</v>
      </c>
      <c r="AA156" s="167" t="e">
        <f t="shared" si="86"/>
        <v>#DIV/0!</v>
      </c>
      <c r="AB156" s="167" t="e">
        <f t="shared" si="86"/>
        <v>#DIV/0!</v>
      </c>
      <c r="AC156" s="167" t="e">
        <f t="shared" si="86"/>
        <v>#DIV/0!</v>
      </c>
      <c r="AD156" s="167" t="e">
        <f t="shared" si="86"/>
        <v>#DIV/0!</v>
      </c>
      <c r="AE156" s="167" t="e">
        <f t="shared" si="86"/>
        <v>#DIV/0!</v>
      </c>
      <c r="AF156" s="167" t="e">
        <f t="shared" si="86"/>
        <v>#DIV/0!</v>
      </c>
      <c r="AG156" s="167" t="e">
        <f t="shared" si="86"/>
        <v>#DIV/0!</v>
      </c>
      <c r="AH156" s="167" t="e">
        <f t="shared" si="86"/>
        <v>#DIV/0!</v>
      </c>
      <c r="AI156" s="167" t="e">
        <f t="shared" si="86"/>
        <v>#DIV/0!</v>
      </c>
      <c r="AJ156" s="167" t="e">
        <f t="shared" si="86"/>
        <v>#DIV/0!</v>
      </c>
      <c r="AK156" s="167" t="e">
        <f t="shared" si="86"/>
        <v>#DIV/0!</v>
      </c>
      <c r="AL156" s="167" t="e">
        <f t="shared" si="86"/>
        <v>#DIV/0!</v>
      </c>
      <c r="AM156" s="167" t="e">
        <f t="shared" si="86"/>
        <v>#DIV/0!</v>
      </c>
      <c r="AN156" s="167" t="e">
        <f t="shared" si="86"/>
        <v>#DIV/0!</v>
      </c>
      <c r="AO156" s="167" t="e">
        <f t="shared" si="86"/>
        <v>#DIV/0!</v>
      </c>
    </row>
    <row r="157" spans="2:41" x14ac:dyDescent="0.15">
      <c r="B157" s="473" t="s">
        <v>19</v>
      </c>
      <c r="C157" s="128" t="s">
        <v>997</v>
      </c>
      <c r="D157" s="94">
        <f>SUMIFS('caseload data'!E:E,'caseload data'!$D:$D,"PO",'caseload data'!$A:$A,"Greater Manchester",'caseload data'!$B:$B,"custody")</f>
        <v>0</v>
      </c>
      <c r="E157" s="94">
        <f>SUMIFS('caseload data'!F:F,'caseload data'!$D:$D,"PO",'caseload data'!$A:$A,"Greater Manchester",'caseload data'!$B:$B,"custody")</f>
        <v>0</v>
      </c>
      <c r="F157" s="94">
        <f>SUMIFS('caseload data'!G:G,'caseload data'!$D:$D,"PO",'caseload data'!$A:$A,"Greater Manchester",'caseload data'!$B:$B,"custody")</f>
        <v>0</v>
      </c>
      <c r="G157" s="94">
        <f>SUMIFS('caseload data'!H:H,'caseload data'!$D:$D,"PO",'caseload data'!$A:$A,"Greater Manchester",'caseload data'!$B:$B,"custody")</f>
        <v>0</v>
      </c>
      <c r="H157" s="94">
        <f>SUMIFS('caseload data'!I:I,'caseload data'!$D:$D,"PO",'caseload data'!$A:$A,"Greater Manchester",'caseload data'!$B:$B,"custody")</f>
        <v>0</v>
      </c>
      <c r="I157" s="94">
        <f>SUMIFS('caseload data'!J:J,'caseload data'!$D:$D,"PO",'caseload data'!$A:$A,"Greater Manchester",'caseload data'!$B:$B,"custody")</f>
        <v>0</v>
      </c>
      <c r="J157" s="94">
        <f>SUMIFS('caseload data'!K:K,'caseload data'!$D:$D,"PO",'caseload data'!$A:$A,"Greater Manchester",'caseload data'!$B:$B,"custody")</f>
        <v>0</v>
      </c>
      <c r="K157" s="94">
        <f>SUMIFS('caseload data'!L:L,'caseload data'!$D:$D,"PO",'caseload data'!$A:$A,"Greater Manchester",'caseload data'!$B:$B,"custody")</f>
        <v>0</v>
      </c>
      <c r="L157" s="94">
        <f>SUMIFS('caseload data'!M:M,'caseload data'!$D:$D,"PO",'caseload data'!$A:$A,"Greater Manchester",'caseload data'!$B:$B,"custody")</f>
        <v>0</v>
      </c>
      <c r="M157" s="94">
        <f>SUMIFS('caseload data'!N:N,'caseload data'!$D:$D,"PO",'caseload data'!$A:$A,"Greater Manchester",'caseload data'!$B:$B,"custody")</f>
        <v>0</v>
      </c>
      <c r="N157" s="94">
        <f>SUMIFS('caseload data'!O:O,'caseload data'!$D:$D,"PO",'caseload data'!$A:$A,"Greater Manchester",'caseload data'!$B:$B,"custody")</f>
        <v>0</v>
      </c>
      <c r="O157" s="94">
        <f>SUMIFS('caseload data'!P:P,'caseload data'!$D:$D,"PO",'caseload data'!$A:$A,"Greater Manchester",'caseload data'!$B:$B,"custody")</f>
        <v>0</v>
      </c>
      <c r="P157" s="94">
        <f>SUMIFS('caseload data'!Q:Q,'caseload data'!$D:$D,"PO",'caseload data'!$A:$A,"Greater Manchester",'caseload data'!$B:$B,"custody")</f>
        <v>0</v>
      </c>
      <c r="Q157" s="94">
        <f>SUMIFS('caseload data'!R:R,'caseload data'!$D:$D,"PO",'caseload data'!$A:$A,"Greater Manchester",'caseload data'!$B:$B,"custody")</f>
        <v>0</v>
      </c>
      <c r="R157" s="94">
        <f>SUMIFS('caseload data'!S:S,'caseload data'!$D:$D,"PO",'caseload data'!$A:$A,"Greater Manchester",'caseload data'!$B:$B,"custody")</f>
        <v>0</v>
      </c>
      <c r="S157" s="94">
        <f>SUMIFS('caseload data'!T:T,'caseload data'!$D:$D,"PO",'caseload data'!$A:$A,"Greater Manchester",'caseload data'!$B:$B,"custody")</f>
        <v>0</v>
      </c>
      <c r="T157" s="94">
        <f>SUMIFS('caseload data'!V:V,'caseload data'!D:D,"PO",'caseload data'!A:A,"Greater Manchester",'caseload data'!B:B,"custody")</f>
        <v>0</v>
      </c>
      <c r="U157" s="64"/>
      <c r="V157" s="64"/>
      <c r="W157" s="473" t="s">
        <v>19</v>
      </c>
      <c r="X157" s="128" t="s">
        <v>997</v>
      </c>
      <c r="Y157" s="167" t="e">
        <f>SUM(D157)/SUM(D$157:D$161)</f>
        <v>#DIV/0!</v>
      </c>
      <c r="Z157" s="167" t="e">
        <f t="shared" ref="Z157:AO161" si="88">SUM(E157)/SUM(E$157:E$161)</f>
        <v>#DIV/0!</v>
      </c>
      <c r="AA157" s="167" t="e">
        <f t="shared" si="88"/>
        <v>#DIV/0!</v>
      </c>
      <c r="AB157" s="167" t="e">
        <f t="shared" si="88"/>
        <v>#DIV/0!</v>
      </c>
      <c r="AC157" s="167" t="e">
        <f t="shared" si="88"/>
        <v>#DIV/0!</v>
      </c>
      <c r="AD157" s="167" t="e">
        <f t="shared" si="88"/>
        <v>#DIV/0!</v>
      </c>
      <c r="AE157" s="167" t="e">
        <f t="shared" si="88"/>
        <v>#DIV/0!</v>
      </c>
      <c r="AF157" s="167" t="e">
        <f t="shared" si="88"/>
        <v>#DIV/0!</v>
      </c>
      <c r="AG157" s="167" t="e">
        <f t="shared" si="88"/>
        <v>#DIV/0!</v>
      </c>
      <c r="AH157" s="167" t="e">
        <f t="shared" si="88"/>
        <v>#DIV/0!</v>
      </c>
      <c r="AI157" s="167" t="e">
        <f t="shared" si="88"/>
        <v>#DIV/0!</v>
      </c>
      <c r="AJ157" s="167" t="e">
        <f t="shared" si="88"/>
        <v>#DIV/0!</v>
      </c>
      <c r="AK157" s="167" t="e">
        <f t="shared" si="88"/>
        <v>#DIV/0!</v>
      </c>
      <c r="AL157" s="167" t="e">
        <f t="shared" si="88"/>
        <v>#DIV/0!</v>
      </c>
      <c r="AM157" s="167" t="e">
        <f t="shared" si="88"/>
        <v>#DIV/0!</v>
      </c>
      <c r="AN157" s="167" t="e">
        <f t="shared" si="88"/>
        <v>#DIV/0!</v>
      </c>
      <c r="AO157" s="167" t="e">
        <f t="shared" si="88"/>
        <v>#DIV/0!</v>
      </c>
    </row>
    <row r="158" spans="2:41" x14ac:dyDescent="0.15">
      <c r="B158" s="474"/>
      <c r="C158" s="129" t="s">
        <v>1002</v>
      </c>
      <c r="D158" s="94">
        <f>SUMIFS('caseload data'!E:E,'caseload data'!$D:$D,"PSO",'caseload data'!$A:$A,"Greater Manchester",'caseload data'!$B:$B,"custody")</f>
        <v>0</v>
      </c>
      <c r="E158" s="94">
        <f>SUMIFS('caseload data'!F:F,'caseload data'!$D:$D,"PSO",'caseload data'!$A:$A,"Greater Manchester",'caseload data'!$B:$B,"custody")</f>
        <v>0</v>
      </c>
      <c r="F158" s="94">
        <f>SUMIFS('caseload data'!G:G,'caseload data'!$D:$D,"PSO",'caseload data'!$A:$A,"Greater Manchester",'caseload data'!$B:$B,"custody")</f>
        <v>0</v>
      </c>
      <c r="G158" s="94">
        <f>SUMIFS('caseload data'!H:H,'caseload data'!$D:$D,"PSO",'caseload data'!$A:$A,"Greater Manchester",'caseload data'!$B:$B,"custody")</f>
        <v>0</v>
      </c>
      <c r="H158" s="94">
        <f>SUMIFS('caseload data'!I:I,'caseload data'!$D:$D,"PSO",'caseload data'!$A:$A,"Greater Manchester",'caseload data'!$B:$B,"custody")</f>
        <v>0</v>
      </c>
      <c r="I158" s="94">
        <f>SUMIFS('caseload data'!J:J,'caseload data'!$D:$D,"PSO",'caseload data'!$A:$A,"Greater Manchester",'caseload data'!$B:$B,"custody")</f>
        <v>0</v>
      </c>
      <c r="J158" s="94">
        <f>SUMIFS('caseload data'!K:K,'caseload data'!$D:$D,"PSO",'caseload data'!$A:$A,"Greater Manchester",'caseload data'!$B:$B,"custody")</f>
        <v>0</v>
      </c>
      <c r="K158" s="94">
        <f>SUMIFS('caseload data'!L:L,'caseload data'!$D:$D,"PSO",'caseload data'!$A:$A,"Greater Manchester",'caseload data'!$B:$B,"custody")</f>
        <v>0</v>
      </c>
      <c r="L158" s="94">
        <f>SUMIFS('caseload data'!M:M,'caseload data'!$D:$D,"PSO",'caseload data'!$A:$A,"Greater Manchester",'caseload data'!$B:$B,"custody")</f>
        <v>0</v>
      </c>
      <c r="M158" s="94">
        <f>SUMIFS('caseload data'!N:N,'caseload data'!$D:$D,"PSO",'caseload data'!$A:$A,"Greater Manchester",'caseload data'!$B:$B,"custody")</f>
        <v>0</v>
      </c>
      <c r="N158" s="94">
        <f>SUMIFS('caseload data'!O:O,'caseload data'!$D:$D,"PSO",'caseload data'!$A:$A,"Greater Manchester",'caseload data'!$B:$B,"custody")</f>
        <v>0</v>
      </c>
      <c r="O158" s="94">
        <f>SUMIFS('caseload data'!P:P,'caseload data'!$D:$D,"PSO",'caseload data'!$A:$A,"Greater Manchester",'caseload data'!$B:$B,"custody")</f>
        <v>0</v>
      </c>
      <c r="P158" s="94">
        <f>SUMIFS('caseload data'!Q:Q,'caseload data'!$D:$D,"PSO",'caseload data'!$A:$A,"Greater Manchester",'caseload data'!$B:$B,"custody")</f>
        <v>0</v>
      </c>
      <c r="Q158" s="94">
        <f>SUMIFS('caseload data'!R:R,'caseload data'!$D:$D,"PSO",'caseload data'!$A:$A,"Greater Manchester",'caseload data'!$B:$B,"custody")</f>
        <v>0</v>
      </c>
      <c r="R158" s="94">
        <f>SUMIFS('caseload data'!S:S,'caseload data'!$D:$D,"PSO",'caseload data'!$A:$A,"Greater Manchester",'caseload data'!$B:$B,"custody")</f>
        <v>0</v>
      </c>
      <c r="S158" s="94">
        <f>SUMIFS('caseload data'!T:T,'caseload data'!$D:$D,"PSO",'caseload data'!$A:$A,"Greater Manchester",'caseload data'!$B:$B,"custody")</f>
        <v>0</v>
      </c>
      <c r="T158" s="94">
        <f>SUMIFS('caseload data'!V:V,'caseload data'!D:D,"PSO",'caseload data'!A:A,"Greater Manchester",'caseload data'!B:B,"custody")</f>
        <v>0</v>
      </c>
      <c r="U158" s="64"/>
      <c r="V158" s="64"/>
      <c r="W158" s="474"/>
      <c r="X158" s="129" t="s">
        <v>1002</v>
      </c>
      <c r="Y158" s="167" t="e">
        <f t="shared" ref="Y158:Y161" si="89">SUM(D158)/SUM(D$157:D$161)</f>
        <v>#DIV/0!</v>
      </c>
      <c r="Z158" s="167" t="e">
        <f t="shared" si="88"/>
        <v>#DIV/0!</v>
      </c>
      <c r="AA158" s="167" t="e">
        <f t="shared" si="88"/>
        <v>#DIV/0!</v>
      </c>
      <c r="AB158" s="167" t="e">
        <f t="shared" si="88"/>
        <v>#DIV/0!</v>
      </c>
      <c r="AC158" s="167" t="e">
        <f t="shared" si="88"/>
        <v>#DIV/0!</v>
      </c>
      <c r="AD158" s="167" t="e">
        <f t="shared" si="88"/>
        <v>#DIV/0!</v>
      </c>
      <c r="AE158" s="167" t="e">
        <f t="shared" si="88"/>
        <v>#DIV/0!</v>
      </c>
      <c r="AF158" s="167" t="e">
        <f t="shared" si="88"/>
        <v>#DIV/0!</v>
      </c>
      <c r="AG158" s="167" t="e">
        <f t="shared" si="88"/>
        <v>#DIV/0!</v>
      </c>
      <c r="AH158" s="167" t="e">
        <f t="shared" si="88"/>
        <v>#DIV/0!</v>
      </c>
      <c r="AI158" s="167" t="e">
        <f t="shared" si="88"/>
        <v>#DIV/0!</v>
      </c>
      <c r="AJ158" s="167" t="e">
        <f t="shared" si="88"/>
        <v>#DIV/0!</v>
      </c>
      <c r="AK158" s="167" t="e">
        <f t="shared" si="88"/>
        <v>#DIV/0!</v>
      </c>
      <c r="AL158" s="167" t="e">
        <f t="shared" si="88"/>
        <v>#DIV/0!</v>
      </c>
      <c r="AM158" s="167" t="e">
        <f t="shared" si="88"/>
        <v>#DIV/0!</v>
      </c>
      <c r="AN158" s="167" t="e">
        <f t="shared" si="88"/>
        <v>#DIV/0!</v>
      </c>
      <c r="AO158" s="167" t="e">
        <f t="shared" si="88"/>
        <v>#DIV/0!</v>
      </c>
    </row>
    <row r="159" spans="2:41" x14ac:dyDescent="0.15">
      <c r="B159" s="474"/>
      <c r="C159" s="129" t="s">
        <v>1003</v>
      </c>
      <c r="D159" s="94">
        <f>SUMIFS('caseload data'!E:E,'caseload data'!$D:$D,"TPO",'caseload data'!$A:$A,"Greater Manchester",'caseload data'!$B:$B,"custody")</f>
        <v>0</v>
      </c>
      <c r="E159" s="94">
        <f>SUMIFS('caseload data'!F:F,'caseload data'!$D:$D,"TPO",'caseload data'!$A:$A,"Greater Manchester",'caseload data'!$B:$B,"custody")</f>
        <v>0</v>
      </c>
      <c r="F159" s="94">
        <f>SUMIFS('caseload data'!G:G,'caseload data'!$D:$D,"TPO",'caseload data'!$A:$A,"Greater Manchester",'caseload data'!$B:$B,"custody")</f>
        <v>0</v>
      </c>
      <c r="G159" s="94">
        <f>SUMIFS('caseload data'!H:H,'caseload data'!$D:$D,"TPO",'caseload data'!$A:$A,"Greater Manchester",'caseload data'!$B:$B,"custody")</f>
        <v>0</v>
      </c>
      <c r="H159" s="94">
        <f>SUMIFS('caseload data'!I:I,'caseload data'!$D:$D,"TPO",'caseload data'!$A:$A,"Greater Manchester",'caseload data'!$B:$B,"custody")</f>
        <v>0</v>
      </c>
      <c r="I159" s="94">
        <f>SUMIFS('caseload data'!J:J,'caseload data'!$D:$D,"TPO",'caseload data'!$A:$A,"Greater Manchester",'caseload data'!$B:$B,"custody")</f>
        <v>0</v>
      </c>
      <c r="J159" s="94">
        <f>SUMIFS('caseload data'!K:K,'caseload data'!$D:$D,"TPO",'caseload data'!$A:$A,"Greater Manchester",'caseload data'!$B:$B,"custody")</f>
        <v>0</v>
      </c>
      <c r="K159" s="94">
        <f>SUMIFS('caseload data'!L:L,'caseload data'!$D:$D,"TPO",'caseload data'!$A:$A,"Greater Manchester",'caseload data'!$B:$B,"custody")</f>
        <v>0</v>
      </c>
      <c r="L159" s="94">
        <f>SUMIFS('caseload data'!M:M,'caseload data'!$D:$D,"TPO",'caseload data'!$A:$A,"Greater Manchester",'caseload data'!$B:$B,"custody")</f>
        <v>0</v>
      </c>
      <c r="M159" s="94">
        <f>SUMIFS('caseload data'!N:N,'caseload data'!$D:$D,"TPO",'caseload data'!$A:$A,"Greater Manchester",'caseload data'!$B:$B,"custody")</f>
        <v>0</v>
      </c>
      <c r="N159" s="94">
        <f>SUMIFS('caseload data'!O:O,'caseload data'!$D:$D,"TPO",'caseload data'!$A:$A,"Greater Manchester",'caseload data'!$B:$B,"custody")</f>
        <v>0</v>
      </c>
      <c r="O159" s="94">
        <f>SUMIFS('caseload data'!P:P,'caseload data'!$D:$D,"TPO",'caseload data'!$A:$A,"Greater Manchester",'caseload data'!$B:$B,"custody")</f>
        <v>0</v>
      </c>
      <c r="P159" s="94">
        <f>SUMIFS('caseload data'!Q:Q,'caseload data'!$D:$D,"TPO",'caseload data'!$A:$A,"Greater Manchester",'caseload data'!$B:$B,"custody")</f>
        <v>0</v>
      </c>
      <c r="Q159" s="94">
        <f>SUMIFS('caseload data'!R:R,'caseload data'!$D:$D,"TPO",'caseload data'!$A:$A,"Greater Manchester",'caseload data'!$B:$B,"custody")</f>
        <v>0</v>
      </c>
      <c r="R159" s="94">
        <f>SUMIFS('caseload data'!S:S,'caseload data'!$D:$D,"TPO",'caseload data'!$A:$A,"Greater Manchester",'caseload data'!$B:$B,"custody")</f>
        <v>0</v>
      </c>
      <c r="S159" s="94">
        <f>SUMIFS('caseload data'!T:T,'caseload data'!$D:$D,"TPO",'caseload data'!$A:$A,"Greater Manchester",'caseload data'!$B:$B,"custody")</f>
        <v>0</v>
      </c>
      <c r="T159" s="94">
        <f>SUMIFS('caseload data'!V:V,'caseload data'!D:D,"TPO",'caseload data'!A:A,"Greater Manchester",'caseload data'!B:B,"custody")</f>
        <v>0</v>
      </c>
      <c r="U159" s="64"/>
      <c r="V159" s="64"/>
      <c r="W159" s="474"/>
      <c r="X159" s="129" t="s">
        <v>1003</v>
      </c>
      <c r="Y159" s="167" t="e">
        <f t="shared" si="89"/>
        <v>#DIV/0!</v>
      </c>
      <c r="Z159" s="167" t="e">
        <f t="shared" si="88"/>
        <v>#DIV/0!</v>
      </c>
      <c r="AA159" s="167" t="e">
        <f t="shared" si="88"/>
        <v>#DIV/0!</v>
      </c>
      <c r="AB159" s="167" t="e">
        <f t="shared" si="88"/>
        <v>#DIV/0!</v>
      </c>
      <c r="AC159" s="167" t="e">
        <f t="shared" si="88"/>
        <v>#DIV/0!</v>
      </c>
      <c r="AD159" s="167" t="e">
        <f t="shared" si="88"/>
        <v>#DIV/0!</v>
      </c>
      <c r="AE159" s="167" t="e">
        <f t="shared" si="88"/>
        <v>#DIV/0!</v>
      </c>
      <c r="AF159" s="167" t="e">
        <f t="shared" si="88"/>
        <v>#DIV/0!</v>
      </c>
      <c r="AG159" s="167" t="e">
        <f t="shared" si="88"/>
        <v>#DIV/0!</v>
      </c>
      <c r="AH159" s="167" t="e">
        <f t="shared" si="88"/>
        <v>#DIV/0!</v>
      </c>
      <c r="AI159" s="167" t="e">
        <f t="shared" si="88"/>
        <v>#DIV/0!</v>
      </c>
      <c r="AJ159" s="167" t="e">
        <f t="shared" si="88"/>
        <v>#DIV/0!</v>
      </c>
      <c r="AK159" s="167" t="e">
        <f t="shared" si="88"/>
        <v>#DIV/0!</v>
      </c>
      <c r="AL159" s="167" t="e">
        <f t="shared" si="88"/>
        <v>#DIV/0!</v>
      </c>
      <c r="AM159" s="167" t="e">
        <f t="shared" si="88"/>
        <v>#DIV/0!</v>
      </c>
      <c r="AN159" s="167" t="e">
        <f t="shared" si="88"/>
        <v>#DIV/0!</v>
      </c>
      <c r="AO159" s="167" t="e">
        <f t="shared" si="88"/>
        <v>#DIV/0!</v>
      </c>
    </row>
    <row r="160" spans="2:41" x14ac:dyDescent="0.15">
      <c r="B160" s="474"/>
      <c r="C160" s="129" t="s">
        <v>1004</v>
      </c>
      <c r="D160" s="94">
        <f>SUMIFS('caseload data'!E:E,'caseload data'!$D:$D,"SPO",'caseload data'!$A:$A,"Greater Manchester",'caseload data'!$B:$B,"custody")</f>
        <v>0</v>
      </c>
      <c r="E160" s="94">
        <f>SUMIFS('caseload data'!F:F,'caseload data'!$D:$D,"SPO",'caseload data'!$A:$A,"Greater Manchester",'caseload data'!$B:$B,"custody")</f>
        <v>0</v>
      </c>
      <c r="F160" s="94">
        <f>SUMIFS('caseload data'!G:G,'caseload data'!$D:$D,"SPO",'caseload data'!$A:$A,"Greater Manchester",'caseload data'!$B:$B,"custody")</f>
        <v>0</v>
      </c>
      <c r="G160" s="94">
        <f>SUMIFS('caseload data'!H:H,'caseload data'!$D:$D,"SPO",'caseload data'!$A:$A,"Greater Manchester",'caseload data'!$B:$B,"custody")</f>
        <v>0</v>
      </c>
      <c r="H160" s="94">
        <f>SUMIFS('caseload data'!I:I,'caseload data'!$D:$D,"SPO",'caseload data'!$A:$A,"Greater Manchester",'caseload data'!$B:$B,"custody")</f>
        <v>0</v>
      </c>
      <c r="I160" s="94">
        <f>SUMIFS('caseload data'!J:J,'caseload data'!$D:$D,"SPO",'caseload data'!$A:$A,"Greater Manchester",'caseload data'!$B:$B,"custody")</f>
        <v>0</v>
      </c>
      <c r="J160" s="94">
        <f>SUMIFS('caseload data'!K:K,'caseload data'!$D:$D,"SPO",'caseload data'!$A:$A,"Greater Manchester",'caseload data'!$B:$B,"custody")</f>
        <v>0</v>
      </c>
      <c r="K160" s="94">
        <f>SUMIFS('caseload data'!L:L,'caseload data'!$D:$D,"SPO",'caseload data'!$A:$A,"Greater Manchester",'caseload data'!$B:$B,"custody")</f>
        <v>0</v>
      </c>
      <c r="L160" s="94">
        <f>SUMIFS('caseload data'!M:M,'caseload data'!$D:$D,"SPO",'caseload data'!$A:$A,"Greater Manchester",'caseload data'!$B:$B,"custody")</f>
        <v>0</v>
      </c>
      <c r="M160" s="94">
        <f>SUMIFS('caseload data'!N:N,'caseload data'!$D:$D,"SPO",'caseload data'!$A:$A,"Greater Manchester",'caseload data'!$B:$B,"custody")</f>
        <v>0</v>
      </c>
      <c r="N160" s="94">
        <f>SUMIFS('caseload data'!O:O,'caseload data'!$D:$D,"SPO",'caseload data'!$A:$A,"Greater Manchester",'caseload data'!$B:$B,"custody")</f>
        <v>0</v>
      </c>
      <c r="O160" s="94">
        <f>SUMIFS('caseload data'!P:P,'caseload data'!$D:$D,"SPO",'caseload data'!$A:$A,"Greater Manchester",'caseload data'!$B:$B,"custody")</f>
        <v>0</v>
      </c>
      <c r="P160" s="94">
        <f>SUMIFS('caseload data'!Q:Q,'caseload data'!$D:$D,"SPO",'caseload data'!$A:$A,"Greater Manchester",'caseload data'!$B:$B,"custody")</f>
        <v>0</v>
      </c>
      <c r="Q160" s="94">
        <f>SUMIFS('caseload data'!R:R,'caseload data'!$D:$D,"SPO",'caseload data'!$A:$A,"Greater Manchester",'caseload data'!$B:$B,"custody")</f>
        <v>0</v>
      </c>
      <c r="R160" s="94">
        <f>SUMIFS('caseload data'!S:S,'caseload data'!$D:$D,"SPO",'caseload data'!$A:$A,"Greater Manchester",'caseload data'!$B:$B,"custody")</f>
        <v>0</v>
      </c>
      <c r="S160" s="94">
        <f>SUMIFS('caseload data'!T:T,'caseload data'!$D:$D,"SPO",'caseload data'!$A:$A,"Greater Manchester",'caseload data'!$B:$B,"custody")</f>
        <v>0</v>
      </c>
      <c r="T160" s="94">
        <f>SUMIFS('caseload data'!V:V,'caseload data'!$D:$D,"SPO",'caseload data'!$A:$A,"Greater Manchester",'caseload data'!$B:$B,"custody")</f>
        <v>0</v>
      </c>
      <c r="U160" s="64"/>
      <c r="V160" s="64"/>
      <c r="W160" s="474"/>
      <c r="X160" s="129" t="s">
        <v>1004</v>
      </c>
      <c r="Y160" s="167" t="e">
        <f t="shared" si="89"/>
        <v>#DIV/0!</v>
      </c>
      <c r="Z160" s="167" t="e">
        <f t="shared" si="88"/>
        <v>#DIV/0!</v>
      </c>
      <c r="AA160" s="167" t="e">
        <f t="shared" si="88"/>
        <v>#DIV/0!</v>
      </c>
      <c r="AB160" s="167" t="e">
        <f t="shared" si="88"/>
        <v>#DIV/0!</v>
      </c>
      <c r="AC160" s="167" t="e">
        <f t="shared" si="88"/>
        <v>#DIV/0!</v>
      </c>
      <c r="AD160" s="167" t="e">
        <f t="shared" si="88"/>
        <v>#DIV/0!</v>
      </c>
      <c r="AE160" s="167" t="e">
        <f t="shared" si="88"/>
        <v>#DIV/0!</v>
      </c>
      <c r="AF160" s="167" t="e">
        <f t="shared" si="88"/>
        <v>#DIV/0!</v>
      </c>
      <c r="AG160" s="167" t="e">
        <f t="shared" si="88"/>
        <v>#DIV/0!</v>
      </c>
      <c r="AH160" s="167" t="e">
        <f t="shared" si="88"/>
        <v>#DIV/0!</v>
      </c>
      <c r="AI160" s="167" t="e">
        <f t="shared" si="88"/>
        <v>#DIV/0!</v>
      </c>
      <c r="AJ160" s="167" t="e">
        <f t="shared" si="88"/>
        <v>#DIV/0!</v>
      </c>
      <c r="AK160" s="167" t="e">
        <f t="shared" si="88"/>
        <v>#DIV/0!</v>
      </c>
      <c r="AL160" s="167" t="e">
        <f t="shared" si="88"/>
        <v>#DIV/0!</v>
      </c>
      <c r="AM160" s="167" t="e">
        <f t="shared" si="88"/>
        <v>#DIV/0!</v>
      </c>
      <c r="AN160" s="167" t="e">
        <f t="shared" si="88"/>
        <v>#DIV/0!</v>
      </c>
      <c r="AO160" s="167" t="e">
        <f t="shared" si="88"/>
        <v>#DIV/0!</v>
      </c>
    </row>
    <row r="161" spans="2:41" x14ac:dyDescent="0.15">
      <c r="B161" s="475"/>
      <c r="C161" s="130" t="s">
        <v>1339</v>
      </c>
      <c r="D161" s="94">
        <f>SUMIFS('caseload data'!E:E,'caseload data'!$D:$D,"DMY",'caseload data'!$A:$A,"Greater Manchester",'caseload data'!$B:$B,"custody")</f>
        <v>0</v>
      </c>
      <c r="E161" s="94">
        <f>SUMIFS('caseload data'!F:F,'caseload data'!$D:$D,"DMY",'caseload data'!$A:$A,"Greater Manchester",'caseload data'!$B:$B,"custody")</f>
        <v>0</v>
      </c>
      <c r="F161" s="94">
        <f>SUMIFS('caseload data'!G:G,'caseload data'!$D:$D,"DMY",'caseload data'!$A:$A,"Greater Manchester",'caseload data'!$B:$B,"custody")</f>
        <v>0</v>
      </c>
      <c r="G161" s="94">
        <f>SUMIFS('caseload data'!H:H,'caseload data'!$D:$D,"DMY",'caseload data'!$A:$A,"Greater Manchester",'caseload data'!$B:$B,"custody")</f>
        <v>0</v>
      </c>
      <c r="H161" s="94">
        <f>SUMIFS('caseload data'!I:I,'caseload data'!$D:$D,"DMY",'caseload data'!$A:$A,"Greater Manchester",'caseload data'!$B:$B,"custody")</f>
        <v>0</v>
      </c>
      <c r="I161" s="94">
        <f>SUMIFS('caseload data'!J:J,'caseload data'!$D:$D,"DMY",'caseload data'!$A:$A,"Greater Manchester",'caseload data'!$B:$B,"custody")</f>
        <v>0</v>
      </c>
      <c r="J161" s="94">
        <f>SUMIFS('caseload data'!K:K,'caseload data'!$D:$D,"DMY",'caseload data'!$A:$A,"Greater Manchester",'caseload data'!$B:$B,"custody")</f>
        <v>0</v>
      </c>
      <c r="K161" s="94">
        <f>SUMIFS('caseload data'!L:L,'caseload data'!$D:$D,"DMY",'caseload data'!$A:$A,"Greater Manchester",'caseload data'!$B:$B,"custody")</f>
        <v>0</v>
      </c>
      <c r="L161" s="94">
        <f>SUMIFS('caseload data'!M:M,'caseload data'!$D:$D,"DMY",'caseload data'!$A:$A,"Greater Manchester",'caseload data'!$B:$B,"custody")</f>
        <v>0</v>
      </c>
      <c r="M161" s="94">
        <f>SUMIFS('caseload data'!N:N,'caseload data'!$D:$D,"DMY",'caseload data'!$A:$A,"Greater Manchester",'caseload data'!$B:$B,"custody")</f>
        <v>0</v>
      </c>
      <c r="N161" s="94">
        <f>SUMIFS('caseload data'!O:O,'caseload data'!$D:$D,"DMY",'caseload data'!$A:$A,"Greater Manchester",'caseload data'!$B:$B,"custody")</f>
        <v>0</v>
      </c>
      <c r="O161" s="94">
        <f>SUMIFS('caseload data'!P:P,'caseload data'!$D:$D,"DMY",'caseload data'!$A:$A,"Greater Manchester",'caseload data'!$B:$B,"custody")</f>
        <v>0</v>
      </c>
      <c r="P161" s="94">
        <f>SUMIFS('caseload data'!Q:Q,'caseload data'!$D:$D,"DMY",'caseload data'!$A:$A,"Greater Manchester",'caseload data'!$B:$B,"custody")</f>
        <v>0</v>
      </c>
      <c r="Q161" s="94">
        <f>SUMIFS('caseload data'!R:R,'caseload data'!$D:$D,"DMY",'caseload data'!$A:$A,"Greater Manchester",'caseload data'!$B:$B,"custody")</f>
        <v>0</v>
      </c>
      <c r="R161" s="94">
        <f>SUMIFS('caseload data'!S:S,'caseload data'!$D:$D,"DMY",'caseload data'!$A:$A,"Greater Manchester",'caseload data'!$B:$B,"custody")</f>
        <v>0</v>
      </c>
      <c r="S161" s="94">
        <f>SUMIFS('caseload data'!T:T,'caseload data'!$D:$D,"DMY",'caseload data'!$A:$A,"Greater Manchester",'caseload data'!$B:$B,"custody")</f>
        <v>0</v>
      </c>
      <c r="T161" s="94">
        <f>SUMIFS('caseload data'!V:V,'caseload data'!$D:$D,"DMY",'caseload data'!$A:$A,"Greater Manchester",'caseload data'!$B:$B,"custody")</f>
        <v>0</v>
      </c>
      <c r="U161" s="64"/>
      <c r="V161" s="64"/>
      <c r="W161" s="475"/>
      <c r="X161" s="130" t="s">
        <v>1339</v>
      </c>
      <c r="Y161" s="167" t="e">
        <f t="shared" si="89"/>
        <v>#DIV/0!</v>
      </c>
      <c r="Z161" s="167" t="e">
        <f t="shared" si="88"/>
        <v>#DIV/0!</v>
      </c>
      <c r="AA161" s="167" t="e">
        <f t="shared" si="88"/>
        <v>#DIV/0!</v>
      </c>
      <c r="AB161" s="167" t="e">
        <f t="shared" si="88"/>
        <v>#DIV/0!</v>
      </c>
      <c r="AC161" s="167" t="e">
        <f t="shared" si="88"/>
        <v>#DIV/0!</v>
      </c>
      <c r="AD161" s="167" t="e">
        <f t="shared" si="88"/>
        <v>#DIV/0!</v>
      </c>
      <c r="AE161" s="167" t="e">
        <f t="shared" si="88"/>
        <v>#DIV/0!</v>
      </c>
      <c r="AF161" s="167" t="e">
        <f t="shared" si="88"/>
        <v>#DIV/0!</v>
      </c>
      <c r="AG161" s="167" t="e">
        <f t="shared" si="88"/>
        <v>#DIV/0!</v>
      </c>
      <c r="AH161" s="167" t="e">
        <f t="shared" si="88"/>
        <v>#DIV/0!</v>
      </c>
      <c r="AI161" s="167" t="e">
        <f t="shared" si="88"/>
        <v>#DIV/0!</v>
      </c>
      <c r="AJ161" s="167" t="e">
        <f t="shared" si="88"/>
        <v>#DIV/0!</v>
      </c>
      <c r="AK161" s="167" t="e">
        <f t="shared" si="88"/>
        <v>#DIV/0!</v>
      </c>
      <c r="AL161" s="167" t="e">
        <f t="shared" si="88"/>
        <v>#DIV/0!</v>
      </c>
      <c r="AM161" s="167" t="e">
        <f t="shared" si="88"/>
        <v>#DIV/0!</v>
      </c>
      <c r="AN161" s="167" t="e">
        <f t="shared" si="88"/>
        <v>#DIV/0!</v>
      </c>
      <c r="AO161" s="167" t="e">
        <f t="shared" si="88"/>
        <v>#DIV/0!</v>
      </c>
    </row>
    <row r="162" spans="2:41" x14ac:dyDescent="0.15">
      <c r="B162" s="473" t="s">
        <v>20</v>
      </c>
      <c r="C162" s="128" t="s">
        <v>997</v>
      </c>
      <c r="D162" s="94">
        <f>SUMIFS('caseload data'!E:E,'caseload data'!$D:$D,"PO",'caseload data'!$A:$A,'national caseload'!$B$162:$B$164,'caseload data'!$B:$B,"custody")</f>
        <v>0</v>
      </c>
      <c r="E162" s="94">
        <f>SUMIFS('caseload data'!F:F,'caseload data'!$D:$D,"PO",'caseload data'!$A:$A,'national caseload'!$B$162:$B$164,'caseload data'!$B:$B,"custody")</f>
        <v>0</v>
      </c>
      <c r="F162" s="94">
        <f>SUMIFS('caseload data'!G:G,'caseload data'!$D:$D,"PO",'caseload data'!$A:$A,'national caseload'!$B$162:$B$164,'caseload data'!$B:$B,"custody")</f>
        <v>0</v>
      </c>
      <c r="G162" s="94">
        <f>SUMIFS('caseload data'!H:H,'caseload data'!$D:$D,"PO",'caseload data'!$A:$A,'national caseload'!$B$162:$B$164,'caseload data'!$B:$B,"custody")</f>
        <v>0</v>
      </c>
      <c r="H162" s="94">
        <f>SUMIFS('caseload data'!I:I,'caseload data'!$D:$D,"PO",'caseload data'!$A:$A,'national caseload'!$B$162:$B$164,'caseload data'!$B:$B,"custody")</f>
        <v>0</v>
      </c>
      <c r="I162" s="94">
        <f>SUMIFS('caseload data'!J:J,'caseload data'!$D:$D,"PO",'caseload data'!$A:$A,'national caseload'!$B$162:$B$164,'caseload data'!$B:$B,"custody")</f>
        <v>0</v>
      </c>
      <c r="J162" s="94">
        <f>SUMIFS('caseload data'!K:K,'caseload data'!$D:$D,"PO",'caseload data'!$A:$A,'national caseload'!$B$162:$B$164,'caseload data'!$B:$B,"custody")</f>
        <v>0</v>
      </c>
      <c r="K162" s="94">
        <f>SUMIFS('caseload data'!L:L,'caseload data'!$D:$D,"PO",'caseload data'!$A:$A,'national caseload'!$B$162:$B$164,'caseload data'!$B:$B,"custody")</f>
        <v>0</v>
      </c>
      <c r="L162" s="94">
        <f>SUMIFS('caseload data'!M:M,'caseload data'!$D:$D,"PO",'caseload data'!$A:$A,'national caseload'!$B$162:$B$164,'caseload data'!$B:$B,"custody")</f>
        <v>0</v>
      </c>
      <c r="M162" s="94">
        <f>SUMIFS('caseload data'!N:N,'caseload data'!$D:$D,"PO",'caseload data'!$A:$A,'national caseload'!$B$162:$B$164,'caseload data'!$B:$B,"custody")</f>
        <v>0</v>
      </c>
      <c r="N162" s="94">
        <f>SUMIFS('caseload data'!O:O,'caseload data'!$D:$D,"PO",'caseload data'!$A:$A,'national caseload'!$B$162:$B$164,'caseload data'!$B:$B,"custody")</f>
        <v>0</v>
      </c>
      <c r="O162" s="94">
        <f>SUMIFS('caseload data'!P:P,'caseload data'!$D:$D,"PO",'caseload data'!$A:$A,'national caseload'!$B$162:$B$164,'caseload data'!$B:$B,"custody")</f>
        <v>0</v>
      </c>
      <c r="P162" s="94">
        <f>SUMIFS('caseload data'!Q:Q,'caseload data'!$D:$D,"PO",'caseload data'!$A:$A,'national caseload'!$B$162:$B$164,'caseload data'!$B:$B,"custody")</f>
        <v>0</v>
      </c>
      <c r="Q162" s="94">
        <f>SUMIFS('caseload data'!R:R,'caseload data'!$D:$D,"PO",'caseload data'!$A:$A,'national caseload'!$B$162:$B$164,'caseload data'!$B:$B,"custody")</f>
        <v>0</v>
      </c>
      <c r="R162" s="94">
        <f>SUMIFS('caseload data'!S:S,'caseload data'!$D:$D,"PO",'caseload data'!$A:$A,'national caseload'!$B$162:$B$164,'caseload data'!$B:$B,"custody")</f>
        <v>0</v>
      </c>
      <c r="S162" s="94">
        <f>SUMIFS('caseload data'!T:T,'caseload data'!$D:$D,"PO",'caseload data'!$A:$A,'national caseload'!$B$162:$B$164,'caseload data'!$B:$B,"custody")</f>
        <v>0</v>
      </c>
      <c r="T162" s="94">
        <f>SUMIFS('caseload data'!V:V,'caseload data'!D:D,"PO",'caseload data'!A:A,'national caseload'!B162:B164,'caseload data'!B:B,"custody")</f>
        <v>0</v>
      </c>
      <c r="U162" s="64"/>
      <c r="V162" s="64"/>
      <c r="W162" s="473" t="s">
        <v>20</v>
      </c>
      <c r="X162" s="128" t="s">
        <v>997</v>
      </c>
      <c r="Y162" s="167" t="e">
        <f>SUM(D162)/SUM(D$162:D$166)</f>
        <v>#DIV/0!</v>
      </c>
      <c r="Z162" s="167" t="e">
        <f t="shared" ref="Z162:AO166" si="90">SUM(E162)/SUM(E$162:E$166)</f>
        <v>#DIV/0!</v>
      </c>
      <c r="AA162" s="167" t="e">
        <f t="shared" si="90"/>
        <v>#DIV/0!</v>
      </c>
      <c r="AB162" s="167" t="e">
        <f t="shared" si="90"/>
        <v>#DIV/0!</v>
      </c>
      <c r="AC162" s="167" t="e">
        <f t="shared" si="90"/>
        <v>#DIV/0!</v>
      </c>
      <c r="AD162" s="167" t="e">
        <f t="shared" si="90"/>
        <v>#DIV/0!</v>
      </c>
      <c r="AE162" s="167" t="e">
        <f t="shared" si="90"/>
        <v>#DIV/0!</v>
      </c>
      <c r="AF162" s="167" t="e">
        <f t="shared" si="90"/>
        <v>#DIV/0!</v>
      </c>
      <c r="AG162" s="167" t="e">
        <f t="shared" si="90"/>
        <v>#DIV/0!</v>
      </c>
      <c r="AH162" s="167" t="e">
        <f t="shared" si="90"/>
        <v>#DIV/0!</v>
      </c>
      <c r="AI162" s="167" t="e">
        <f t="shared" si="90"/>
        <v>#DIV/0!</v>
      </c>
      <c r="AJ162" s="167" t="e">
        <f t="shared" si="90"/>
        <v>#DIV/0!</v>
      </c>
      <c r="AK162" s="167" t="e">
        <f t="shared" si="90"/>
        <v>#DIV/0!</v>
      </c>
      <c r="AL162" s="167" t="e">
        <f t="shared" si="90"/>
        <v>#DIV/0!</v>
      </c>
      <c r="AM162" s="167" t="e">
        <f t="shared" si="90"/>
        <v>#DIV/0!</v>
      </c>
      <c r="AN162" s="167" t="e">
        <f t="shared" si="90"/>
        <v>#DIV/0!</v>
      </c>
      <c r="AO162" s="167" t="e">
        <f t="shared" si="90"/>
        <v>#DIV/0!</v>
      </c>
    </row>
    <row r="163" spans="2:41" x14ac:dyDescent="0.15">
      <c r="B163" s="474"/>
      <c r="C163" s="129" t="s">
        <v>1002</v>
      </c>
      <c r="D163" s="94">
        <f>SUMIFS('caseload data'!E:E,'caseload data'!$D:$D,"PSO",'caseload data'!$A:$A,"Kent Surrey Sussex Region",'caseload data'!$B:$B,"custody")</f>
        <v>0</v>
      </c>
      <c r="E163" s="94">
        <f>SUMIFS('caseload data'!F:F,'caseload data'!$D:$D,"PSO",'caseload data'!$A:$A,"Kent Surrey Sussex Region",'caseload data'!$B:$B,"custody")</f>
        <v>0</v>
      </c>
      <c r="F163" s="94">
        <f>SUMIFS('caseload data'!G:G,'caseload data'!$D:$D,"PSO",'caseload data'!$A:$A,"Kent Surrey Sussex Region",'caseload data'!$B:$B,"custody")</f>
        <v>0</v>
      </c>
      <c r="G163" s="94">
        <f>SUMIFS('caseload data'!H:H,'caseload data'!$D:$D,"PSO",'caseload data'!$A:$A,"Kent Surrey Sussex Region",'caseload data'!$B:$B,"custody")</f>
        <v>0</v>
      </c>
      <c r="H163" s="94">
        <f>SUMIFS('caseload data'!I:I,'caseload data'!$D:$D,"PSO",'caseload data'!$A:$A,"Kent Surrey Sussex Region",'caseload data'!$B:$B,"custody")</f>
        <v>0</v>
      </c>
      <c r="I163" s="94">
        <f>SUMIFS('caseload data'!J:J,'caseload data'!$D:$D,"PSO",'caseload data'!$A:$A,"Kent Surrey Sussex Region",'caseload data'!$B:$B,"custody")</f>
        <v>0</v>
      </c>
      <c r="J163" s="94">
        <f>SUMIFS('caseload data'!K:K,'caseload data'!$D:$D,"PSO",'caseload data'!$A:$A,"Kent Surrey Sussex Region",'caseload data'!$B:$B,"custody")</f>
        <v>0</v>
      </c>
      <c r="K163" s="94">
        <f>SUMIFS('caseload data'!L:L,'caseload data'!$D:$D,"PSO",'caseload data'!$A:$A,"Kent Surrey Sussex Region",'caseload data'!$B:$B,"custody")</f>
        <v>0</v>
      </c>
      <c r="L163" s="94">
        <f>SUMIFS('caseload data'!M:M,'caseload data'!$D:$D,"PSO",'caseload data'!$A:$A,"Kent Surrey Sussex Region",'caseload data'!$B:$B,"custody")</f>
        <v>0</v>
      </c>
      <c r="M163" s="94">
        <f>SUMIFS('caseload data'!N:N,'caseload data'!$D:$D,"PSO",'caseload data'!$A:$A,"Kent Surrey Sussex Region",'caseload data'!$B:$B,"custody")</f>
        <v>0</v>
      </c>
      <c r="N163" s="94">
        <f>SUMIFS('caseload data'!O:O,'caseload data'!$D:$D,"PSO",'caseload data'!$A:$A,"Kent Surrey Sussex Region",'caseload data'!$B:$B,"custody")</f>
        <v>0</v>
      </c>
      <c r="O163" s="94">
        <f>SUMIFS('caseload data'!P:P,'caseload data'!$D:$D,"PSO",'caseload data'!$A:$A,"Kent Surrey Sussex Region",'caseload data'!$B:$B,"custody")</f>
        <v>0</v>
      </c>
      <c r="P163" s="94">
        <f>SUMIFS('caseload data'!Q:Q,'caseload data'!$D:$D,"PSO",'caseload data'!$A:$A,"Kent Surrey Sussex Region",'caseload data'!$B:$B,"custody")</f>
        <v>0</v>
      </c>
      <c r="Q163" s="94">
        <f>SUMIFS('caseload data'!R:R,'caseload data'!$D:$D,"PSO",'caseload data'!$A:$A,"Kent Surrey Sussex Region",'caseload data'!$B:$B,"custody")</f>
        <v>0</v>
      </c>
      <c r="R163" s="94">
        <f>SUMIFS('caseload data'!S:S,'caseload data'!$D:$D,"PSO",'caseload data'!$A:$A,"Kent Surrey Sussex Region",'caseload data'!$B:$B,"custody")</f>
        <v>0</v>
      </c>
      <c r="S163" s="94">
        <f>SUMIFS('caseload data'!T:T,'caseload data'!$D:$D,"PSO",'caseload data'!$A:$A,"Kent Surrey Sussex Region",'caseload data'!$B:$B,"custody")</f>
        <v>0</v>
      </c>
      <c r="T163" s="94">
        <f>SUMIFS('caseload data'!V:V,'caseload data'!D:D,"PSO",'caseload data'!A:A,"Kent Surrey Sussex Region",'caseload data'!B:B,"custody")</f>
        <v>0</v>
      </c>
      <c r="U163" s="64"/>
      <c r="V163" s="64"/>
      <c r="W163" s="474"/>
      <c r="X163" s="129" t="s">
        <v>1002</v>
      </c>
      <c r="Y163" s="167" t="e">
        <f t="shared" ref="Y163:Y166" si="91">SUM(D163)/SUM(D$162:D$166)</f>
        <v>#DIV/0!</v>
      </c>
      <c r="Z163" s="167" t="e">
        <f t="shared" si="90"/>
        <v>#DIV/0!</v>
      </c>
      <c r="AA163" s="167" t="e">
        <f t="shared" si="90"/>
        <v>#DIV/0!</v>
      </c>
      <c r="AB163" s="167" t="e">
        <f t="shared" si="90"/>
        <v>#DIV/0!</v>
      </c>
      <c r="AC163" s="167" t="e">
        <f t="shared" si="90"/>
        <v>#DIV/0!</v>
      </c>
      <c r="AD163" s="167" t="e">
        <f t="shared" si="90"/>
        <v>#DIV/0!</v>
      </c>
      <c r="AE163" s="167" t="e">
        <f t="shared" si="90"/>
        <v>#DIV/0!</v>
      </c>
      <c r="AF163" s="167" t="e">
        <f t="shared" si="90"/>
        <v>#DIV/0!</v>
      </c>
      <c r="AG163" s="167" t="e">
        <f t="shared" si="90"/>
        <v>#DIV/0!</v>
      </c>
      <c r="AH163" s="167" t="e">
        <f t="shared" si="90"/>
        <v>#DIV/0!</v>
      </c>
      <c r="AI163" s="167" t="e">
        <f t="shared" si="90"/>
        <v>#DIV/0!</v>
      </c>
      <c r="AJ163" s="167" t="e">
        <f t="shared" si="90"/>
        <v>#DIV/0!</v>
      </c>
      <c r="AK163" s="167" t="e">
        <f t="shared" si="90"/>
        <v>#DIV/0!</v>
      </c>
      <c r="AL163" s="167" t="e">
        <f t="shared" si="90"/>
        <v>#DIV/0!</v>
      </c>
      <c r="AM163" s="167" t="e">
        <f t="shared" si="90"/>
        <v>#DIV/0!</v>
      </c>
      <c r="AN163" s="167" t="e">
        <f t="shared" si="90"/>
        <v>#DIV/0!</v>
      </c>
      <c r="AO163" s="167" t="e">
        <f t="shared" si="90"/>
        <v>#DIV/0!</v>
      </c>
    </row>
    <row r="164" spans="2:41" x14ac:dyDescent="0.15">
      <c r="B164" s="474"/>
      <c r="C164" s="129" t="s">
        <v>1003</v>
      </c>
      <c r="D164" s="94">
        <f>SUMIFS('caseload data'!E:E,'caseload data'!$D:$D,"TPO",'caseload data'!$A:$A,"Kent Surrey Sussex Region",'caseload data'!$B:$B,"custody")</f>
        <v>0</v>
      </c>
      <c r="E164" s="94">
        <f>SUMIFS('caseload data'!F:F,'caseload data'!$D:$D,"TPO",'caseload data'!$A:$A,"Kent Surrey Sussex Region",'caseload data'!$B:$B,"custody")</f>
        <v>0</v>
      </c>
      <c r="F164" s="94">
        <f>SUMIFS('caseload data'!G:G,'caseload data'!$D:$D,"TPO",'caseload data'!$A:$A,"Kent Surrey Sussex Region",'caseload data'!$B:$B,"custody")</f>
        <v>0</v>
      </c>
      <c r="G164" s="94">
        <f>SUMIFS('caseload data'!H:H,'caseload data'!$D:$D,"TPO",'caseload data'!$A:$A,"Kent Surrey Sussex Region",'caseload data'!$B:$B,"custody")</f>
        <v>0</v>
      </c>
      <c r="H164" s="94">
        <f>SUMIFS('caseload data'!I:I,'caseload data'!$D:$D,"TPO",'caseload data'!$A:$A,"Kent Surrey Sussex Region",'caseload data'!$B:$B,"custody")</f>
        <v>0</v>
      </c>
      <c r="I164" s="94">
        <f>SUMIFS('caseload data'!J:J,'caseload data'!$D:$D,"TPO",'caseload data'!$A:$A,"Kent Surrey Sussex Region",'caseload data'!$B:$B,"custody")</f>
        <v>0</v>
      </c>
      <c r="J164" s="94">
        <f>SUMIFS('caseload data'!K:K,'caseload data'!$D:$D,"TPO",'caseload data'!$A:$A,"Kent Surrey Sussex Region",'caseload data'!$B:$B,"custody")</f>
        <v>0</v>
      </c>
      <c r="K164" s="94">
        <f>SUMIFS('caseload data'!L:L,'caseload data'!$D:$D,"TPO",'caseload data'!$A:$A,"Kent Surrey Sussex Region",'caseload data'!$B:$B,"custody")</f>
        <v>0</v>
      </c>
      <c r="L164" s="94">
        <f>SUMIFS('caseload data'!M:M,'caseload data'!$D:$D,"TPO",'caseload data'!$A:$A,"Kent Surrey Sussex Region",'caseload data'!$B:$B,"custody")</f>
        <v>0</v>
      </c>
      <c r="M164" s="94">
        <f>SUMIFS('caseload data'!N:N,'caseload data'!$D:$D,"TPO",'caseload data'!$A:$A,"Kent Surrey Sussex Region",'caseload data'!$B:$B,"custody")</f>
        <v>0</v>
      </c>
      <c r="N164" s="94">
        <f>SUMIFS('caseload data'!O:O,'caseload data'!$D:$D,"TPO",'caseload data'!$A:$A,"Kent Surrey Sussex Region",'caseload data'!$B:$B,"custody")</f>
        <v>0</v>
      </c>
      <c r="O164" s="94">
        <f>SUMIFS('caseload data'!P:P,'caseload data'!$D:$D,"TPO",'caseload data'!$A:$A,"Kent Surrey Sussex Region",'caseload data'!$B:$B,"custody")</f>
        <v>0</v>
      </c>
      <c r="P164" s="94">
        <f>SUMIFS('caseload data'!Q:Q,'caseload data'!$D:$D,"TPO",'caseload data'!$A:$A,"Kent Surrey Sussex Region",'caseload data'!$B:$B,"custody")</f>
        <v>0</v>
      </c>
      <c r="Q164" s="94">
        <f>SUMIFS('caseload data'!R:R,'caseload data'!$D:$D,"TPO",'caseload data'!$A:$A,"Kent Surrey Sussex Region",'caseload data'!$B:$B,"custody")</f>
        <v>0</v>
      </c>
      <c r="R164" s="94">
        <f>SUMIFS('caseload data'!S:S,'caseload data'!$D:$D,"TPO",'caseload data'!$A:$A,"Kent Surrey Sussex Region",'caseload data'!$B:$B,"custody")</f>
        <v>0</v>
      </c>
      <c r="S164" s="94">
        <f>SUMIFS('caseload data'!T:T,'caseload data'!$D:$D,"TPO",'caseload data'!$A:$A,"Kent Surrey Sussex Region",'caseload data'!$B:$B,"custody")</f>
        <v>0</v>
      </c>
      <c r="T164" s="94">
        <f>SUMIFS('caseload data'!V:V,'caseload data'!D:D,"TPO",'caseload data'!A:A,"Kent Surrey Sussex Region",'caseload data'!B:B,"custody")</f>
        <v>0</v>
      </c>
      <c r="U164" s="64"/>
      <c r="V164" s="64"/>
      <c r="W164" s="474"/>
      <c r="X164" s="129" t="s">
        <v>1003</v>
      </c>
      <c r="Y164" s="167" t="e">
        <f t="shared" si="91"/>
        <v>#DIV/0!</v>
      </c>
      <c r="Z164" s="167" t="e">
        <f t="shared" si="90"/>
        <v>#DIV/0!</v>
      </c>
      <c r="AA164" s="167" t="e">
        <f t="shared" si="90"/>
        <v>#DIV/0!</v>
      </c>
      <c r="AB164" s="167" t="e">
        <f t="shared" si="90"/>
        <v>#DIV/0!</v>
      </c>
      <c r="AC164" s="167" t="e">
        <f t="shared" si="90"/>
        <v>#DIV/0!</v>
      </c>
      <c r="AD164" s="167" t="e">
        <f t="shared" si="90"/>
        <v>#DIV/0!</v>
      </c>
      <c r="AE164" s="167" t="e">
        <f t="shared" si="90"/>
        <v>#DIV/0!</v>
      </c>
      <c r="AF164" s="167" t="e">
        <f t="shared" si="90"/>
        <v>#DIV/0!</v>
      </c>
      <c r="AG164" s="167" t="e">
        <f t="shared" si="90"/>
        <v>#DIV/0!</v>
      </c>
      <c r="AH164" s="167" t="e">
        <f t="shared" si="90"/>
        <v>#DIV/0!</v>
      </c>
      <c r="AI164" s="167" t="e">
        <f t="shared" si="90"/>
        <v>#DIV/0!</v>
      </c>
      <c r="AJ164" s="167" t="e">
        <f t="shared" si="90"/>
        <v>#DIV/0!</v>
      </c>
      <c r="AK164" s="167" t="e">
        <f t="shared" si="90"/>
        <v>#DIV/0!</v>
      </c>
      <c r="AL164" s="167" t="e">
        <f t="shared" si="90"/>
        <v>#DIV/0!</v>
      </c>
      <c r="AM164" s="167" t="e">
        <f t="shared" si="90"/>
        <v>#DIV/0!</v>
      </c>
      <c r="AN164" s="167" t="e">
        <f t="shared" si="90"/>
        <v>#DIV/0!</v>
      </c>
      <c r="AO164" s="167" t="e">
        <f t="shared" si="90"/>
        <v>#DIV/0!</v>
      </c>
    </row>
    <row r="165" spans="2:41" x14ac:dyDescent="0.15">
      <c r="B165" s="474"/>
      <c r="C165" s="129" t="s">
        <v>1004</v>
      </c>
      <c r="D165" s="94">
        <f>SUMIFS('caseload data'!E:E,'caseload data'!$D:$D,"SPO",'caseload data'!$A:$A,"Kent Surrey Sussex Region",'caseload data'!$B:$B,"custody")</f>
        <v>0</v>
      </c>
      <c r="E165" s="94">
        <f>SUMIFS('caseload data'!F:F,'caseload data'!$D:$D,"SPO",'caseload data'!$A:$A,"Kent Surrey Sussex Region",'caseload data'!$B:$B,"custody")</f>
        <v>0</v>
      </c>
      <c r="F165" s="94">
        <f>SUMIFS('caseload data'!G:G,'caseload data'!$D:$D,"SPO",'caseload data'!$A:$A,"Kent Surrey Sussex Region",'caseload data'!$B:$B,"custody")</f>
        <v>0</v>
      </c>
      <c r="G165" s="94">
        <f>SUMIFS('caseload data'!H:H,'caseload data'!$D:$D,"SPO",'caseload data'!$A:$A,"Kent Surrey Sussex Region",'caseload data'!$B:$B,"custody")</f>
        <v>0</v>
      </c>
      <c r="H165" s="94">
        <f>SUMIFS('caseload data'!I:I,'caseload data'!$D:$D,"SPO",'caseload data'!$A:$A,"Kent Surrey Sussex Region",'caseload data'!$B:$B,"custody")</f>
        <v>0</v>
      </c>
      <c r="I165" s="94">
        <f>SUMIFS('caseload data'!J:J,'caseload data'!$D:$D,"SPO",'caseload data'!$A:$A,"Kent Surrey Sussex Region",'caseload data'!$B:$B,"custody")</f>
        <v>0</v>
      </c>
      <c r="J165" s="94">
        <f>SUMIFS('caseload data'!K:K,'caseload data'!$D:$D,"SPO",'caseload data'!$A:$A,"Kent Surrey Sussex Region",'caseload data'!$B:$B,"custody")</f>
        <v>0</v>
      </c>
      <c r="K165" s="94">
        <f>SUMIFS('caseload data'!L:L,'caseload data'!$D:$D,"SPO",'caseload data'!$A:$A,"Kent Surrey Sussex Region",'caseload data'!$B:$B,"custody")</f>
        <v>0</v>
      </c>
      <c r="L165" s="94">
        <f>SUMIFS('caseload data'!M:M,'caseload data'!$D:$D,"SPO",'caseload data'!$A:$A,"Kent Surrey Sussex Region",'caseload data'!$B:$B,"custody")</f>
        <v>0</v>
      </c>
      <c r="M165" s="94">
        <f>SUMIFS('caseload data'!N:N,'caseload data'!$D:$D,"SPO",'caseload data'!$A:$A,"Kent Surrey Sussex Region",'caseload data'!$B:$B,"custody")</f>
        <v>0</v>
      </c>
      <c r="N165" s="94">
        <f>SUMIFS('caseload data'!O:O,'caseload data'!$D:$D,"SPO",'caseload data'!$A:$A,"Kent Surrey Sussex Region",'caseload data'!$B:$B,"custody")</f>
        <v>0</v>
      </c>
      <c r="O165" s="94">
        <f>SUMIFS('caseload data'!P:P,'caseload data'!$D:$D,"SPO",'caseload data'!$A:$A,"Kent Surrey Sussex Region",'caseload data'!$B:$B,"custody")</f>
        <v>0</v>
      </c>
      <c r="P165" s="94">
        <f>SUMIFS('caseload data'!Q:Q,'caseload data'!$D:$D,"SPO",'caseload data'!$A:$A,"Kent Surrey Sussex Region",'caseload data'!$B:$B,"custody")</f>
        <v>0</v>
      </c>
      <c r="Q165" s="94">
        <f>SUMIFS('caseload data'!R:R,'caseload data'!$D:$D,"SPO",'caseload data'!$A:$A,"Kent Surrey Sussex Region",'caseload data'!$B:$B,"custody")</f>
        <v>0</v>
      </c>
      <c r="R165" s="94">
        <f>SUMIFS('caseload data'!S:S,'caseload data'!$D:$D,"SPO",'caseload data'!$A:$A,"Kent Surrey Sussex Region",'caseload data'!$B:$B,"custody")</f>
        <v>0</v>
      </c>
      <c r="S165" s="94">
        <f>SUMIFS('caseload data'!T:T,'caseload data'!$D:$D,"SPO",'caseload data'!$A:$A,"Kent Surrey Sussex Region",'caseload data'!$B:$B,"custody")</f>
        <v>0</v>
      </c>
      <c r="T165" s="94">
        <f>SUMIFS('caseload data'!V:V,'caseload data'!$D:$D,"SPO",'caseload data'!$A:$A,"Kent Surrey Sussex Region",'caseload data'!$B:$B,"custody")</f>
        <v>0</v>
      </c>
      <c r="U165" s="64"/>
      <c r="V165" s="64"/>
      <c r="W165" s="474"/>
      <c r="X165" s="129" t="s">
        <v>1004</v>
      </c>
      <c r="Y165" s="167" t="e">
        <f t="shared" si="91"/>
        <v>#DIV/0!</v>
      </c>
      <c r="Z165" s="167" t="e">
        <f t="shared" si="90"/>
        <v>#DIV/0!</v>
      </c>
      <c r="AA165" s="167" t="e">
        <f t="shared" si="90"/>
        <v>#DIV/0!</v>
      </c>
      <c r="AB165" s="167" t="e">
        <f t="shared" si="90"/>
        <v>#DIV/0!</v>
      </c>
      <c r="AC165" s="167" t="e">
        <f t="shared" si="90"/>
        <v>#DIV/0!</v>
      </c>
      <c r="AD165" s="167" t="e">
        <f t="shared" si="90"/>
        <v>#DIV/0!</v>
      </c>
      <c r="AE165" s="167" t="e">
        <f t="shared" si="90"/>
        <v>#DIV/0!</v>
      </c>
      <c r="AF165" s="167" t="e">
        <f t="shared" si="90"/>
        <v>#DIV/0!</v>
      </c>
      <c r="AG165" s="167" t="e">
        <f t="shared" si="90"/>
        <v>#DIV/0!</v>
      </c>
      <c r="AH165" s="167" t="e">
        <f t="shared" si="90"/>
        <v>#DIV/0!</v>
      </c>
      <c r="AI165" s="167" t="e">
        <f t="shared" si="90"/>
        <v>#DIV/0!</v>
      </c>
      <c r="AJ165" s="167" t="e">
        <f t="shared" si="90"/>
        <v>#DIV/0!</v>
      </c>
      <c r="AK165" s="167" t="e">
        <f t="shared" si="90"/>
        <v>#DIV/0!</v>
      </c>
      <c r="AL165" s="167" t="e">
        <f t="shared" si="90"/>
        <v>#DIV/0!</v>
      </c>
      <c r="AM165" s="167" t="e">
        <f t="shared" si="90"/>
        <v>#DIV/0!</v>
      </c>
      <c r="AN165" s="167" t="e">
        <f t="shared" si="90"/>
        <v>#DIV/0!</v>
      </c>
      <c r="AO165" s="167" t="e">
        <f t="shared" si="90"/>
        <v>#DIV/0!</v>
      </c>
    </row>
    <row r="166" spans="2:41" x14ac:dyDescent="0.15">
      <c r="B166" s="475"/>
      <c r="C166" s="130" t="s">
        <v>1339</v>
      </c>
      <c r="D166" s="94">
        <f>SUMIFS('caseload data'!E:E,'caseload data'!$D:$D,"DMY",'caseload data'!$A:$A,"Kent Surrey Sussex Region",'caseload data'!$B:$B,"custody")</f>
        <v>0</v>
      </c>
      <c r="E166" s="94">
        <f>SUMIFS('caseload data'!F:F,'caseload data'!$D:$D,"DMY",'caseload data'!$A:$A,"Kent Surrey Sussex Region",'caseload data'!$B:$B,"custody")</f>
        <v>0</v>
      </c>
      <c r="F166" s="94">
        <f>SUMIFS('caseload data'!G:G,'caseload data'!$D:$D,"DMY",'caseload data'!$A:$A,"Kent Surrey Sussex Region",'caseload data'!$B:$B,"custody")</f>
        <v>0</v>
      </c>
      <c r="G166" s="94">
        <f>SUMIFS('caseload data'!H:H,'caseload data'!$D:$D,"DMY",'caseload data'!$A:$A,"Kent Surrey Sussex Region",'caseload data'!$B:$B,"custody")</f>
        <v>0</v>
      </c>
      <c r="H166" s="94">
        <f>SUMIFS('caseload data'!I:I,'caseload data'!$D:$D,"DMY",'caseload data'!$A:$A,"Kent Surrey Sussex Region",'caseload data'!$B:$B,"custody")</f>
        <v>0</v>
      </c>
      <c r="I166" s="94">
        <f>SUMIFS('caseload data'!J:J,'caseload data'!$D:$D,"DMY",'caseload data'!$A:$A,"Kent Surrey Sussex Region",'caseload data'!$B:$B,"custody")</f>
        <v>0</v>
      </c>
      <c r="J166" s="94">
        <f>SUMIFS('caseload data'!K:K,'caseload data'!$D:$D,"DMY",'caseload data'!$A:$A,"Kent Surrey Sussex Region",'caseload data'!$B:$B,"custody")</f>
        <v>0</v>
      </c>
      <c r="K166" s="94">
        <f>SUMIFS('caseload data'!L:L,'caseload data'!$D:$D,"DMY",'caseload data'!$A:$A,"Kent Surrey Sussex Region",'caseload data'!$B:$B,"custody")</f>
        <v>0</v>
      </c>
      <c r="L166" s="94">
        <f>SUMIFS('caseload data'!M:M,'caseload data'!$D:$D,"DMY",'caseload data'!$A:$A,"Kent Surrey Sussex Region",'caseload data'!$B:$B,"custody")</f>
        <v>0</v>
      </c>
      <c r="M166" s="94">
        <f>SUMIFS('caseload data'!N:N,'caseload data'!$D:$D,"DMY",'caseload data'!$A:$A,"Kent Surrey Sussex Region",'caseload data'!$B:$B,"custody")</f>
        <v>0</v>
      </c>
      <c r="N166" s="94">
        <f>SUMIFS('caseload data'!O:O,'caseload data'!$D:$D,"DMY",'caseload data'!$A:$A,"Kent Surrey Sussex Region",'caseload data'!$B:$B,"custody")</f>
        <v>0</v>
      </c>
      <c r="O166" s="94">
        <f>SUMIFS('caseload data'!P:P,'caseload data'!$D:$D,"DMY",'caseload data'!$A:$A,"Kent Surrey Sussex Region",'caseload data'!$B:$B,"custody")</f>
        <v>0</v>
      </c>
      <c r="P166" s="94">
        <f>SUMIFS('caseload data'!Q:Q,'caseload data'!$D:$D,"DMY",'caseload data'!$A:$A,"Kent Surrey Sussex Region",'caseload data'!$B:$B,"custody")</f>
        <v>0</v>
      </c>
      <c r="Q166" s="94">
        <f>SUMIFS('caseload data'!R:R,'caseload data'!$D:$D,"DMY",'caseload data'!$A:$A,"Kent Surrey Sussex Region",'caseload data'!$B:$B,"custody")</f>
        <v>0</v>
      </c>
      <c r="R166" s="94">
        <f>SUMIFS('caseload data'!S:S,'caseload data'!$D:$D,"DMY",'caseload data'!$A:$A,"Kent Surrey Sussex Region",'caseload data'!$B:$B,"custody")</f>
        <v>0</v>
      </c>
      <c r="S166" s="94">
        <f>SUMIFS('caseload data'!T:T,'caseload data'!$D:$D,"DMY",'caseload data'!$A:$A,"Kent Surrey Sussex Region",'caseload data'!$B:$B,"custody")</f>
        <v>0</v>
      </c>
      <c r="T166" s="94">
        <f>SUMIFS('caseload data'!V:V,'caseload data'!$D:$D,"DMY",'caseload data'!$A:$A,"Kent Surrey Sussex Region",'caseload data'!$B:$B,"custody")</f>
        <v>0</v>
      </c>
      <c r="U166" s="64"/>
      <c r="V166" s="64"/>
      <c r="W166" s="475"/>
      <c r="X166" s="130" t="s">
        <v>1339</v>
      </c>
      <c r="Y166" s="167" t="e">
        <f t="shared" si="91"/>
        <v>#DIV/0!</v>
      </c>
      <c r="Z166" s="167" t="e">
        <f t="shared" si="90"/>
        <v>#DIV/0!</v>
      </c>
      <c r="AA166" s="167" t="e">
        <f t="shared" si="90"/>
        <v>#DIV/0!</v>
      </c>
      <c r="AB166" s="167" t="e">
        <f t="shared" si="90"/>
        <v>#DIV/0!</v>
      </c>
      <c r="AC166" s="167" t="e">
        <f t="shared" si="90"/>
        <v>#DIV/0!</v>
      </c>
      <c r="AD166" s="167" t="e">
        <f t="shared" si="90"/>
        <v>#DIV/0!</v>
      </c>
      <c r="AE166" s="167" t="e">
        <f t="shared" si="90"/>
        <v>#DIV/0!</v>
      </c>
      <c r="AF166" s="167" t="e">
        <f t="shared" si="90"/>
        <v>#DIV/0!</v>
      </c>
      <c r="AG166" s="167" t="e">
        <f t="shared" si="90"/>
        <v>#DIV/0!</v>
      </c>
      <c r="AH166" s="167" t="e">
        <f t="shared" si="90"/>
        <v>#DIV/0!</v>
      </c>
      <c r="AI166" s="167" t="e">
        <f t="shared" si="90"/>
        <v>#DIV/0!</v>
      </c>
      <c r="AJ166" s="167" t="e">
        <f t="shared" si="90"/>
        <v>#DIV/0!</v>
      </c>
      <c r="AK166" s="167" t="e">
        <f t="shared" si="90"/>
        <v>#DIV/0!</v>
      </c>
      <c r="AL166" s="167" t="e">
        <f t="shared" si="90"/>
        <v>#DIV/0!</v>
      </c>
      <c r="AM166" s="167" t="e">
        <f t="shared" si="90"/>
        <v>#DIV/0!</v>
      </c>
      <c r="AN166" s="167" t="e">
        <f t="shared" si="90"/>
        <v>#DIV/0!</v>
      </c>
      <c r="AO166" s="167" t="e">
        <f t="shared" si="90"/>
        <v>#DIV/0!</v>
      </c>
    </row>
    <row r="167" spans="2:41" x14ac:dyDescent="0.15">
      <c r="B167" s="473" t="s">
        <v>21</v>
      </c>
      <c r="C167" s="128" t="s">
        <v>997</v>
      </c>
      <c r="D167" s="94">
        <f>SUMIFS('caseload data'!E:E,'caseload data'!$D:$D,"PO",'caseload data'!$A:$A,$B$167,'caseload data'!$B:$B,"custody")</f>
        <v>0</v>
      </c>
      <c r="E167" s="94">
        <f>SUMIFS('caseload data'!F:F,'caseload data'!$D:$D,"PO",'caseload data'!$A:$A,$B$167,'caseload data'!$B:$B,"custody")</f>
        <v>0</v>
      </c>
      <c r="F167" s="94">
        <f>SUMIFS('caseload data'!G:G,'caseload data'!$D:$D,"PO",'caseload data'!$A:$A,$B$167,'caseload data'!$B:$B,"custody")</f>
        <v>0</v>
      </c>
      <c r="G167" s="94">
        <f>SUMIFS('caseload data'!H:H,'caseload data'!$D:$D,"PO",'caseload data'!$A:$A,$B$167,'caseload data'!$B:$B,"custody")</f>
        <v>0</v>
      </c>
      <c r="H167" s="94">
        <f>SUMIFS('caseload data'!I:I,'caseload data'!$D:$D,"PO",'caseload data'!$A:$A,$B$167,'caseload data'!$B:$B,"custody")</f>
        <v>0</v>
      </c>
      <c r="I167" s="94">
        <f>SUMIFS('caseload data'!J:J,'caseload data'!$D:$D,"PO",'caseload data'!$A:$A,$B$167,'caseload data'!$B:$B,"custody")</f>
        <v>0</v>
      </c>
      <c r="J167" s="94">
        <f>SUMIFS('caseload data'!K:K,'caseload data'!$D:$D,"PO",'caseload data'!$A:$A,$B$167,'caseload data'!$B:$B,"custody")</f>
        <v>0</v>
      </c>
      <c r="K167" s="94">
        <f>SUMIFS('caseload data'!L:L,'caseload data'!$D:$D,"PO",'caseload data'!$A:$A,$B$167,'caseload data'!$B:$B,"custody")</f>
        <v>0</v>
      </c>
      <c r="L167" s="94">
        <f>SUMIFS('caseload data'!M:M,'caseload data'!$D:$D,"PO",'caseload data'!$A:$A,$B$167,'caseload data'!$B:$B,"custody")</f>
        <v>0</v>
      </c>
      <c r="M167" s="94">
        <f>SUMIFS('caseload data'!N:N,'caseload data'!$D:$D,"PO",'caseload data'!$A:$A,$B$167,'caseload data'!$B:$B,"custody")</f>
        <v>0</v>
      </c>
      <c r="N167" s="94">
        <f>SUMIFS('caseload data'!O:O,'caseload data'!$D:$D,"PO",'caseload data'!$A:$A,$B$167,'caseload data'!$B:$B,"custody")</f>
        <v>0</v>
      </c>
      <c r="O167" s="94">
        <f>SUMIFS('caseload data'!P:P,'caseload data'!$D:$D,"PO",'caseload data'!$A:$A,$B$167,'caseload data'!$B:$B,"custody")</f>
        <v>0</v>
      </c>
      <c r="P167" s="94">
        <f>SUMIFS('caseload data'!Q:Q,'caseload data'!$D:$D,"PO",'caseload data'!$A:$A,$B$167,'caseload data'!$B:$B,"custody")</f>
        <v>0</v>
      </c>
      <c r="Q167" s="94">
        <f>SUMIFS('caseload data'!R:R,'caseload data'!$D:$D,"PO",'caseload data'!$A:$A,$B$167,'caseload data'!$B:$B,"custody")</f>
        <v>0</v>
      </c>
      <c r="R167" s="94">
        <f>SUMIFS('caseload data'!S:S,'caseload data'!$D:$D,"PO",'caseload data'!$A:$A,$B$167,'caseload data'!$B:$B,"custody")</f>
        <v>0</v>
      </c>
      <c r="S167" s="94">
        <f>SUMIFS('caseload data'!T:T,'caseload data'!$D:$D,"PO",'caseload data'!$A:$A,$B$167,'caseload data'!$B:$B,"custody")</f>
        <v>0</v>
      </c>
      <c r="T167" s="94">
        <f>SUMIFS('caseload data'!V:V,'caseload data'!D:D,"PO",'caseload data'!A:A,B167,'caseload data'!B:B,"custody")</f>
        <v>0</v>
      </c>
      <c r="U167" s="64"/>
      <c r="V167" s="64"/>
      <c r="W167" s="473" t="s">
        <v>21</v>
      </c>
      <c r="X167" s="128" t="s">
        <v>997</v>
      </c>
      <c r="Y167" s="167" t="e">
        <f>SUM(D167)/SUM(D$167:D$171)</f>
        <v>#DIV/0!</v>
      </c>
      <c r="Z167" s="167" t="e">
        <f t="shared" ref="Z167:AO171" si="92">SUM(E167)/SUM(E$167:E$171)</f>
        <v>#DIV/0!</v>
      </c>
      <c r="AA167" s="167" t="e">
        <f t="shared" si="92"/>
        <v>#DIV/0!</v>
      </c>
      <c r="AB167" s="167" t="e">
        <f t="shared" si="92"/>
        <v>#DIV/0!</v>
      </c>
      <c r="AC167" s="167" t="e">
        <f t="shared" si="92"/>
        <v>#DIV/0!</v>
      </c>
      <c r="AD167" s="167" t="e">
        <f t="shared" si="92"/>
        <v>#DIV/0!</v>
      </c>
      <c r="AE167" s="167" t="e">
        <f t="shared" si="92"/>
        <v>#DIV/0!</v>
      </c>
      <c r="AF167" s="167" t="e">
        <f t="shared" si="92"/>
        <v>#DIV/0!</v>
      </c>
      <c r="AG167" s="167" t="e">
        <f t="shared" si="92"/>
        <v>#DIV/0!</v>
      </c>
      <c r="AH167" s="167" t="e">
        <f t="shared" si="92"/>
        <v>#DIV/0!</v>
      </c>
      <c r="AI167" s="167" t="e">
        <f t="shared" si="92"/>
        <v>#DIV/0!</v>
      </c>
      <c r="AJ167" s="167" t="e">
        <f t="shared" si="92"/>
        <v>#DIV/0!</v>
      </c>
      <c r="AK167" s="167" t="e">
        <f t="shared" si="92"/>
        <v>#DIV/0!</v>
      </c>
      <c r="AL167" s="167" t="e">
        <f t="shared" si="92"/>
        <v>#DIV/0!</v>
      </c>
      <c r="AM167" s="167" t="e">
        <f t="shared" si="92"/>
        <v>#DIV/0!</v>
      </c>
      <c r="AN167" s="167" t="e">
        <f t="shared" si="92"/>
        <v>#DIV/0!</v>
      </c>
      <c r="AO167" s="167" t="e">
        <f t="shared" si="92"/>
        <v>#DIV/0!</v>
      </c>
    </row>
    <row r="168" spans="2:41" x14ac:dyDescent="0.15">
      <c r="B168" s="474"/>
      <c r="C168" s="129" t="s">
        <v>1002</v>
      </c>
      <c r="D168" s="94">
        <f>SUMIFS('caseload data'!E:E,'caseload data'!$D:$D,"PSO",'caseload data'!$A:$A,"London",'caseload data'!$B:$B,"custody")</f>
        <v>0</v>
      </c>
      <c r="E168" s="94">
        <f>SUMIFS('caseload data'!F:F,'caseload data'!$D:$D,"PSO",'caseload data'!$A:$A,"London",'caseload data'!$B:$B,"custody")</f>
        <v>0</v>
      </c>
      <c r="F168" s="94">
        <f>SUMIFS('caseload data'!G:G,'caseload data'!$D:$D,"PSO",'caseload data'!$A:$A,"London",'caseload data'!$B:$B,"custody")</f>
        <v>0</v>
      </c>
      <c r="G168" s="94">
        <f>SUMIFS('caseload data'!H:H,'caseload data'!$D:$D,"PSO",'caseload data'!$A:$A,"London",'caseload data'!$B:$B,"custody")</f>
        <v>0</v>
      </c>
      <c r="H168" s="94">
        <f>SUMIFS('caseload data'!I:I,'caseload data'!$D:$D,"PSO",'caseload data'!$A:$A,"London",'caseload data'!$B:$B,"custody")</f>
        <v>0</v>
      </c>
      <c r="I168" s="94">
        <f>SUMIFS('caseload data'!J:J,'caseload data'!$D:$D,"PSO",'caseload data'!$A:$A,"London",'caseload data'!$B:$B,"custody")</f>
        <v>0</v>
      </c>
      <c r="J168" s="94">
        <f>SUMIFS('caseload data'!K:K,'caseload data'!$D:$D,"PSO",'caseload data'!$A:$A,"London",'caseload data'!$B:$B,"custody")</f>
        <v>0</v>
      </c>
      <c r="K168" s="94">
        <f>SUMIFS('caseload data'!L:L,'caseload data'!$D:$D,"PSO",'caseload data'!$A:$A,"London",'caseload data'!$B:$B,"custody")</f>
        <v>0</v>
      </c>
      <c r="L168" s="94">
        <f>SUMIFS('caseload data'!M:M,'caseload data'!$D:$D,"PSO",'caseload data'!$A:$A,"London",'caseload data'!$B:$B,"custody")</f>
        <v>0</v>
      </c>
      <c r="M168" s="94">
        <f>SUMIFS('caseload data'!N:N,'caseload data'!$D:$D,"PSO",'caseload data'!$A:$A,"London",'caseload data'!$B:$B,"custody")</f>
        <v>0</v>
      </c>
      <c r="N168" s="94">
        <f>SUMIFS('caseload data'!O:O,'caseload data'!$D:$D,"PSO",'caseload data'!$A:$A,"London",'caseload data'!$B:$B,"custody")</f>
        <v>0</v>
      </c>
      <c r="O168" s="94">
        <f>SUMIFS('caseload data'!P:P,'caseload data'!$D:$D,"PSO",'caseload data'!$A:$A,"London",'caseload data'!$B:$B,"custody")</f>
        <v>0</v>
      </c>
      <c r="P168" s="94">
        <f>SUMIFS('caseload data'!Q:Q,'caseload data'!$D:$D,"PSO",'caseload data'!$A:$A,"London",'caseload data'!$B:$B,"custody")</f>
        <v>0</v>
      </c>
      <c r="Q168" s="94">
        <f>SUMIFS('caseload data'!R:R,'caseload data'!$D:$D,"PSO",'caseload data'!$A:$A,"London",'caseload data'!$B:$B,"custody")</f>
        <v>0</v>
      </c>
      <c r="R168" s="94">
        <f>SUMIFS('caseload data'!S:S,'caseload data'!$D:$D,"PSO",'caseload data'!$A:$A,"London",'caseload data'!$B:$B,"custody")</f>
        <v>0</v>
      </c>
      <c r="S168" s="94">
        <f>SUMIFS('caseload data'!T:T,'caseload data'!$D:$D,"PSO",'caseload data'!$A:$A,"London",'caseload data'!$B:$B,"custody")</f>
        <v>0</v>
      </c>
      <c r="T168" s="94">
        <f>SUMIFS('caseload data'!V:V,'caseload data'!D:D,"PSO",'caseload data'!A:A,"London",'caseload data'!B:B,"custody")</f>
        <v>0</v>
      </c>
      <c r="U168" s="64"/>
      <c r="V168" s="64"/>
      <c r="W168" s="474"/>
      <c r="X168" s="129" t="s">
        <v>1002</v>
      </c>
      <c r="Y168" s="167" t="e">
        <f t="shared" ref="Y168:Y171" si="93">SUM(D168)/SUM(D$167:D$171)</f>
        <v>#DIV/0!</v>
      </c>
      <c r="Z168" s="167" t="e">
        <f t="shared" si="92"/>
        <v>#DIV/0!</v>
      </c>
      <c r="AA168" s="167" t="e">
        <f t="shared" si="92"/>
        <v>#DIV/0!</v>
      </c>
      <c r="AB168" s="167" t="e">
        <f t="shared" si="92"/>
        <v>#DIV/0!</v>
      </c>
      <c r="AC168" s="167" t="e">
        <f t="shared" si="92"/>
        <v>#DIV/0!</v>
      </c>
      <c r="AD168" s="167" t="e">
        <f t="shared" si="92"/>
        <v>#DIV/0!</v>
      </c>
      <c r="AE168" s="167" t="e">
        <f t="shared" si="92"/>
        <v>#DIV/0!</v>
      </c>
      <c r="AF168" s="167" t="e">
        <f t="shared" si="92"/>
        <v>#DIV/0!</v>
      </c>
      <c r="AG168" s="167" t="e">
        <f t="shared" si="92"/>
        <v>#DIV/0!</v>
      </c>
      <c r="AH168" s="167" t="e">
        <f t="shared" si="92"/>
        <v>#DIV/0!</v>
      </c>
      <c r="AI168" s="167" t="e">
        <f t="shared" si="92"/>
        <v>#DIV/0!</v>
      </c>
      <c r="AJ168" s="167" t="e">
        <f t="shared" si="92"/>
        <v>#DIV/0!</v>
      </c>
      <c r="AK168" s="167" t="e">
        <f t="shared" si="92"/>
        <v>#DIV/0!</v>
      </c>
      <c r="AL168" s="167" t="e">
        <f t="shared" si="92"/>
        <v>#DIV/0!</v>
      </c>
      <c r="AM168" s="167" t="e">
        <f t="shared" si="92"/>
        <v>#DIV/0!</v>
      </c>
      <c r="AN168" s="167" t="e">
        <f t="shared" si="92"/>
        <v>#DIV/0!</v>
      </c>
      <c r="AO168" s="167" t="e">
        <f t="shared" si="92"/>
        <v>#DIV/0!</v>
      </c>
    </row>
    <row r="169" spans="2:41" x14ac:dyDescent="0.15">
      <c r="B169" s="474"/>
      <c r="C169" s="129" t="s">
        <v>1003</v>
      </c>
      <c r="D169" s="94">
        <f>SUMIFS('caseload data'!E:E,'caseload data'!$D:$D,"TPO",'caseload data'!$A:$A,"London",'caseload data'!$B:$B,"custody")</f>
        <v>0</v>
      </c>
      <c r="E169" s="94">
        <f>SUMIFS('caseload data'!F:F,'caseload data'!$D:$D,"TPO",'caseload data'!$A:$A,"London",'caseload data'!$B:$B,"custody")</f>
        <v>0</v>
      </c>
      <c r="F169" s="94">
        <f>SUMIFS('caseload data'!G:G,'caseload data'!$D:$D,"TPO",'caseload data'!$A:$A,"London",'caseload data'!$B:$B,"custody")</f>
        <v>0</v>
      </c>
      <c r="G169" s="94">
        <f>SUMIFS('caseload data'!H:H,'caseload data'!$D:$D,"TPO",'caseload data'!$A:$A,"London",'caseload data'!$B:$B,"custody")</f>
        <v>0</v>
      </c>
      <c r="H169" s="94">
        <f>SUMIFS('caseload data'!I:I,'caseload data'!$D:$D,"TPO",'caseload data'!$A:$A,"London",'caseload data'!$B:$B,"custody")</f>
        <v>0</v>
      </c>
      <c r="I169" s="94">
        <f>SUMIFS('caseload data'!J:J,'caseload data'!$D:$D,"TPO",'caseload data'!$A:$A,"London",'caseload data'!$B:$B,"custody")</f>
        <v>0</v>
      </c>
      <c r="J169" s="94">
        <f>SUMIFS('caseload data'!K:K,'caseload data'!$D:$D,"TPO",'caseload data'!$A:$A,"London",'caseload data'!$B:$B,"custody")</f>
        <v>0</v>
      </c>
      <c r="K169" s="94">
        <f>SUMIFS('caseload data'!L:L,'caseload data'!$D:$D,"TPO",'caseload data'!$A:$A,"London",'caseload data'!$B:$B,"custody")</f>
        <v>0</v>
      </c>
      <c r="L169" s="94">
        <f>SUMIFS('caseload data'!M:M,'caseload data'!$D:$D,"TPO",'caseload data'!$A:$A,"London",'caseload data'!$B:$B,"custody")</f>
        <v>0</v>
      </c>
      <c r="M169" s="94">
        <f>SUMIFS('caseload data'!N:N,'caseload data'!$D:$D,"TPO",'caseload data'!$A:$A,"London",'caseload data'!$B:$B,"custody")</f>
        <v>0</v>
      </c>
      <c r="N169" s="94">
        <f>SUMIFS('caseload data'!O:O,'caseload data'!$D:$D,"TPO",'caseload data'!$A:$A,"London",'caseload data'!$B:$B,"custody")</f>
        <v>0</v>
      </c>
      <c r="O169" s="94">
        <f>SUMIFS('caseload data'!P:P,'caseload data'!$D:$D,"TPO",'caseload data'!$A:$A,"London",'caseload data'!$B:$B,"custody")</f>
        <v>0</v>
      </c>
      <c r="P169" s="94">
        <f>SUMIFS('caseload data'!Q:Q,'caseload data'!$D:$D,"TPO",'caseload data'!$A:$A,"London",'caseload data'!$B:$B,"custody")</f>
        <v>0</v>
      </c>
      <c r="Q169" s="94">
        <f>SUMIFS('caseload data'!R:R,'caseload data'!$D:$D,"TPO",'caseload data'!$A:$A,"London",'caseload data'!$B:$B,"custody")</f>
        <v>0</v>
      </c>
      <c r="R169" s="94">
        <f>SUMIFS('caseload data'!S:S,'caseload data'!$D:$D,"TPO",'caseload data'!$A:$A,"London",'caseload data'!$B:$B,"custody")</f>
        <v>0</v>
      </c>
      <c r="S169" s="94">
        <f>SUMIFS('caseload data'!T:T,'caseload data'!$D:$D,"TPO",'caseload data'!$A:$A,"London",'caseload data'!$B:$B,"custody")</f>
        <v>0</v>
      </c>
      <c r="T169" s="94">
        <f>SUMIFS('caseload data'!V:V,'caseload data'!D:D,"TPO",'caseload data'!A:A,"London",'caseload data'!B:B,"custody")</f>
        <v>0</v>
      </c>
      <c r="U169" s="64"/>
      <c r="V169" s="64"/>
      <c r="W169" s="474"/>
      <c r="X169" s="129" t="s">
        <v>1003</v>
      </c>
      <c r="Y169" s="167" t="e">
        <f t="shared" si="93"/>
        <v>#DIV/0!</v>
      </c>
      <c r="Z169" s="167" t="e">
        <f t="shared" si="92"/>
        <v>#DIV/0!</v>
      </c>
      <c r="AA169" s="167" t="e">
        <f t="shared" si="92"/>
        <v>#DIV/0!</v>
      </c>
      <c r="AB169" s="167" t="e">
        <f t="shared" si="92"/>
        <v>#DIV/0!</v>
      </c>
      <c r="AC169" s="167" t="e">
        <f t="shared" si="92"/>
        <v>#DIV/0!</v>
      </c>
      <c r="AD169" s="167" t="e">
        <f t="shared" si="92"/>
        <v>#DIV/0!</v>
      </c>
      <c r="AE169" s="167" t="e">
        <f t="shared" si="92"/>
        <v>#DIV/0!</v>
      </c>
      <c r="AF169" s="167" t="e">
        <f t="shared" si="92"/>
        <v>#DIV/0!</v>
      </c>
      <c r="AG169" s="167" t="e">
        <f t="shared" si="92"/>
        <v>#DIV/0!</v>
      </c>
      <c r="AH169" s="167" t="e">
        <f t="shared" si="92"/>
        <v>#DIV/0!</v>
      </c>
      <c r="AI169" s="167" t="e">
        <f t="shared" si="92"/>
        <v>#DIV/0!</v>
      </c>
      <c r="AJ169" s="167" t="e">
        <f t="shared" si="92"/>
        <v>#DIV/0!</v>
      </c>
      <c r="AK169" s="167" t="e">
        <f t="shared" si="92"/>
        <v>#DIV/0!</v>
      </c>
      <c r="AL169" s="167" t="e">
        <f t="shared" si="92"/>
        <v>#DIV/0!</v>
      </c>
      <c r="AM169" s="167" t="e">
        <f t="shared" si="92"/>
        <v>#DIV/0!</v>
      </c>
      <c r="AN169" s="167" t="e">
        <f t="shared" si="92"/>
        <v>#DIV/0!</v>
      </c>
      <c r="AO169" s="167" t="e">
        <f t="shared" si="92"/>
        <v>#DIV/0!</v>
      </c>
    </row>
    <row r="170" spans="2:41" x14ac:dyDescent="0.15">
      <c r="B170" s="474"/>
      <c r="C170" s="129" t="s">
        <v>1004</v>
      </c>
      <c r="D170" s="94">
        <f>SUMIFS('caseload data'!E:E,'caseload data'!$D:$D,"SPO",'caseload data'!$A:$A,"London",'caseload data'!$B:$B,"custody")</f>
        <v>0</v>
      </c>
      <c r="E170" s="94">
        <f>SUMIFS('caseload data'!F:F,'caseload data'!$D:$D,"SPO",'caseload data'!$A:$A,"London",'caseload data'!$B:$B,"custody")</f>
        <v>0</v>
      </c>
      <c r="F170" s="94">
        <f>SUMIFS('caseload data'!G:G,'caseload data'!$D:$D,"SPO",'caseload data'!$A:$A,"London",'caseload data'!$B:$B,"custody")</f>
        <v>0</v>
      </c>
      <c r="G170" s="94">
        <f>SUMIFS('caseload data'!H:H,'caseload data'!$D:$D,"SPO",'caseload data'!$A:$A,"London",'caseload data'!$B:$B,"custody")</f>
        <v>0</v>
      </c>
      <c r="H170" s="94">
        <f>SUMIFS('caseload data'!I:I,'caseload data'!$D:$D,"SPO",'caseload data'!$A:$A,"London",'caseload data'!$B:$B,"custody")</f>
        <v>0</v>
      </c>
      <c r="I170" s="94">
        <f>SUMIFS('caseload data'!J:J,'caseload data'!$D:$D,"SPO",'caseload data'!$A:$A,"London",'caseload data'!$B:$B,"custody")</f>
        <v>0</v>
      </c>
      <c r="J170" s="94">
        <f>SUMIFS('caseload data'!K:K,'caseload data'!$D:$D,"SPO",'caseload data'!$A:$A,"London",'caseload data'!$B:$B,"custody")</f>
        <v>0</v>
      </c>
      <c r="K170" s="94">
        <f>SUMIFS('caseload data'!L:L,'caseload data'!$D:$D,"SPO",'caseload data'!$A:$A,"London",'caseload data'!$B:$B,"custody")</f>
        <v>0</v>
      </c>
      <c r="L170" s="94">
        <f>SUMIFS('caseload data'!M:M,'caseload data'!$D:$D,"SPO",'caseload data'!$A:$A,"London",'caseload data'!$B:$B,"custody")</f>
        <v>0</v>
      </c>
      <c r="M170" s="94">
        <f>SUMIFS('caseload data'!N:N,'caseload data'!$D:$D,"SPO",'caseload data'!$A:$A,"London",'caseload data'!$B:$B,"custody")</f>
        <v>0</v>
      </c>
      <c r="N170" s="94">
        <f>SUMIFS('caseload data'!O:O,'caseload data'!$D:$D,"SPO",'caseload data'!$A:$A,"London",'caseload data'!$B:$B,"custody")</f>
        <v>0</v>
      </c>
      <c r="O170" s="94">
        <f>SUMIFS('caseload data'!P:P,'caseload data'!$D:$D,"SPO",'caseload data'!$A:$A,"London",'caseload data'!$B:$B,"custody")</f>
        <v>0</v>
      </c>
      <c r="P170" s="94">
        <f>SUMIFS('caseload data'!Q:Q,'caseload data'!$D:$D,"SPO",'caseload data'!$A:$A,"London",'caseload data'!$B:$B,"custody")</f>
        <v>0</v>
      </c>
      <c r="Q170" s="94">
        <f>SUMIFS('caseload data'!R:R,'caseload data'!$D:$D,"SPO",'caseload data'!$A:$A,"London",'caseload data'!$B:$B,"custody")</f>
        <v>0</v>
      </c>
      <c r="R170" s="94">
        <f>SUMIFS('caseload data'!S:S,'caseload data'!$D:$D,"SPO",'caseload data'!$A:$A,"London",'caseload data'!$B:$B,"custody")</f>
        <v>0</v>
      </c>
      <c r="S170" s="94">
        <f>SUMIFS('caseload data'!T:T,'caseload data'!$D:$D,"SPO",'caseload data'!$A:$A,"London",'caseload data'!$B:$B,"custody")</f>
        <v>0</v>
      </c>
      <c r="T170" s="94">
        <f>SUMIFS('caseload data'!V:V,'caseload data'!$D:$D,"SPO",'caseload data'!$A:$A,"London",'caseload data'!$B:$B,"custody")</f>
        <v>0</v>
      </c>
      <c r="U170" s="64"/>
      <c r="V170" s="64"/>
      <c r="W170" s="474"/>
      <c r="X170" s="129" t="s">
        <v>1004</v>
      </c>
      <c r="Y170" s="167" t="e">
        <f t="shared" si="93"/>
        <v>#DIV/0!</v>
      </c>
      <c r="Z170" s="167" t="e">
        <f t="shared" si="92"/>
        <v>#DIV/0!</v>
      </c>
      <c r="AA170" s="167" t="e">
        <f t="shared" si="92"/>
        <v>#DIV/0!</v>
      </c>
      <c r="AB170" s="167" t="e">
        <f t="shared" si="92"/>
        <v>#DIV/0!</v>
      </c>
      <c r="AC170" s="167" t="e">
        <f t="shared" si="92"/>
        <v>#DIV/0!</v>
      </c>
      <c r="AD170" s="167" t="e">
        <f t="shared" si="92"/>
        <v>#DIV/0!</v>
      </c>
      <c r="AE170" s="167" t="e">
        <f t="shared" si="92"/>
        <v>#DIV/0!</v>
      </c>
      <c r="AF170" s="167" t="e">
        <f t="shared" si="92"/>
        <v>#DIV/0!</v>
      </c>
      <c r="AG170" s="167" t="e">
        <f t="shared" si="92"/>
        <v>#DIV/0!</v>
      </c>
      <c r="AH170" s="167" t="e">
        <f t="shared" si="92"/>
        <v>#DIV/0!</v>
      </c>
      <c r="AI170" s="167" t="e">
        <f t="shared" si="92"/>
        <v>#DIV/0!</v>
      </c>
      <c r="AJ170" s="167" t="e">
        <f t="shared" si="92"/>
        <v>#DIV/0!</v>
      </c>
      <c r="AK170" s="167" t="e">
        <f t="shared" si="92"/>
        <v>#DIV/0!</v>
      </c>
      <c r="AL170" s="167" t="e">
        <f t="shared" si="92"/>
        <v>#DIV/0!</v>
      </c>
      <c r="AM170" s="167" t="e">
        <f t="shared" si="92"/>
        <v>#DIV/0!</v>
      </c>
      <c r="AN170" s="167" t="e">
        <f t="shared" si="92"/>
        <v>#DIV/0!</v>
      </c>
      <c r="AO170" s="167" t="e">
        <f t="shared" si="92"/>
        <v>#DIV/0!</v>
      </c>
    </row>
    <row r="171" spans="2:41" x14ac:dyDescent="0.15">
      <c r="B171" s="475"/>
      <c r="C171" s="130" t="s">
        <v>1339</v>
      </c>
      <c r="D171" s="94">
        <f>SUMIFS('caseload data'!E:E,'caseload data'!$D:$D,"DMY",'caseload data'!$A:$A,"London",'caseload data'!$B:$B,"custody")</f>
        <v>0</v>
      </c>
      <c r="E171" s="94">
        <f>SUMIFS('caseload data'!F:F,'caseload data'!$D:$D,"DMY",'caseload data'!$A:$A,"London",'caseload data'!$B:$B,"custody")</f>
        <v>0</v>
      </c>
      <c r="F171" s="94">
        <f>SUMIFS('caseload data'!G:G,'caseload data'!$D:$D,"DMY",'caseload data'!$A:$A,"London",'caseload data'!$B:$B,"custody")</f>
        <v>0</v>
      </c>
      <c r="G171" s="94">
        <f>SUMIFS('caseload data'!H:H,'caseload data'!$D:$D,"DMY",'caseload data'!$A:$A,"London",'caseload data'!$B:$B,"custody")</f>
        <v>0</v>
      </c>
      <c r="H171" s="94">
        <f>SUMIFS('caseload data'!I:I,'caseload data'!$D:$D,"DMY",'caseload data'!$A:$A,"London",'caseload data'!$B:$B,"custody")</f>
        <v>0</v>
      </c>
      <c r="I171" s="94">
        <f>SUMIFS('caseload data'!J:J,'caseload data'!$D:$D,"DMY",'caseload data'!$A:$A,"London",'caseload data'!$B:$B,"custody")</f>
        <v>0</v>
      </c>
      <c r="J171" s="94">
        <f>SUMIFS('caseload data'!K:K,'caseload data'!$D:$D,"DMY",'caseload data'!$A:$A,"London",'caseload data'!$B:$B,"custody")</f>
        <v>0</v>
      </c>
      <c r="K171" s="94">
        <f>SUMIFS('caseload data'!L:L,'caseload data'!$D:$D,"DMY",'caseload data'!$A:$A,"London",'caseload data'!$B:$B,"custody")</f>
        <v>0</v>
      </c>
      <c r="L171" s="94">
        <f>SUMIFS('caseload data'!M:M,'caseload data'!$D:$D,"DMY",'caseload data'!$A:$A,"London",'caseload data'!$B:$B,"custody")</f>
        <v>0</v>
      </c>
      <c r="M171" s="94">
        <f>SUMIFS('caseload data'!N:N,'caseload data'!$D:$D,"DMY",'caseload data'!$A:$A,"London",'caseload data'!$B:$B,"custody")</f>
        <v>0</v>
      </c>
      <c r="N171" s="94">
        <f>SUMIFS('caseload data'!O:O,'caseload data'!$D:$D,"DMY",'caseload data'!$A:$A,"London",'caseload data'!$B:$B,"custody")</f>
        <v>0</v>
      </c>
      <c r="O171" s="94">
        <f>SUMIFS('caseload data'!P:P,'caseload data'!$D:$D,"DMY",'caseload data'!$A:$A,"London",'caseload data'!$B:$B,"custody")</f>
        <v>0</v>
      </c>
      <c r="P171" s="94">
        <f>SUMIFS('caseload data'!Q:Q,'caseload data'!$D:$D,"DMY",'caseload data'!$A:$A,"London",'caseload data'!$B:$B,"custody")</f>
        <v>0</v>
      </c>
      <c r="Q171" s="94">
        <f>SUMIFS('caseload data'!R:R,'caseload data'!$D:$D,"DMY",'caseload data'!$A:$A,"London",'caseload data'!$B:$B,"custody")</f>
        <v>0</v>
      </c>
      <c r="R171" s="94">
        <f>SUMIFS('caseload data'!S:S,'caseload data'!$D:$D,"DMY",'caseload data'!$A:$A,"London",'caseload data'!$B:$B,"custody")</f>
        <v>0</v>
      </c>
      <c r="S171" s="94">
        <f>SUMIFS('caseload data'!T:T,'caseload data'!$D:$D,"DMY",'caseload data'!$A:$A,"London",'caseload data'!$B:$B,"custody")</f>
        <v>0</v>
      </c>
      <c r="T171" s="94">
        <f>SUMIFS('caseload data'!V:V,'caseload data'!$D:$D,"DMY",'caseload data'!$A:$A,"London",'caseload data'!$B:$B,"custody")</f>
        <v>0</v>
      </c>
      <c r="U171" s="64"/>
      <c r="V171" s="64"/>
      <c r="W171" s="475"/>
      <c r="X171" s="130" t="s">
        <v>1339</v>
      </c>
      <c r="Y171" s="167" t="e">
        <f t="shared" si="93"/>
        <v>#DIV/0!</v>
      </c>
      <c r="Z171" s="167" t="e">
        <f t="shared" si="92"/>
        <v>#DIV/0!</v>
      </c>
      <c r="AA171" s="167" t="e">
        <f t="shared" si="92"/>
        <v>#DIV/0!</v>
      </c>
      <c r="AB171" s="167" t="e">
        <f t="shared" si="92"/>
        <v>#DIV/0!</v>
      </c>
      <c r="AC171" s="167" t="e">
        <f t="shared" si="92"/>
        <v>#DIV/0!</v>
      </c>
      <c r="AD171" s="167" t="e">
        <f t="shared" si="92"/>
        <v>#DIV/0!</v>
      </c>
      <c r="AE171" s="167" t="e">
        <f t="shared" si="92"/>
        <v>#DIV/0!</v>
      </c>
      <c r="AF171" s="167" t="e">
        <f t="shared" si="92"/>
        <v>#DIV/0!</v>
      </c>
      <c r="AG171" s="167" t="e">
        <f t="shared" si="92"/>
        <v>#DIV/0!</v>
      </c>
      <c r="AH171" s="167" t="e">
        <f t="shared" si="92"/>
        <v>#DIV/0!</v>
      </c>
      <c r="AI171" s="167" t="e">
        <f t="shared" si="92"/>
        <v>#DIV/0!</v>
      </c>
      <c r="AJ171" s="167" t="e">
        <f t="shared" si="92"/>
        <v>#DIV/0!</v>
      </c>
      <c r="AK171" s="167" t="e">
        <f t="shared" si="92"/>
        <v>#DIV/0!</v>
      </c>
      <c r="AL171" s="167" t="e">
        <f t="shared" si="92"/>
        <v>#DIV/0!</v>
      </c>
      <c r="AM171" s="167" t="e">
        <f t="shared" si="92"/>
        <v>#DIV/0!</v>
      </c>
      <c r="AN171" s="167" t="e">
        <f t="shared" si="92"/>
        <v>#DIV/0!</v>
      </c>
      <c r="AO171" s="167" t="e">
        <f t="shared" si="92"/>
        <v>#DIV/0!</v>
      </c>
    </row>
    <row r="172" spans="2:41" x14ac:dyDescent="0.15">
      <c r="B172" s="473" t="s">
        <v>22</v>
      </c>
      <c r="C172" s="128" t="s">
        <v>997</v>
      </c>
      <c r="D172" s="94">
        <f>SUMIFS('caseload data'!E:E,'caseload data'!$D:$D,"PO",'caseload data'!$A:$A,'national caseload'!$B$172:$B$174,'caseload data'!$B:$B,"custody")</f>
        <v>0</v>
      </c>
      <c r="E172" s="94">
        <f>SUMIFS('caseload data'!F:F,'caseload data'!$D:$D,"PO",'caseload data'!$A:$A,'national caseload'!$B$172:$B$174,'caseload data'!$B:$B,"custody")</f>
        <v>0</v>
      </c>
      <c r="F172" s="94">
        <f>SUMIFS('caseload data'!G:G,'caseload data'!$D:$D,"PO",'caseload data'!$A:$A,'national caseload'!$B$172:$B$174,'caseload data'!$B:$B,"custody")</f>
        <v>0</v>
      </c>
      <c r="G172" s="94">
        <f>SUMIFS('caseload data'!H:H,'caseload data'!$D:$D,"PO",'caseload data'!$A:$A,'national caseload'!$B$172:$B$174,'caseload data'!$B:$B,"custody")</f>
        <v>0</v>
      </c>
      <c r="H172" s="94">
        <f>SUMIFS('caseload data'!I:I,'caseload data'!$D:$D,"PO",'caseload data'!$A:$A,'national caseload'!$B$172:$B$174,'caseload data'!$B:$B,"custody")</f>
        <v>0</v>
      </c>
      <c r="I172" s="94">
        <f>SUMIFS('caseload data'!J:J,'caseload data'!$D:$D,"PO",'caseload data'!$A:$A,'national caseload'!$B$172:$B$174,'caseload data'!$B:$B,"custody")</f>
        <v>0</v>
      </c>
      <c r="J172" s="94">
        <f>SUMIFS('caseload data'!K:K,'caseload data'!$D:$D,"PO",'caseload data'!$A:$A,'national caseload'!$B$172:$B$174,'caseload data'!$B:$B,"custody")</f>
        <v>0</v>
      </c>
      <c r="K172" s="94">
        <f>SUMIFS('caseload data'!L:L,'caseload data'!$D:$D,"PO",'caseload data'!$A:$A,'national caseload'!$B$172:$B$174,'caseload data'!$B:$B,"custody")</f>
        <v>0</v>
      </c>
      <c r="L172" s="94">
        <f>SUMIFS('caseload data'!M:M,'caseload data'!$D:$D,"PO",'caseload data'!$A:$A,'national caseload'!$B$172:$B$174,'caseload data'!$B:$B,"custody")</f>
        <v>0</v>
      </c>
      <c r="M172" s="94">
        <f>SUMIFS('caseload data'!N:N,'caseload data'!$D:$D,"PO",'caseload data'!$A:$A,'national caseload'!$B$172:$B$174,'caseload data'!$B:$B,"custody")</f>
        <v>0</v>
      </c>
      <c r="N172" s="94">
        <f>SUMIFS('caseload data'!O:O,'caseload data'!$D:$D,"PO",'caseload data'!$A:$A,'national caseload'!$B$172:$B$174,'caseload data'!$B:$B,"custody")</f>
        <v>0</v>
      </c>
      <c r="O172" s="94">
        <f>SUMIFS('caseload data'!P:P,'caseload data'!$D:$D,"PO",'caseload data'!$A:$A,'national caseload'!$B$172:$B$174,'caseload data'!$B:$B,"custody")</f>
        <v>0</v>
      </c>
      <c r="P172" s="94">
        <f>SUMIFS('caseload data'!Q:Q,'caseload data'!$D:$D,"PO",'caseload data'!$A:$A,'national caseload'!$B$172:$B$174,'caseload data'!$B:$B,"custody")</f>
        <v>0</v>
      </c>
      <c r="Q172" s="94">
        <f>SUMIFS('caseload data'!R:R,'caseload data'!$D:$D,"PO",'caseload data'!$A:$A,'national caseload'!$B$172:$B$174,'caseload data'!$B:$B,"custody")</f>
        <v>0</v>
      </c>
      <c r="R172" s="94">
        <f>SUMIFS('caseload data'!S:S,'caseload data'!$D:$D,"PO",'caseload data'!$A:$A,'national caseload'!$B$172:$B$174,'caseload data'!$B:$B,"custody")</f>
        <v>0</v>
      </c>
      <c r="S172" s="94">
        <f>SUMIFS('caseload data'!T:T,'caseload data'!$D:$D,"PO",'caseload data'!$A:$A,'national caseload'!$B$172:$B$174,'caseload data'!$B:$B,"custody")</f>
        <v>0</v>
      </c>
      <c r="T172" s="94">
        <f>SUMIFS('caseload data'!V:V,'caseload data'!D:D,"PO",'caseload data'!A:A,'national caseload'!B172:B174,'caseload data'!B:B,"custody")</f>
        <v>0</v>
      </c>
      <c r="U172" s="64"/>
      <c r="V172" s="64"/>
      <c r="W172" s="473" t="s">
        <v>22</v>
      </c>
      <c r="X172" s="128" t="s">
        <v>997</v>
      </c>
      <c r="Y172" s="167" t="e">
        <f>SUM(D172)/SUM(D$172:D$176)</f>
        <v>#DIV/0!</v>
      </c>
      <c r="Z172" s="167" t="e">
        <f t="shared" ref="Z172:AO176" si="94">SUM(E172)/SUM(E$172:E$176)</f>
        <v>#DIV/0!</v>
      </c>
      <c r="AA172" s="167" t="e">
        <f t="shared" si="94"/>
        <v>#DIV/0!</v>
      </c>
      <c r="AB172" s="167" t="e">
        <f t="shared" si="94"/>
        <v>#DIV/0!</v>
      </c>
      <c r="AC172" s="167" t="e">
        <f t="shared" si="94"/>
        <v>#DIV/0!</v>
      </c>
      <c r="AD172" s="167" t="e">
        <f t="shared" si="94"/>
        <v>#DIV/0!</v>
      </c>
      <c r="AE172" s="167" t="e">
        <f t="shared" si="94"/>
        <v>#DIV/0!</v>
      </c>
      <c r="AF172" s="167" t="e">
        <f t="shared" si="94"/>
        <v>#DIV/0!</v>
      </c>
      <c r="AG172" s="167" t="e">
        <f t="shared" si="94"/>
        <v>#DIV/0!</v>
      </c>
      <c r="AH172" s="167" t="e">
        <f t="shared" si="94"/>
        <v>#DIV/0!</v>
      </c>
      <c r="AI172" s="167" t="e">
        <f t="shared" si="94"/>
        <v>#DIV/0!</v>
      </c>
      <c r="AJ172" s="167" t="e">
        <f t="shared" si="94"/>
        <v>#DIV/0!</v>
      </c>
      <c r="AK172" s="167" t="e">
        <f t="shared" si="94"/>
        <v>#DIV/0!</v>
      </c>
      <c r="AL172" s="167" t="e">
        <f t="shared" si="94"/>
        <v>#DIV/0!</v>
      </c>
      <c r="AM172" s="167" t="e">
        <f t="shared" si="94"/>
        <v>#DIV/0!</v>
      </c>
      <c r="AN172" s="167" t="e">
        <f t="shared" si="94"/>
        <v>#DIV/0!</v>
      </c>
      <c r="AO172" s="167" t="e">
        <f t="shared" si="94"/>
        <v>#DIV/0!</v>
      </c>
    </row>
    <row r="173" spans="2:41" x14ac:dyDescent="0.15">
      <c r="B173" s="474"/>
      <c r="C173" s="129" t="s">
        <v>1002</v>
      </c>
      <c r="D173" s="94">
        <f>SUMIFS('caseload data'!E:E,'caseload data'!$D:$D,"PSO",'caseload data'!$A:$A,"North East Region",'caseload data'!$B:$B,"custody")</f>
        <v>0</v>
      </c>
      <c r="E173" s="94">
        <f>SUMIFS('caseload data'!F:F,'caseload data'!$D:$D,"PSO",'caseload data'!$A:$A,"North East Region",'caseload data'!$B:$B,"custody")</f>
        <v>0</v>
      </c>
      <c r="F173" s="94">
        <f>SUMIFS('caseload data'!G:G,'caseload data'!$D:$D,"PSO",'caseload data'!$A:$A,"North East Region",'caseload data'!$B:$B,"custody")</f>
        <v>0</v>
      </c>
      <c r="G173" s="94">
        <f>SUMIFS('caseload data'!H:H,'caseload data'!$D:$D,"PSO",'caseload data'!$A:$A,"North East Region",'caseload data'!$B:$B,"custody")</f>
        <v>0</v>
      </c>
      <c r="H173" s="94">
        <f>SUMIFS('caseload data'!I:I,'caseload data'!$D:$D,"PSO",'caseload data'!$A:$A,"North East Region",'caseload data'!$B:$B,"custody")</f>
        <v>0</v>
      </c>
      <c r="I173" s="94">
        <f>SUMIFS('caseload data'!J:J,'caseload data'!$D:$D,"PSO",'caseload data'!$A:$A,"North East Region",'caseload data'!$B:$B,"custody")</f>
        <v>0</v>
      </c>
      <c r="J173" s="94">
        <f>SUMIFS('caseload data'!K:K,'caseload data'!$D:$D,"PSO",'caseload data'!$A:$A,"North East Region",'caseload data'!$B:$B,"custody")</f>
        <v>0</v>
      </c>
      <c r="K173" s="94">
        <f>SUMIFS('caseload data'!L:L,'caseload data'!$D:$D,"PSO",'caseload data'!$A:$A,"North East Region",'caseload data'!$B:$B,"custody")</f>
        <v>0</v>
      </c>
      <c r="L173" s="94">
        <f>SUMIFS('caseload data'!M:M,'caseload data'!$D:$D,"PSO",'caseload data'!$A:$A,"North East Region",'caseload data'!$B:$B,"custody")</f>
        <v>0</v>
      </c>
      <c r="M173" s="94">
        <f>SUMIFS('caseload data'!N:N,'caseload data'!$D:$D,"PSO",'caseload data'!$A:$A,"North East Region",'caseload data'!$B:$B,"custody")</f>
        <v>0</v>
      </c>
      <c r="N173" s="94">
        <f>SUMIFS('caseload data'!O:O,'caseload data'!$D:$D,"PSO",'caseload data'!$A:$A,"North East Region",'caseload data'!$B:$B,"custody")</f>
        <v>0</v>
      </c>
      <c r="O173" s="94">
        <f>SUMIFS('caseload data'!P:P,'caseload data'!$D:$D,"PSO",'caseload data'!$A:$A,"North East Region",'caseload data'!$B:$B,"custody")</f>
        <v>0</v>
      </c>
      <c r="P173" s="94">
        <f>SUMIFS('caseload data'!Q:Q,'caseload data'!$D:$D,"PSO",'caseload data'!$A:$A,"North East Region",'caseload data'!$B:$B,"custody")</f>
        <v>0</v>
      </c>
      <c r="Q173" s="94">
        <f>SUMIFS('caseload data'!R:R,'caseload data'!$D:$D,"PSO",'caseload data'!$A:$A,"North East Region",'caseload data'!$B:$B,"custody")</f>
        <v>0</v>
      </c>
      <c r="R173" s="94">
        <f>SUMIFS('caseload data'!S:S,'caseload data'!$D:$D,"PSO",'caseload data'!$A:$A,"North East Region",'caseload data'!$B:$B,"custody")</f>
        <v>0</v>
      </c>
      <c r="S173" s="94">
        <f>SUMIFS('caseload data'!T:T,'caseload data'!$D:$D,"PSO",'caseload data'!$A:$A,"North East Region",'caseload data'!$B:$B,"custody")</f>
        <v>0</v>
      </c>
      <c r="T173" s="94">
        <f>SUMIFS('caseload data'!V:V,'caseload data'!D:D,"PSO",'caseload data'!A:A,"North East Region",'caseload data'!B:B,"custody")</f>
        <v>0</v>
      </c>
      <c r="U173" s="64"/>
      <c r="V173" s="64"/>
      <c r="W173" s="474"/>
      <c r="X173" s="129" t="s">
        <v>1002</v>
      </c>
      <c r="Y173" s="167" t="e">
        <f t="shared" ref="Y173:Y176" si="95">SUM(D173)/SUM(D$172:D$176)</f>
        <v>#DIV/0!</v>
      </c>
      <c r="Z173" s="167" t="e">
        <f t="shared" si="94"/>
        <v>#DIV/0!</v>
      </c>
      <c r="AA173" s="167" t="e">
        <f t="shared" si="94"/>
        <v>#DIV/0!</v>
      </c>
      <c r="AB173" s="167" t="e">
        <f t="shared" si="94"/>
        <v>#DIV/0!</v>
      </c>
      <c r="AC173" s="167" t="e">
        <f t="shared" si="94"/>
        <v>#DIV/0!</v>
      </c>
      <c r="AD173" s="167" t="e">
        <f t="shared" si="94"/>
        <v>#DIV/0!</v>
      </c>
      <c r="AE173" s="167" t="e">
        <f t="shared" si="94"/>
        <v>#DIV/0!</v>
      </c>
      <c r="AF173" s="167" t="e">
        <f t="shared" si="94"/>
        <v>#DIV/0!</v>
      </c>
      <c r="AG173" s="167" t="e">
        <f t="shared" si="94"/>
        <v>#DIV/0!</v>
      </c>
      <c r="AH173" s="167" t="e">
        <f t="shared" si="94"/>
        <v>#DIV/0!</v>
      </c>
      <c r="AI173" s="167" t="e">
        <f t="shared" si="94"/>
        <v>#DIV/0!</v>
      </c>
      <c r="AJ173" s="167" t="e">
        <f t="shared" si="94"/>
        <v>#DIV/0!</v>
      </c>
      <c r="AK173" s="167" t="e">
        <f t="shared" si="94"/>
        <v>#DIV/0!</v>
      </c>
      <c r="AL173" s="167" t="e">
        <f t="shared" si="94"/>
        <v>#DIV/0!</v>
      </c>
      <c r="AM173" s="167" t="e">
        <f t="shared" si="94"/>
        <v>#DIV/0!</v>
      </c>
      <c r="AN173" s="167" t="e">
        <f t="shared" si="94"/>
        <v>#DIV/0!</v>
      </c>
      <c r="AO173" s="167" t="e">
        <f t="shared" si="94"/>
        <v>#DIV/0!</v>
      </c>
    </row>
    <row r="174" spans="2:41" x14ac:dyDescent="0.15">
      <c r="B174" s="474"/>
      <c r="C174" s="129" t="s">
        <v>1003</v>
      </c>
      <c r="D174" s="94">
        <f>SUMIFS('caseload data'!E:E,'caseload data'!$D:$D,"TPO",'caseload data'!$A:$A,"North East Region",'caseload data'!$B:$B,"custody")</f>
        <v>0</v>
      </c>
      <c r="E174" s="94">
        <f>SUMIFS('caseload data'!F:F,'caseload data'!$D:$D,"TPO",'caseload data'!$A:$A,"North East Region",'caseload data'!$B:$B,"custody")</f>
        <v>0</v>
      </c>
      <c r="F174" s="94">
        <f>SUMIFS('caseload data'!G:G,'caseload data'!$D:$D,"TPO",'caseload data'!$A:$A,"North East Region",'caseload data'!$B:$B,"custody")</f>
        <v>0</v>
      </c>
      <c r="G174" s="94">
        <f>SUMIFS('caseload data'!H:H,'caseload data'!$D:$D,"TPO",'caseload data'!$A:$A,"North East Region",'caseload data'!$B:$B,"custody")</f>
        <v>0</v>
      </c>
      <c r="H174" s="94">
        <f>SUMIFS('caseload data'!I:I,'caseload data'!$D:$D,"TPO",'caseload data'!$A:$A,"North East Region",'caseload data'!$B:$B,"custody")</f>
        <v>0</v>
      </c>
      <c r="I174" s="94">
        <f>SUMIFS('caseload data'!J:J,'caseload data'!$D:$D,"TPO",'caseload data'!$A:$A,"North East Region",'caseload data'!$B:$B,"custody")</f>
        <v>0</v>
      </c>
      <c r="J174" s="94">
        <f>SUMIFS('caseload data'!K:K,'caseload data'!$D:$D,"TPO",'caseload data'!$A:$A,"North East Region",'caseload data'!$B:$B,"custody")</f>
        <v>0</v>
      </c>
      <c r="K174" s="94">
        <f>SUMIFS('caseload data'!L:L,'caseload data'!$D:$D,"TPO",'caseload data'!$A:$A,"North East Region",'caseload data'!$B:$B,"custody")</f>
        <v>0</v>
      </c>
      <c r="L174" s="94">
        <f>SUMIFS('caseload data'!M:M,'caseload data'!$D:$D,"TPO",'caseload data'!$A:$A,"North East Region",'caseload data'!$B:$B,"custody")</f>
        <v>0</v>
      </c>
      <c r="M174" s="94">
        <f>SUMIFS('caseload data'!N:N,'caseload data'!$D:$D,"TPO",'caseload data'!$A:$A,"North East Region",'caseload data'!$B:$B,"custody")</f>
        <v>0</v>
      </c>
      <c r="N174" s="94">
        <f>SUMIFS('caseload data'!O:O,'caseload data'!$D:$D,"TPO",'caseload data'!$A:$A,"North East Region",'caseload data'!$B:$B,"custody")</f>
        <v>0</v>
      </c>
      <c r="O174" s="94">
        <f>SUMIFS('caseload data'!P:P,'caseload data'!$D:$D,"TPO",'caseload data'!$A:$A,"North East Region",'caseload data'!$B:$B,"custody")</f>
        <v>0</v>
      </c>
      <c r="P174" s="94">
        <f>SUMIFS('caseload data'!Q:Q,'caseload data'!$D:$D,"TPO",'caseload data'!$A:$A,"North East Region",'caseload data'!$B:$B,"custody")</f>
        <v>0</v>
      </c>
      <c r="Q174" s="94">
        <f>SUMIFS('caseload data'!R:R,'caseload data'!$D:$D,"TPO",'caseload data'!$A:$A,"North East Region",'caseload data'!$B:$B,"custody")</f>
        <v>0</v>
      </c>
      <c r="R174" s="94">
        <f>SUMIFS('caseload data'!S:S,'caseload data'!$D:$D,"TPO",'caseload data'!$A:$A,"North East Region",'caseload data'!$B:$B,"custody")</f>
        <v>0</v>
      </c>
      <c r="S174" s="94">
        <f>SUMIFS('caseload data'!T:T,'caseload data'!$D:$D,"TPO",'caseload data'!$A:$A,"North East Region",'caseload data'!$B:$B,"custody")</f>
        <v>0</v>
      </c>
      <c r="T174" s="94">
        <f>SUMIFS('caseload data'!V:V,'caseload data'!D:D,"TPO",'caseload data'!A:A,"North East Region",'caseload data'!B:B,"custody")</f>
        <v>0</v>
      </c>
      <c r="U174" s="64"/>
      <c r="V174" s="64"/>
      <c r="W174" s="474"/>
      <c r="X174" s="129" t="s">
        <v>1003</v>
      </c>
      <c r="Y174" s="167" t="e">
        <f t="shared" si="95"/>
        <v>#DIV/0!</v>
      </c>
      <c r="Z174" s="167" t="e">
        <f t="shared" si="94"/>
        <v>#DIV/0!</v>
      </c>
      <c r="AA174" s="167" t="e">
        <f t="shared" si="94"/>
        <v>#DIV/0!</v>
      </c>
      <c r="AB174" s="167" t="e">
        <f t="shared" si="94"/>
        <v>#DIV/0!</v>
      </c>
      <c r="AC174" s="167" t="e">
        <f t="shared" si="94"/>
        <v>#DIV/0!</v>
      </c>
      <c r="AD174" s="167" t="e">
        <f t="shared" si="94"/>
        <v>#DIV/0!</v>
      </c>
      <c r="AE174" s="167" t="e">
        <f t="shared" si="94"/>
        <v>#DIV/0!</v>
      </c>
      <c r="AF174" s="167" t="e">
        <f t="shared" si="94"/>
        <v>#DIV/0!</v>
      </c>
      <c r="AG174" s="167" t="e">
        <f t="shared" si="94"/>
        <v>#DIV/0!</v>
      </c>
      <c r="AH174" s="167" t="e">
        <f t="shared" si="94"/>
        <v>#DIV/0!</v>
      </c>
      <c r="AI174" s="167" t="e">
        <f t="shared" si="94"/>
        <v>#DIV/0!</v>
      </c>
      <c r="AJ174" s="167" t="e">
        <f t="shared" si="94"/>
        <v>#DIV/0!</v>
      </c>
      <c r="AK174" s="167" t="e">
        <f t="shared" si="94"/>
        <v>#DIV/0!</v>
      </c>
      <c r="AL174" s="167" t="e">
        <f t="shared" si="94"/>
        <v>#DIV/0!</v>
      </c>
      <c r="AM174" s="167" t="e">
        <f t="shared" si="94"/>
        <v>#DIV/0!</v>
      </c>
      <c r="AN174" s="167" t="e">
        <f t="shared" si="94"/>
        <v>#DIV/0!</v>
      </c>
      <c r="AO174" s="167" t="e">
        <f t="shared" si="94"/>
        <v>#DIV/0!</v>
      </c>
    </row>
    <row r="175" spans="2:41" x14ac:dyDescent="0.15">
      <c r="B175" s="474"/>
      <c r="C175" s="129" t="s">
        <v>1004</v>
      </c>
      <c r="D175" s="94">
        <f>SUMIFS('caseload data'!E:E,'caseload data'!$D:$D,"SPO",'caseload data'!$A:$A,"North East Region",'caseload data'!$B:$B,"custody")</f>
        <v>0</v>
      </c>
      <c r="E175" s="94">
        <f>SUMIFS('caseload data'!F:F,'caseload data'!$D:$D,"SPO",'caseload data'!$A:$A,"North East Region",'caseload data'!$B:$B,"custody")</f>
        <v>0</v>
      </c>
      <c r="F175" s="94">
        <f>SUMIFS('caseload data'!G:G,'caseload data'!$D:$D,"SPO",'caseload data'!$A:$A,"North East Region",'caseload data'!$B:$B,"custody")</f>
        <v>0</v>
      </c>
      <c r="G175" s="94">
        <f>SUMIFS('caseload data'!H:H,'caseload data'!$D:$D,"SPO",'caseload data'!$A:$A,"North East Region",'caseload data'!$B:$B,"custody")</f>
        <v>0</v>
      </c>
      <c r="H175" s="94">
        <f>SUMIFS('caseload data'!I:I,'caseload data'!$D:$D,"SPO",'caseload data'!$A:$A,"North East Region",'caseload data'!$B:$B,"custody")</f>
        <v>0</v>
      </c>
      <c r="I175" s="94">
        <f>SUMIFS('caseload data'!J:J,'caseload data'!$D:$D,"SPO",'caseload data'!$A:$A,"North East Region",'caseload data'!$B:$B,"custody")</f>
        <v>0</v>
      </c>
      <c r="J175" s="94">
        <f>SUMIFS('caseload data'!K:K,'caseload data'!$D:$D,"SPO",'caseload data'!$A:$A,"North East Region",'caseload data'!$B:$B,"custody")</f>
        <v>0</v>
      </c>
      <c r="K175" s="94">
        <f>SUMIFS('caseload data'!L:L,'caseload data'!$D:$D,"SPO",'caseload data'!$A:$A,"North East Region",'caseload data'!$B:$B,"custody")</f>
        <v>0</v>
      </c>
      <c r="L175" s="94">
        <f>SUMIFS('caseload data'!M:M,'caseload data'!$D:$D,"SPO",'caseload data'!$A:$A,"North East Region",'caseload data'!$B:$B,"custody")</f>
        <v>0</v>
      </c>
      <c r="M175" s="94">
        <f>SUMIFS('caseload data'!N:N,'caseload data'!$D:$D,"SPO",'caseload data'!$A:$A,"North East Region",'caseload data'!$B:$B,"custody")</f>
        <v>0</v>
      </c>
      <c r="N175" s="94">
        <f>SUMIFS('caseload data'!O:O,'caseload data'!$D:$D,"SPO",'caseload data'!$A:$A,"North East Region",'caseload data'!$B:$B,"custody")</f>
        <v>0</v>
      </c>
      <c r="O175" s="94">
        <f>SUMIFS('caseload data'!P:P,'caseload data'!$D:$D,"SPO",'caseload data'!$A:$A,"North East Region",'caseload data'!$B:$B,"custody")</f>
        <v>0</v>
      </c>
      <c r="P175" s="94">
        <f>SUMIFS('caseload data'!Q:Q,'caseload data'!$D:$D,"SPO",'caseload data'!$A:$A,"North East Region",'caseload data'!$B:$B,"custody")</f>
        <v>0</v>
      </c>
      <c r="Q175" s="94">
        <f>SUMIFS('caseload data'!R:R,'caseload data'!$D:$D,"SPO",'caseload data'!$A:$A,"North East Region",'caseload data'!$B:$B,"custody")</f>
        <v>0</v>
      </c>
      <c r="R175" s="94">
        <f>SUMIFS('caseload data'!S:S,'caseload data'!$D:$D,"SPO",'caseload data'!$A:$A,"North East Region",'caseload data'!$B:$B,"custody")</f>
        <v>0</v>
      </c>
      <c r="S175" s="94">
        <f>SUMIFS('caseload data'!T:T,'caseload data'!$D:$D,"SPO",'caseload data'!$A:$A,"North East Region",'caseload data'!$B:$B,"custody")</f>
        <v>0</v>
      </c>
      <c r="T175" s="94">
        <f>SUMIFS('caseload data'!V:V,'caseload data'!$D:$D,"SPO",'caseload data'!$A:$A,"North East Region",'caseload data'!$B:$B,"custody")</f>
        <v>0</v>
      </c>
      <c r="U175" s="64"/>
      <c r="V175" s="64"/>
      <c r="W175" s="474"/>
      <c r="X175" s="129" t="s">
        <v>1004</v>
      </c>
      <c r="Y175" s="167" t="e">
        <f t="shared" si="95"/>
        <v>#DIV/0!</v>
      </c>
      <c r="Z175" s="167" t="e">
        <f t="shared" si="94"/>
        <v>#DIV/0!</v>
      </c>
      <c r="AA175" s="167" t="e">
        <f t="shared" si="94"/>
        <v>#DIV/0!</v>
      </c>
      <c r="AB175" s="167" t="e">
        <f t="shared" si="94"/>
        <v>#DIV/0!</v>
      </c>
      <c r="AC175" s="167" t="e">
        <f t="shared" si="94"/>
        <v>#DIV/0!</v>
      </c>
      <c r="AD175" s="167" t="e">
        <f t="shared" si="94"/>
        <v>#DIV/0!</v>
      </c>
      <c r="AE175" s="167" t="e">
        <f t="shared" si="94"/>
        <v>#DIV/0!</v>
      </c>
      <c r="AF175" s="167" t="e">
        <f t="shared" si="94"/>
        <v>#DIV/0!</v>
      </c>
      <c r="AG175" s="167" t="e">
        <f t="shared" si="94"/>
        <v>#DIV/0!</v>
      </c>
      <c r="AH175" s="167" t="e">
        <f t="shared" si="94"/>
        <v>#DIV/0!</v>
      </c>
      <c r="AI175" s="167" t="e">
        <f t="shared" si="94"/>
        <v>#DIV/0!</v>
      </c>
      <c r="AJ175" s="167" t="e">
        <f t="shared" si="94"/>
        <v>#DIV/0!</v>
      </c>
      <c r="AK175" s="167" t="e">
        <f t="shared" si="94"/>
        <v>#DIV/0!</v>
      </c>
      <c r="AL175" s="167" t="e">
        <f t="shared" si="94"/>
        <v>#DIV/0!</v>
      </c>
      <c r="AM175" s="167" t="e">
        <f t="shared" si="94"/>
        <v>#DIV/0!</v>
      </c>
      <c r="AN175" s="167" t="e">
        <f t="shared" si="94"/>
        <v>#DIV/0!</v>
      </c>
      <c r="AO175" s="167" t="e">
        <f t="shared" si="94"/>
        <v>#DIV/0!</v>
      </c>
    </row>
    <row r="176" spans="2:41" x14ac:dyDescent="0.15">
      <c r="B176" s="475"/>
      <c r="C176" s="130" t="s">
        <v>1339</v>
      </c>
      <c r="D176" s="94">
        <f>SUMIFS('caseload data'!E:E,'caseload data'!$D:$D,"DMY",'caseload data'!$A:$A,"North East Region",'caseload data'!$B:$B,"custody")</f>
        <v>0</v>
      </c>
      <c r="E176" s="94">
        <f>SUMIFS('caseload data'!F:F,'caseload data'!$D:$D,"DMY",'caseload data'!$A:$A,"North East Region",'caseload data'!$B:$B,"custody")</f>
        <v>0</v>
      </c>
      <c r="F176" s="94">
        <f>SUMIFS('caseload data'!G:G,'caseload data'!$D:$D,"DMY",'caseload data'!$A:$A,"North East Region",'caseload data'!$B:$B,"custody")</f>
        <v>0</v>
      </c>
      <c r="G176" s="94">
        <f>SUMIFS('caseload data'!H:H,'caseload data'!$D:$D,"DMY",'caseload data'!$A:$A,"North East Region",'caseload data'!$B:$B,"custody")</f>
        <v>0</v>
      </c>
      <c r="H176" s="94">
        <f>SUMIFS('caseload data'!I:I,'caseload data'!$D:$D,"DMY",'caseload data'!$A:$A,"North East Region",'caseload data'!$B:$B,"custody")</f>
        <v>0</v>
      </c>
      <c r="I176" s="94">
        <f>SUMIFS('caseload data'!J:J,'caseload data'!$D:$D,"DMY",'caseload data'!$A:$A,"North East Region",'caseload data'!$B:$B,"custody")</f>
        <v>0</v>
      </c>
      <c r="J176" s="94">
        <f>SUMIFS('caseload data'!K:K,'caseload data'!$D:$D,"DMY",'caseload data'!$A:$A,"North East Region",'caseload data'!$B:$B,"custody")</f>
        <v>0</v>
      </c>
      <c r="K176" s="94">
        <f>SUMIFS('caseload data'!L:L,'caseload data'!$D:$D,"DMY",'caseload data'!$A:$A,"North East Region",'caseload data'!$B:$B,"custody")</f>
        <v>0</v>
      </c>
      <c r="L176" s="94">
        <f>SUMIFS('caseload data'!M:M,'caseload data'!$D:$D,"DMY",'caseload data'!$A:$A,"North East Region",'caseload data'!$B:$B,"custody")</f>
        <v>0</v>
      </c>
      <c r="M176" s="94">
        <f>SUMIFS('caseload data'!N:N,'caseload data'!$D:$D,"DMY",'caseload data'!$A:$A,"North East Region",'caseload data'!$B:$B,"custody")</f>
        <v>0</v>
      </c>
      <c r="N176" s="94">
        <f>SUMIFS('caseload data'!O:O,'caseload data'!$D:$D,"DMY",'caseload data'!$A:$A,"North East Region",'caseload data'!$B:$B,"custody")</f>
        <v>0</v>
      </c>
      <c r="O176" s="94">
        <f>SUMIFS('caseload data'!P:P,'caseload data'!$D:$D,"DMY",'caseload data'!$A:$A,"North East Region",'caseload data'!$B:$B,"custody")</f>
        <v>0</v>
      </c>
      <c r="P176" s="94">
        <f>SUMIFS('caseload data'!Q:Q,'caseload data'!$D:$D,"DMY",'caseload data'!$A:$A,"North East Region",'caseload data'!$B:$B,"custody")</f>
        <v>0</v>
      </c>
      <c r="Q176" s="94">
        <f>SUMIFS('caseload data'!R:R,'caseload data'!$D:$D,"DMY",'caseload data'!$A:$A,"North East Region",'caseload data'!$B:$B,"custody")</f>
        <v>0</v>
      </c>
      <c r="R176" s="94">
        <f>SUMIFS('caseload data'!S:S,'caseload data'!$D:$D,"DMY",'caseload data'!$A:$A,"North East Region",'caseload data'!$B:$B,"custody")</f>
        <v>0</v>
      </c>
      <c r="S176" s="94">
        <f>SUMIFS('caseload data'!T:T,'caseload data'!$D:$D,"DMY",'caseload data'!$A:$A,"North East Region",'caseload data'!$B:$B,"custody")</f>
        <v>0</v>
      </c>
      <c r="T176" s="94">
        <f>SUMIFS('caseload data'!V:V,'caseload data'!$D:$D,"DMY",'caseload data'!$A:$A,"North East Region",'caseload data'!$B:$B,"custody")</f>
        <v>0</v>
      </c>
      <c r="U176" s="64"/>
      <c r="V176" s="64"/>
      <c r="W176" s="475"/>
      <c r="X176" s="130" t="s">
        <v>1339</v>
      </c>
      <c r="Y176" s="167" t="e">
        <f t="shared" si="95"/>
        <v>#DIV/0!</v>
      </c>
      <c r="Z176" s="167" t="e">
        <f t="shared" si="94"/>
        <v>#DIV/0!</v>
      </c>
      <c r="AA176" s="167" t="e">
        <f t="shared" si="94"/>
        <v>#DIV/0!</v>
      </c>
      <c r="AB176" s="167" t="e">
        <f t="shared" si="94"/>
        <v>#DIV/0!</v>
      </c>
      <c r="AC176" s="167" t="e">
        <f t="shared" si="94"/>
        <v>#DIV/0!</v>
      </c>
      <c r="AD176" s="167" t="e">
        <f t="shared" si="94"/>
        <v>#DIV/0!</v>
      </c>
      <c r="AE176" s="167" t="e">
        <f t="shared" si="94"/>
        <v>#DIV/0!</v>
      </c>
      <c r="AF176" s="167" t="e">
        <f t="shared" si="94"/>
        <v>#DIV/0!</v>
      </c>
      <c r="AG176" s="167" t="e">
        <f t="shared" si="94"/>
        <v>#DIV/0!</v>
      </c>
      <c r="AH176" s="167" t="e">
        <f t="shared" si="94"/>
        <v>#DIV/0!</v>
      </c>
      <c r="AI176" s="167" t="e">
        <f t="shared" si="94"/>
        <v>#DIV/0!</v>
      </c>
      <c r="AJ176" s="167" t="e">
        <f t="shared" si="94"/>
        <v>#DIV/0!</v>
      </c>
      <c r="AK176" s="167" t="e">
        <f t="shared" si="94"/>
        <v>#DIV/0!</v>
      </c>
      <c r="AL176" s="167" t="e">
        <f t="shared" si="94"/>
        <v>#DIV/0!</v>
      </c>
      <c r="AM176" s="167" t="e">
        <f t="shared" si="94"/>
        <v>#DIV/0!</v>
      </c>
      <c r="AN176" s="167" t="e">
        <f t="shared" si="94"/>
        <v>#DIV/0!</v>
      </c>
      <c r="AO176" s="167" t="e">
        <f t="shared" si="94"/>
        <v>#DIV/0!</v>
      </c>
    </row>
    <row r="177" spans="2:41" x14ac:dyDescent="0.15">
      <c r="B177" s="473" t="s">
        <v>23</v>
      </c>
      <c r="C177" s="128" t="s">
        <v>997</v>
      </c>
      <c r="D177" s="94">
        <f>SUMIFS('caseload data'!E:E,'caseload data'!$D:$D,"PO",'caseload data'!$A:$A,'national caseload'!$B$177:$B$179,'caseload data'!$B:$B,"custody")</f>
        <v>0</v>
      </c>
      <c r="E177" s="94">
        <f>SUMIFS('caseload data'!F:F,'caseload data'!$D:$D,"PO",'caseload data'!$A:$A,'national caseload'!$B$177:$B$179,'caseload data'!$B:$B,"custody")</f>
        <v>0</v>
      </c>
      <c r="F177" s="94">
        <f>SUMIFS('caseload data'!G:G,'caseload data'!$D:$D,"PO",'caseload data'!$A:$A,'national caseload'!$B$177:$B$179,'caseload data'!$B:$B,"custody")</f>
        <v>0</v>
      </c>
      <c r="G177" s="94">
        <f>SUMIFS('caseload data'!H:H,'caseload data'!$D:$D,"PO",'caseload data'!$A:$A,'national caseload'!$B$177:$B$179,'caseload data'!$B:$B,"custody")</f>
        <v>0</v>
      </c>
      <c r="H177" s="94">
        <f>SUMIFS('caseload data'!I:I,'caseload data'!$D:$D,"PO",'caseload data'!$A:$A,'national caseload'!$B$177:$B$179,'caseload data'!$B:$B,"custody")</f>
        <v>0</v>
      </c>
      <c r="I177" s="94">
        <f>SUMIFS('caseload data'!J:J,'caseload data'!$D:$D,"PO",'caseload data'!$A:$A,'national caseload'!$B$177:$B$179,'caseload data'!$B:$B,"custody")</f>
        <v>0</v>
      </c>
      <c r="J177" s="94">
        <f>SUMIFS('caseload data'!K:K,'caseload data'!$D:$D,"PO",'caseload data'!$A:$A,'national caseload'!$B$177:$B$179,'caseload data'!$B:$B,"custody")</f>
        <v>0</v>
      </c>
      <c r="K177" s="94">
        <f>SUMIFS('caseload data'!L:L,'caseload data'!$D:$D,"PO",'caseload data'!$A:$A,'national caseload'!$B$177:$B$179,'caseload data'!$B:$B,"custody")</f>
        <v>0</v>
      </c>
      <c r="L177" s="94">
        <f>SUMIFS('caseload data'!M:M,'caseload data'!$D:$D,"PO",'caseload data'!$A:$A,'national caseload'!$B$177:$B$179,'caseload data'!$B:$B,"custody")</f>
        <v>0</v>
      </c>
      <c r="M177" s="94">
        <f>SUMIFS('caseload data'!N:N,'caseload data'!$D:$D,"PO",'caseload data'!$A:$A,'national caseload'!$B$177:$B$179,'caseload data'!$B:$B,"custody")</f>
        <v>0</v>
      </c>
      <c r="N177" s="94">
        <f>SUMIFS('caseload data'!O:O,'caseload data'!$D:$D,"PO",'caseload data'!$A:$A,'national caseload'!$B$177:$B$179,'caseload data'!$B:$B,"custody")</f>
        <v>0</v>
      </c>
      <c r="O177" s="94">
        <f>SUMIFS('caseload data'!P:P,'caseload data'!$D:$D,"PO",'caseload data'!$A:$A,'national caseload'!$B$177:$B$179,'caseload data'!$B:$B,"custody")</f>
        <v>0</v>
      </c>
      <c r="P177" s="94">
        <f>SUMIFS('caseload data'!Q:Q,'caseload data'!$D:$D,"PO",'caseload data'!$A:$A,'national caseload'!$B$177:$B$179,'caseload data'!$B:$B,"custody")</f>
        <v>0</v>
      </c>
      <c r="Q177" s="94">
        <f>SUMIFS('caseload data'!R:R,'caseload data'!$D:$D,"PO",'caseload data'!$A:$A,'national caseload'!$B$177:$B$179,'caseload data'!$B:$B,"custody")</f>
        <v>0</v>
      </c>
      <c r="R177" s="94">
        <f>SUMIFS('caseload data'!S:S,'caseload data'!$D:$D,"PO",'caseload data'!$A:$A,'national caseload'!$B$177:$B$179,'caseload data'!$B:$B,"custody")</f>
        <v>0</v>
      </c>
      <c r="S177" s="94">
        <f>SUMIFS('caseload data'!T:T,'caseload data'!$D:$D,"PO",'caseload data'!$A:$A,'national caseload'!$B$177:$B$179,'caseload data'!$B:$B,"custody")</f>
        <v>0</v>
      </c>
      <c r="T177" s="94">
        <f>SUMIFS('caseload data'!V:V,'caseload data'!D:D,"PO",'caseload data'!A:A,'national caseload'!B177:B179,'caseload data'!B:B,"custody")</f>
        <v>0</v>
      </c>
      <c r="U177" s="64"/>
      <c r="V177" s="64"/>
      <c r="W177" s="473" t="s">
        <v>23</v>
      </c>
      <c r="X177" s="128" t="s">
        <v>997</v>
      </c>
      <c r="Y177" s="167" t="e">
        <f>SUM(D177)/SUM(D$177:D$181)</f>
        <v>#DIV/0!</v>
      </c>
      <c r="Z177" s="167" t="e">
        <f t="shared" ref="Z177:AO181" si="96">SUM(E177)/SUM(E$177:E$181)</f>
        <v>#DIV/0!</v>
      </c>
      <c r="AA177" s="167" t="e">
        <f t="shared" si="96"/>
        <v>#DIV/0!</v>
      </c>
      <c r="AB177" s="167" t="e">
        <f t="shared" si="96"/>
        <v>#DIV/0!</v>
      </c>
      <c r="AC177" s="167" t="e">
        <f t="shared" si="96"/>
        <v>#DIV/0!</v>
      </c>
      <c r="AD177" s="167" t="e">
        <f t="shared" si="96"/>
        <v>#DIV/0!</v>
      </c>
      <c r="AE177" s="167" t="e">
        <f t="shared" si="96"/>
        <v>#DIV/0!</v>
      </c>
      <c r="AF177" s="167" t="e">
        <f t="shared" si="96"/>
        <v>#DIV/0!</v>
      </c>
      <c r="AG177" s="167" t="e">
        <f t="shared" si="96"/>
        <v>#DIV/0!</v>
      </c>
      <c r="AH177" s="167" t="e">
        <f t="shared" si="96"/>
        <v>#DIV/0!</v>
      </c>
      <c r="AI177" s="167" t="e">
        <f t="shared" si="96"/>
        <v>#DIV/0!</v>
      </c>
      <c r="AJ177" s="167" t="e">
        <f t="shared" si="96"/>
        <v>#DIV/0!</v>
      </c>
      <c r="AK177" s="167" t="e">
        <f t="shared" si="96"/>
        <v>#DIV/0!</v>
      </c>
      <c r="AL177" s="167" t="e">
        <f t="shared" si="96"/>
        <v>#DIV/0!</v>
      </c>
      <c r="AM177" s="167" t="e">
        <f t="shared" si="96"/>
        <v>#DIV/0!</v>
      </c>
      <c r="AN177" s="167" t="e">
        <f t="shared" si="96"/>
        <v>#DIV/0!</v>
      </c>
      <c r="AO177" s="167" t="e">
        <f t="shared" si="96"/>
        <v>#DIV/0!</v>
      </c>
    </row>
    <row r="178" spans="2:41" x14ac:dyDescent="0.15">
      <c r="B178" s="474"/>
      <c r="C178" s="129" t="s">
        <v>1002</v>
      </c>
      <c r="D178" s="94">
        <f>SUMIFS('caseload data'!E:E,'caseload data'!$D:$D,"PSO",'caseload data'!$A:$A,"North West Region",'caseload data'!$B:$B,"custody")</f>
        <v>0</v>
      </c>
      <c r="E178" s="94">
        <f>SUMIFS('caseload data'!F:F,'caseload data'!$D:$D,"PSO",'caseload data'!$A:$A,"North West Region",'caseload data'!$B:$B,"custody")</f>
        <v>0</v>
      </c>
      <c r="F178" s="94">
        <f>SUMIFS('caseload data'!G:G,'caseload data'!$D:$D,"PSO",'caseload data'!$A:$A,"North West Region",'caseload data'!$B:$B,"custody")</f>
        <v>0</v>
      </c>
      <c r="G178" s="94">
        <f>SUMIFS('caseload data'!H:H,'caseload data'!$D:$D,"PSO",'caseload data'!$A:$A,"North West Region",'caseload data'!$B:$B,"custody")</f>
        <v>0</v>
      </c>
      <c r="H178" s="94">
        <f>SUMIFS('caseload data'!I:I,'caseload data'!$D:$D,"PSO",'caseload data'!$A:$A,"North West Region",'caseload data'!$B:$B,"custody")</f>
        <v>0</v>
      </c>
      <c r="I178" s="94">
        <f>SUMIFS('caseload data'!J:J,'caseload data'!$D:$D,"PSO",'caseload data'!$A:$A,"North West Region",'caseload data'!$B:$B,"custody")</f>
        <v>0</v>
      </c>
      <c r="J178" s="94">
        <f>SUMIFS('caseload data'!K:K,'caseload data'!$D:$D,"PSO",'caseload data'!$A:$A,"North West Region",'caseload data'!$B:$B,"custody")</f>
        <v>0</v>
      </c>
      <c r="K178" s="94">
        <f>SUMIFS('caseload data'!L:L,'caseload data'!$D:$D,"PSO",'caseload data'!$A:$A,"North West Region",'caseload data'!$B:$B,"custody")</f>
        <v>0</v>
      </c>
      <c r="L178" s="94">
        <f>SUMIFS('caseload data'!M:M,'caseload data'!$D:$D,"PSO",'caseload data'!$A:$A,"North West Region",'caseload data'!$B:$B,"custody")</f>
        <v>0</v>
      </c>
      <c r="M178" s="94">
        <f>SUMIFS('caseload data'!N:N,'caseload data'!$D:$D,"PSO",'caseload data'!$A:$A,"North West Region",'caseload data'!$B:$B,"custody")</f>
        <v>0</v>
      </c>
      <c r="N178" s="94">
        <f>SUMIFS('caseload data'!O:O,'caseload data'!$D:$D,"PSO",'caseload data'!$A:$A,"North West Region",'caseload data'!$B:$B,"custody")</f>
        <v>0</v>
      </c>
      <c r="O178" s="94">
        <f>SUMIFS('caseload data'!P:P,'caseload data'!$D:$D,"PSO",'caseload data'!$A:$A,"North West Region",'caseload data'!$B:$B,"custody")</f>
        <v>0</v>
      </c>
      <c r="P178" s="94">
        <f>SUMIFS('caseload data'!Q:Q,'caseload data'!$D:$D,"PSO",'caseload data'!$A:$A,"North West Region",'caseload data'!$B:$B,"custody")</f>
        <v>0</v>
      </c>
      <c r="Q178" s="94">
        <f>SUMIFS('caseload data'!R:R,'caseload data'!$D:$D,"PSO",'caseload data'!$A:$A,"North West Region",'caseload data'!$B:$B,"custody")</f>
        <v>0</v>
      </c>
      <c r="R178" s="94">
        <f>SUMIFS('caseload data'!S:S,'caseload data'!$D:$D,"PSO",'caseload data'!$A:$A,"North West Region",'caseload data'!$B:$B,"custody")</f>
        <v>0</v>
      </c>
      <c r="S178" s="94">
        <f>SUMIFS('caseload data'!T:T,'caseload data'!$D:$D,"PSO",'caseload data'!$A:$A,"North West Region",'caseload data'!$B:$B,"custody")</f>
        <v>0</v>
      </c>
      <c r="T178" s="94">
        <f>SUMIFS('caseload data'!V:V,'caseload data'!D:D,"PSO",'caseload data'!A:A,"North West Region",'caseload data'!B:B,"custody")</f>
        <v>0</v>
      </c>
      <c r="U178" s="64"/>
      <c r="V178" s="64"/>
      <c r="W178" s="474"/>
      <c r="X178" s="129" t="s">
        <v>1002</v>
      </c>
      <c r="Y178" s="167" t="e">
        <f t="shared" ref="Y178:Y181" si="97">SUM(D178)/SUM(D$177:D$181)</f>
        <v>#DIV/0!</v>
      </c>
      <c r="Z178" s="167" t="e">
        <f t="shared" si="96"/>
        <v>#DIV/0!</v>
      </c>
      <c r="AA178" s="167" t="e">
        <f t="shared" si="96"/>
        <v>#DIV/0!</v>
      </c>
      <c r="AB178" s="167" t="e">
        <f t="shared" si="96"/>
        <v>#DIV/0!</v>
      </c>
      <c r="AC178" s="167" t="e">
        <f t="shared" si="96"/>
        <v>#DIV/0!</v>
      </c>
      <c r="AD178" s="167" t="e">
        <f t="shared" si="96"/>
        <v>#DIV/0!</v>
      </c>
      <c r="AE178" s="167" t="e">
        <f t="shared" si="96"/>
        <v>#DIV/0!</v>
      </c>
      <c r="AF178" s="167" t="e">
        <f t="shared" si="96"/>
        <v>#DIV/0!</v>
      </c>
      <c r="AG178" s="167" t="e">
        <f t="shared" si="96"/>
        <v>#DIV/0!</v>
      </c>
      <c r="AH178" s="167" t="e">
        <f t="shared" si="96"/>
        <v>#DIV/0!</v>
      </c>
      <c r="AI178" s="167" t="e">
        <f t="shared" si="96"/>
        <v>#DIV/0!</v>
      </c>
      <c r="AJ178" s="167" t="e">
        <f t="shared" si="96"/>
        <v>#DIV/0!</v>
      </c>
      <c r="AK178" s="167" t="e">
        <f t="shared" si="96"/>
        <v>#DIV/0!</v>
      </c>
      <c r="AL178" s="167" t="e">
        <f t="shared" si="96"/>
        <v>#DIV/0!</v>
      </c>
      <c r="AM178" s="167" t="e">
        <f t="shared" si="96"/>
        <v>#DIV/0!</v>
      </c>
      <c r="AN178" s="167" t="e">
        <f t="shared" si="96"/>
        <v>#DIV/0!</v>
      </c>
      <c r="AO178" s="167" t="e">
        <f t="shared" si="96"/>
        <v>#DIV/0!</v>
      </c>
    </row>
    <row r="179" spans="2:41" x14ac:dyDescent="0.15">
      <c r="B179" s="474"/>
      <c r="C179" s="129" t="s">
        <v>1003</v>
      </c>
      <c r="D179" s="94">
        <f>SUMIFS('caseload data'!E:E,'caseload data'!$D:$D,"TPO",'caseload data'!$A:$A,"North West Region",'caseload data'!$B:$B,"custody")</f>
        <v>0</v>
      </c>
      <c r="E179" s="94">
        <f>SUMIFS('caseload data'!F:F,'caseload data'!$D:$D,"TPO",'caseload data'!$A:$A,"North West Region",'caseload data'!$B:$B,"custody")</f>
        <v>0</v>
      </c>
      <c r="F179" s="94">
        <f>SUMIFS('caseload data'!G:G,'caseload data'!$D:$D,"TPO",'caseload data'!$A:$A,"North West Region",'caseload data'!$B:$B,"custody")</f>
        <v>0</v>
      </c>
      <c r="G179" s="94">
        <f>SUMIFS('caseload data'!H:H,'caseload data'!$D:$D,"TPO",'caseload data'!$A:$A,"North West Region",'caseload data'!$B:$B,"custody")</f>
        <v>0</v>
      </c>
      <c r="H179" s="94">
        <f>SUMIFS('caseload data'!I:I,'caseload data'!$D:$D,"TPO",'caseload data'!$A:$A,"North West Region",'caseload data'!$B:$B,"custody")</f>
        <v>0</v>
      </c>
      <c r="I179" s="94">
        <f>SUMIFS('caseload data'!J:J,'caseload data'!$D:$D,"TPO",'caseload data'!$A:$A,"North West Region",'caseload data'!$B:$B,"custody")</f>
        <v>0</v>
      </c>
      <c r="J179" s="94">
        <f>SUMIFS('caseload data'!K:K,'caseload data'!$D:$D,"TPO",'caseload data'!$A:$A,"North West Region",'caseload data'!$B:$B,"custody")</f>
        <v>0</v>
      </c>
      <c r="K179" s="94">
        <f>SUMIFS('caseload data'!L:L,'caseload data'!$D:$D,"TPO",'caseload data'!$A:$A,"North West Region",'caseload data'!$B:$B,"custody")</f>
        <v>0</v>
      </c>
      <c r="L179" s="94">
        <f>SUMIFS('caseload data'!M:M,'caseload data'!$D:$D,"TPO",'caseload data'!$A:$A,"North West Region",'caseload data'!$B:$B,"custody")</f>
        <v>0</v>
      </c>
      <c r="M179" s="94">
        <f>SUMIFS('caseload data'!N:N,'caseload data'!$D:$D,"TPO",'caseload data'!$A:$A,"North West Region",'caseload data'!$B:$B,"custody")</f>
        <v>0</v>
      </c>
      <c r="N179" s="94">
        <f>SUMIFS('caseload data'!O:O,'caseload data'!$D:$D,"TPO",'caseload data'!$A:$A,"North West Region",'caseload data'!$B:$B,"custody")</f>
        <v>0</v>
      </c>
      <c r="O179" s="94">
        <f>SUMIFS('caseload data'!P:P,'caseload data'!$D:$D,"TPO",'caseload data'!$A:$A,"North West Region",'caseload data'!$B:$B,"custody")</f>
        <v>0</v>
      </c>
      <c r="P179" s="94">
        <f>SUMIFS('caseload data'!Q:Q,'caseload data'!$D:$D,"TPO",'caseload data'!$A:$A,"North West Region",'caseload data'!$B:$B,"custody")</f>
        <v>0</v>
      </c>
      <c r="Q179" s="94">
        <f>SUMIFS('caseload data'!R:R,'caseload data'!$D:$D,"TPO",'caseload data'!$A:$A,"North West Region",'caseload data'!$B:$B,"custody")</f>
        <v>0</v>
      </c>
      <c r="R179" s="94">
        <f>SUMIFS('caseload data'!S:S,'caseload data'!$D:$D,"TPO",'caseload data'!$A:$A,"North West Region",'caseload data'!$B:$B,"custody")</f>
        <v>0</v>
      </c>
      <c r="S179" s="94">
        <f>SUMIFS('caseload data'!T:T,'caseload data'!$D:$D,"TPO",'caseload data'!$A:$A,"North West Region",'caseload data'!$B:$B,"custody")</f>
        <v>0</v>
      </c>
      <c r="T179" s="94">
        <f>SUMIFS('caseload data'!V:V,'caseload data'!D:D,"TPO",'caseload data'!A:A,"North West Region",'caseload data'!B:B,"custody")</f>
        <v>0</v>
      </c>
      <c r="U179" s="64"/>
      <c r="V179" s="64"/>
      <c r="W179" s="474"/>
      <c r="X179" s="129" t="s">
        <v>1003</v>
      </c>
      <c r="Y179" s="167" t="e">
        <f t="shared" si="97"/>
        <v>#DIV/0!</v>
      </c>
      <c r="Z179" s="167" t="e">
        <f t="shared" si="96"/>
        <v>#DIV/0!</v>
      </c>
      <c r="AA179" s="167" t="e">
        <f t="shared" si="96"/>
        <v>#DIV/0!</v>
      </c>
      <c r="AB179" s="167" t="e">
        <f t="shared" si="96"/>
        <v>#DIV/0!</v>
      </c>
      <c r="AC179" s="167" t="e">
        <f t="shared" si="96"/>
        <v>#DIV/0!</v>
      </c>
      <c r="AD179" s="167" t="e">
        <f t="shared" si="96"/>
        <v>#DIV/0!</v>
      </c>
      <c r="AE179" s="167" t="e">
        <f t="shared" si="96"/>
        <v>#DIV/0!</v>
      </c>
      <c r="AF179" s="167" t="e">
        <f t="shared" si="96"/>
        <v>#DIV/0!</v>
      </c>
      <c r="AG179" s="167" t="e">
        <f t="shared" si="96"/>
        <v>#DIV/0!</v>
      </c>
      <c r="AH179" s="167" t="e">
        <f t="shared" si="96"/>
        <v>#DIV/0!</v>
      </c>
      <c r="AI179" s="167" t="e">
        <f t="shared" si="96"/>
        <v>#DIV/0!</v>
      </c>
      <c r="AJ179" s="167" t="e">
        <f t="shared" si="96"/>
        <v>#DIV/0!</v>
      </c>
      <c r="AK179" s="167" t="e">
        <f t="shared" si="96"/>
        <v>#DIV/0!</v>
      </c>
      <c r="AL179" s="167" t="e">
        <f t="shared" si="96"/>
        <v>#DIV/0!</v>
      </c>
      <c r="AM179" s="167" t="e">
        <f t="shared" si="96"/>
        <v>#DIV/0!</v>
      </c>
      <c r="AN179" s="167" t="e">
        <f t="shared" si="96"/>
        <v>#DIV/0!</v>
      </c>
      <c r="AO179" s="167" t="e">
        <f t="shared" si="96"/>
        <v>#DIV/0!</v>
      </c>
    </row>
    <row r="180" spans="2:41" x14ac:dyDescent="0.15">
      <c r="B180" s="474"/>
      <c r="C180" s="129" t="s">
        <v>1004</v>
      </c>
      <c r="D180" s="94">
        <f>SUMIFS('caseload data'!E:E,'caseload data'!$D:$D,"SPO",'caseload data'!$A:$A,"North West Region",'caseload data'!$B:$B,"custody")</f>
        <v>0</v>
      </c>
      <c r="E180" s="94">
        <f>SUMIFS('caseload data'!F:F,'caseload data'!$D:$D,"SPO",'caseload data'!$A:$A,"North West Region",'caseload data'!$B:$B,"custody")</f>
        <v>0</v>
      </c>
      <c r="F180" s="94">
        <f>SUMIFS('caseload data'!G:G,'caseload data'!$D:$D,"SPO",'caseload data'!$A:$A,"North West Region",'caseload data'!$B:$B,"custody")</f>
        <v>0</v>
      </c>
      <c r="G180" s="94">
        <f>SUMIFS('caseload data'!H:H,'caseload data'!$D:$D,"SPO",'caseload data'!$A:$A,"North West Region",'caseload data'!$B:$B,"custody")</f>
        <v>0</v>
      </c>
      <c r="H180" s="94">
        <f>SUMIFS('caseload data'!I:I,'caseload data'!$D:$D,"SPO",'caseload data'!$A:$A,"North West Region",'caseload data'!$B:$B,"custody")</f>
        <v>0</v>
      </c>
      <c r="I180" s="94">
        <f>SUMIFS('caseload data'!J:J,'caseload data'!$D:$D,"SPO",'caseload data'!$A:$A,"North West Region",'caseload data'!$B:$B,"custody")</f>
        <v>0</v>
      </c>
      <c r="J180" s="94">
        <f>SUMIFS('caseload data'!K:K,'caseload data'!$D:$D,"SPO",'caseload data'!$A:$A,"North West Region",'caseload data'!$B:$B,"custody")</f>
        <v>0</v>
      </c>
      <c r="K180" s="94">
        <f>SUMIFS('caseload data'!L:L,'caseload data'!$D:$D,"SPO",'caseload data'!$A:$A,"North West Region",'caseload data'!$B:$B,"custody")</f>
        <v>0</v>
      </c>
      <c r="L180" s="94">
        <f>SUMIFS('caseload data'!M:M,'caseload data'!$D:$D,"SPO",'caseload data'!$A:$A,"North West Region",'caseload data'!$B:$B,"custody")</f>
        <v>0</v>
      </c>
      <c r="M180" s="94">
        <f>SUMIFS('caseload data'!N:N,'caseload data'!$D:$D,"SPO",'caseload data'!$A:$A,"North West Region",'caseload data'!$B:$B,"custody")</f>
        <v>0</v>
      </c>
      <c r="N180" s="94">
        <f>SUMIFS('caseload data'!O:O,'caseload data'!$D:$D,"SPO",'caseload data'!$A:$A,"North West Region",'caseload data'!$B:$B,"custody")</f>
        <v>0</v>
      </c>
      <c r="O180" s="94">
        <f>SUMIFS('caseload data'!P:P,'caseload data'!$D:$D,"SPO",'caseload data'!$A:$A,"North West Region",'caseload data'!$B:$B,"custody")</f>
        <v>0</v>
      </c>
      <c r="P180" s="94">
        <f>SUMIFS('caseload data'!Q:Q,'caseload data'!$D:$D,"SPO",'caseload data'!$A:$A,"North West Region",'caseload data'!$B:$B,"custody")</f>
        <v>0</v>
      </c>
      <c r="Q180" s="94">
        <f>SUMIFS('caseload data'!R:R,'caseload data'!$D:$D,"SPO",'caseload data'!$A:$A,"North West Region",'caseload data'!$B:$B,"custody")</f>
        <v>0</v>
      </c>
      <c r="R180" s="94">
        <f>SUMIFS('caseload data'!S:S,'caseload data'!$D:$D,"SPO",'caseload data'!$A:$A,"North West Region",'caseload data'!$B:$B,"custody")</f>
        <v>0</v>
      </c>
      <c r="S180" s="94">
        <f>SUMIFS('caseload data'!T:T,'caseload data'!$D:$D,"SPO",'caseload data'!$A:$A,"North West Region",'caseload data'!$B:$B,"custody")</f>
        <v>0</v>
      </c>
      <c r="T180" s="94">
        <f>SUMIFS('caseload data'!V:V,'caseload data'!$D:$D,"SPO",'caseload data'!$A:$A,"North West Region",'caseload data'!$B:$B,"custody")</f>
        <v>0</v>
      </c>
      <c r="U180" s="64"/>
      <c r="V180" s="64"/>
      <c r="W180" s="474"/>
      <c r="X180" s="129" t="s">
        <v>1004</v>
      </c>
      <c r="Y180" s="167" t="e">
        <f t="shared" si="97"/>
        <v>#DIV/0!</v>
      </c>
      <c r="Z180" s="167" t="e">
        <f t="shared" si="96"/>
        <v>#DIV/0!</v>
      </c>
      <c r="AA180" s="167" t="e">
        <f t="shared" si="96"/>
        <v>#DIV/0!</v>
      </c>
      <c r="AB180" s="167" t="e">
        <f t="shared" si="96"/>
        <v>#DIV/0!</v>
      </c>
      <c r="AC180" s="167" t="e">
        <f t="shared" si="96"/>
        <v>#DIV/0!</v>
      </c>
      <c r="AD180" s="167" t="e">
        <f t="shared" si="96"/>
        <v>#DIV/0!</v>
      </c>
      <c r="AE180" s="167" t="e">
        <f t="shared" si="96"/>
        <v>#DIV/0!</v>
      </c>
      <c r="AF180" s="167" t="e">
        <f t="shared" si="96"/>
        <v>#DIV/0!</v>
      </c>
      <c r="AG180" s="167" t="e">
        <f t="shared" si="96"/>
        <v>#DIV/0!</v>
      </c>
      <c r="AH180" s="167" t="e">
        <f t="shared" si="96"/>
        <v>#DIV/0!</v>
      </c>
      <c r="AI180" s="167" t="e">
        <f t="shared" si="96"/>
        <v>#DIV/0!</v>
      </c>
      <c r="AJ180" s="167" t="e">
        <f t="shared" si="96"/>
        <v>#DIV/0!</v>
      </c>
      <c r="AK180" s="167" t="e">
        <f t="shared" si="96"/>
        <v>#DIV/0!</v>
      </c>
      <c r="AL180" s="167" t="e">
        <f t="shared" si="96"/>
        <v>#DIV/0!</v>
      </c>
      <c r="AM180" s="167" t="e">
        <f t="shared" si="96"/>
        <v>#DIV/0!</v>
      </c>
      <c r="AN180" s="167" t="e">
        <f t="shared" si="96"/>
        <v>#DIV/0!</v>
      </c>
      <c r="AO180" s="167" t="e">
        <f t="shared" si="96"/>
        <v>#DIV/0!</v>
      </c>
    </row>
    <row r="181" spans="2:41" x14ac:dyDescent="0.15">
      <c r="B181" s="475"/>
      <c r="C181" s="130" t="s">
        <v>1339</v>
      </c>
      <c r="D181" s="94">
        <f>SUMIFS('caseload data'!E:E,'caseload data'!$D:$D,"DMY",'caseload data'!$A:$A,"North West Region",'caseload data'!$B:$B,"custody")</f>
        <v>0</v>
      </c>
      <c r="E181" s="94">
        <f>SUMIFS('caseload data'!F:F,'caseload data'!$D:$D,"DMY",'caseload data'!$A:$A,"North West Region",'caseload data'!$B:$B,"custody")</f>
        <v>0</v>
      </c>
      <c r="F181" s="94">
        <f>SUMIFS('caseload data'!G:G,'caseload data'!$D:$D,"DMY",'caseload data'!$A:$A,"North West Region",'caseload data'!$B:$B,"custody")</f>
        <v>0</v>
      </c>
      <c r="G181" s="94">
        <f>SUMIFS('caseload data'!H:H,'caseload data'!$D:$D,"DMY",'caseload data'!$A:$A,"North West Region",'caseload data'!$B:$B,"custody")</f>
        <v>0</v>
      </c>
      <c r="H181" s="94">
        <f>SUMIFS('caseload data'!I:I,'caseload data'!$D:$D,"DMY",'caseload data'!$A:$A,"North West Region",'caseload data'!$B:$B,"custody")</f>
        <v>0</v>
      </c>
      <c r="I181" s="94">
        <f>SUMIFS('caseload data'!J:J,'caseload data'!$D:$D,"DMY",'caseload data'!$A:$A,"North West Region",'caseload data'!$B:$B,"custody")</f>
        <v>0</v>
      </c>
      <c r="J181" s="94">
        <f>SUMIFS('caseload data'!K:K,'caseload data'!$D:$D,"DMY",'caseload data'!$A:$A,"North West Region",'caseload data'!$B:$B,"custody")</f>
        <v>0</v>
      </c>
      <c r="K181" s="94">
        <f>SUMIFS('caseload data'!L:L,'caseload data'!$D:$D,"DMY",'caseload data'!$A:$A,"North West Region",'caseload data'!$B:$B,"custody")</f>
        <v>0</v>
      </c>
      <c r="L181" s="94">
        <f>SUMIFS('caseload data'!M:M,'caseload data'!$D:$D,"DMY",'caseload data'!$A:$A,"North West Region",'caseload data'!$B:$B,"custody")</f>
        <v>0</v>
      </c>
      <c r="M181" s="94">
        <f>SUMIFS('caseload data'!N:N,'caseload data'!$D:$D,"DMY",'caseload data'!$A:$A,"North West Region",'caseload data'!$B:$B,"custody")</f>
        <v>0</v>
      </c>
      <c r="N181" s="94">
        <f>SUMIFS('caseload data'!O:O,'caseload data'!$D:$D,"DMY",'caseload data'!$A:$A,"North West Region",'caseload data'!$B:$B,"custody")</f>
        <v>0</v>
      </c>
      <c r="O181" s="94">
        <f>SUMIFS('caseload data'!P:P,'caseload data'!$D:$D,"DMY",'caseload data'!$A:$A,"North West Region",'caseload data'!$B:$B,"custody")</f>
        <v>0</v>
      </c>
      <c r="P181" s="94">
        <f>SUMIFS('caseload data'!Q:Q,'caseload data'!$D:$D,"DMY",'caseload data'!$A:$A,"North West Region",'caseload data'!$B:$B,"custody")</f>
        <v>0</v>
      </c>
      <c r="Q181" s="94">
        <f>SUMIFS('caseload data'!R:R,'caseload data'!$D:$D,"DMY",'caseload data'!$A:$A,"North West Region",'caseload data'!$B:$B,"custody")</f>
        <v>0</v>
      </c>
      <c r="R181" s="94">
        <f>SUMIFS('caseload data'!S:S,'caseload data'!$D:$D,"DMY",'caseload data'!$A:$A,"North West Region",'caseload data'!$B:$B,"custody")</f>
        <v>0</v>
      </c>
      <c r="S181" s="94">
        <f>SUMIFS('caseload data'!T:T,'caseload data'!$D:$D,"DMY",'caseload data'!$A:$A,"North West Region",'caseload data'!$B:$B,"custody")</f>
        <v>0</v>
      </c>
      <c r="T181" s="94">
        <f>SUMIFS('caseload data'!V:V,'caseload data'!$D:$D,"DMY",'caseload data'!$A:$A,"North West Region",'caseload data'!$B:$B,"custody")</f>
        <v>0</v>
      </c>
      <c r="U181" s="64"/>
      <c r="V181" s="64"/>
      <c r="W181" s="475"/>
      <c r="X181" s="130" t="s">
        <v>1339</v>
      </c>
      <c r="Y181" s="167" t="e">
        <f t="shared" si="97"/>
        <v>#DIV/0!</v>
      </c>
      <c r="Z181" s="167" t="e">
        <f t="shared" si="96"/>
        <v>#DIV/0!</v>
      </c>
      <c r="AA181" s="167" t="e">
        <f t="shared" si="96"/>
        <v>#DIV/0!</v>
      </c>
      <c r="AB181" s="167" t="e">
        <f t="shared" si="96"/>
        <v>#DIV/0!</v>
      </c>
      <c r="AC181" s="167" t="e">
        <f t="shared" si="96"/>
        <v>#DIV/0!</v>
      </c>
      <c r="AD181" s="167" t="e">
        <f t="shared" si="96"/>
        <v>#DIV/0!</v>
      </c>
      <c r="AE181" s="167" t="e">
        <f t="shared" si="96"/>
        <v>#DIV/0!</v>
      </c>
      <c r="AF181" s="167" t="e">
        <f t="shared" si="96"/>
        <v>#DIV/0!</v>
      </c>
      <c r="AG181" s="167" t="e">
        <f t="shared" si="96"/>
        <v>#DIV/0!</v>
      </c>
      <c r="AH181" s="167" t="e">
        <f t="shared" si="96"/>
        <v>#DIV/0!</v>
      </c>
      <c r="AI181" s="167" t="e">
        <f t="shared" si="96"/>
        <v>#DIV/0!</v>
      </c>
      <c r="AJ181" s="167" t="e">
        <f t="shared" si="96"/>
        <v>#DIV/0!</v>
      </c>
      <c r="AK181" s="167" t="e">
        <f t="shared" si="96"/>
        <v>#DIV/0!</v>
      </c>
      <c r="AL181" s="167" t="e">
        <f t="shared" si="96"/>
        <v>#DIV/0!</v>
      </c>
      <c r="AM181" s="167" t="e">
        <f t="shared" si="96"/>
        <v>#DIV/0!</v>
      </c>
      <c r="AN181" s="167" t="e">
        <f t="shared" si="96"/>
        <v>#DIV/0!</v>
      </c>
      <c r="AO181" s="167" t="e">
        <f t="shared" si="96"/>
        <v>#DIV/0!</v>
      </c>
    </row>
    <row r="182" spans="2:41" x14ac:dyDescent="0.15">
      <c r="B182" s="473" t="s">
        <v>24</v>
      </c>
      <c r="C182" s="128" t="s">
        <v>997</v>
      </c>
      <c r="D182" s="94">
        <f>SUMIFS('caseload data'!E:E,'caseload data'!$D:$D,"PO",'caseload data'!$A:$A,'national caseload'!$B$182:$B$184,'caseload data'!$B:$B,"custody")</f>
        <v>0</v>
      </c>
      <c r="E182" s="94">
        <f>SUMIFS('caseload data'!F:F,'caseload data'!$D:$D,"PO",'caseload data'!$A:$A,'national caseload'!$B$182:$B$184,'caseload data'!$B:$B,"custody")</f>
        <v>0</v>
      </c>
      <c r="F182" s="94">
        <f>SUMIFS('caseload data'!G:G,'caseload data'!$D:$D,"PO",'caseload data'!$A:$A,'national caseload'!$B$182:$B$184,'caseload data'!$B:$B,"custody")</f>
        <v>0</v>
      </c>
      <c r="G182" s="94">
        <f>SUMIFS('caseload data'!H:H,'caseload data'!$D:$D,"PO",'caseload data'!$A:$A,'national caseload'!$B$182:$B$184,'caseload data'!$B:$B,"custody")</f>
        <v>0</v>
      </c>
      <c r="H182" s="94">
        <f>SUMIFS('caseload data'!I:I,'caseload data'!$D:$D,"PO",'caseload data'!$A:$A,'national caseload'!$B$182:$B$184,'caseload data'!$B:$B,"custody")</f>
        <v>0</v>
      </c>
      <c r="I182" s="94">
        <f>SUMIFS('caseload data'!J:J,'caseload data'!$D:$D,"PO",'caseload data'!$A:$A,'national caseload'!$B$182:$B$184,'caseload data'!$B:$B,"custody")</f>
        <v>0</v>
      </c>
      <c r="J182" s="94">
        <f>SUMIFS('caseload data'!K:K,'caseload data'!$D:$D,"PO",'caseload data'!$A:$A,'national caseload'!$B$182:$B$184,'caseload data'!$B:$B,"custody")</f>
        <v>0</v>
      </c>
      <c r="K182" s="94">
        <f>SUMIFS('caseload data'!L:L,'caseload data'!$D:$D,"PO",'caseload data'!$A:$A,'national caseload'!$B$182:$B$184,'caseload data'!$B:$B,"custody")</f>
        <v>0</v>
      </c>
      <c r="L182" s="94">
        <f>SUMIFS('caseload data'!M:M,'caseload data'!$D:$D,"PO",'caseload data'!$A:$A,'national caseload'!$B$182:$B$184,'caseload data'!$B:$B,"custody")</f>
        <v>0</v>
      </c>
      <c r="M182" s="94">
        <f>SUMIFS('caseload data'!N:N,'caseload data'!$D:$D,"PO",'caseload data'!$A:$A,'national caseload'!$B$182:$B$184,'caseload data'!$B:$B,"custody")</f>
        <v>0</v>
      </c>
      <c r="N182" s="94">
        <f>SUMIFS('caseload data'!O:O,'caseload data'!$D:$D,"PO",'caseload data'!$A:$A,'national caseload'!$B$182:$B$184,'caseload data'!$B:$B,"custody")</f>
        <v>0</v>
      </c>
      <c r="O182" s="94">
        <f>SUMIFS('caseload data'!P:P,'caseload data'!$D:$D,"PO",'caseload data'!$A:$A,'national caseload'!$B$182:$B$184,'caseload data'!$B:$B,"custody")</f>
        <v>0</v>
      </c>
      <c r="P182" s="94">
        <f>SUMIFS('caseload data'!Q:Q,'caseload data'!$D:$D,"PO",'caseload data'!$A:$A,'national caseload'!$B$182:$B$184,'caseload data'!$B:$B,"custody")</f>
        <v>0</v>
      </c>
      <c r="Q182" s="94">
        <f>SUMIFS('caseload data'!R:R,'caseload data'!$D:$D,"PO",'caseload data'!$A:$A,'national caseload'!$B$182:$B$184,'caseload data'!$B:$B,"custody")</f>
        <v>0</v>
      </c>
      <c r="R182" s="94">
        <f>SUMIFS('caseload data'!S:S,'caseload data'!$D:$D,"PO",'caseload data'!$A:$A,'national caseload'!$B$182:$B$184,'caseload data'!$B:$B,"custody")</f>
        <v>0</v>
      </c>
      <c r="S182" s="94">
        <f>SUMIFS('caseload data'!T:T,'caseload data'!$D:$D,"PO",'caseload data'!$A:$A,'national caseload'!$B$182:$B$184,'caseload data'!$B:$B,"custody")</f>
        <v>0</v>
      </c>
      <c r="T182" s="94">
        <f>SUMIFS('caseload data'!V:V,'caseload data'!D:D,"PO",'caseload data'!A:A,'national caseload'!B182:B184,'caseload data'!B:B,"custody")</f>
        <v>0</v>
      </c>
      <c r="U182" s="64"/>
      <c r="V182" s="64"/>
      <c r="W182" s="473" t="s">
        <v>24</v>
      </c>
      <c r="X182" s="128" t="s">
        <v>997</v>
      </c>
      <c r="Y182" s="167" t="e">
        <f>SUM(D182)/SUM(D$182:D$185)</f>
        <v>#DIV/0!</v>
      </c>
      <c r="Z182" s="167" t="e">
        <f t="shared" ref="Z182:AO186" si="98">SUM(E182)/SUM(E$182:E$185)</f>
        <v>#DIV/0!</v>
      </c>
      <c r="AA182" s="167" t="e">
        <f t="shared" si="98"/>
        <v>#DIV/0!</v>
      </c>
      <c r="AB182" s="167" t="e">
        <f t="shared" si="98"/>
        <v>#DIV/0!</v>
      </c>
      <c r="AC182" s="167" t="e">
        <f t="shared" si="98"/>
        <v>#DIV/0!</v>
      </c>
      <c r="AD182" s="167" t="e">
        <f t="shared" si="98"/>
        <v>#DIV/0!</v>
      </c>
      <c r="AE182" s="167" t="e">
        <f t="shared" si="98"/>
        <v>#DIV/0!</v>
      </c>
      <c r="AF182" s="167" t="e">
        <f t="shared" si="98"/>
        <v>#DIV/0!</v>
      </c>
      <c r="AG182" s="167" t="e">
        <f t="shared" si="98"/>
        <v>#DIV/0!</v>
      </c>
      <c r="AH182" s="167" t="e">
        <f t="shared" si="98"/>
        <v>#DIV/0!</v>
      </c>
      <c r="AI182" s="167" t="e">
        <f t="shared" si="98"/>
        <v>#DIV/0!</v>
      </c>
      <c r="AJ182" s="167" t="e">
        <f t="shared" si="98"/>
        <v>#DIV/0!</v>
      </c>
      <c r="AK182" s="167" t="e">
        <f t="shared" si="98"/>
        <v>#DIV/0!</v>
      </c>
      <c r="AL182" s="167" t="e">
        <f t="shared" si="98"/>
        <v>#DIV/0!</v>
      </c>
      <c r="AM182" s="167" t="e">
        <f t="shared" si="98"/>
        <v>#DIV/0!</v>
      </c>
      <c r="AN182" s="167" t="e">
        <f t="shared" si="98"/>
        <v>#DIV/0!</v>
      </c>
      <c r="AO182" s="167" t="e">
        <f t="shared" si="98"/>
        <v>#DIV/0!</v>
      </c>
    </row>
    <row r="183" spans="2:41" x14ac:dyDescent="0.15">
      <c r="B183" s="474"/>
      <c r="C183" s="129" t="s">
        <v>1002</v>
      </c>
      <c r="D183" s="94">
        <f>SUMIFS('caseload data'!E:E,'caseload data'!$D:$D,"PSO",'caseload data'!$A:$A,"South Central",'caseload data'!$B:$B,"custody")</f>
        <v>0</v>
      </c>
      <c r="E183" s="94">
        <f>SUMIFS('caseload data'!F:F,'caseload data'!$D:$D,"PSO",'caseload data'!$A:$A,"South Central",'caseload data'!$B:$B,"custody")</f>
        <v>0</v>
      </c>
      <c r="F183" s="94">
        <f>SUMIFS('caseload data'!G:G,'caseload data'!$D:$D,"PSO",'caseload data'!$A:$A,"South Central",'caseload data'!$B:$B,"custody")</f>
        <v>0</v>
      </c>
      <c r="G183" s="94">
        <f>SUMIFS('caseload data'!H:H,'caseload data'!$D:$D,"PSO",'caseload data'!$A:$A,"South Central",'caseload data'!$B:$B,"custody")</f>
        <v>0</v>
      </c>
      <c r="H183" s="94">
        <f>SUMIFS('caseload data'!I:I,'caseload data'!$D:$D,"PSO",'caseload data'!$A:$A,"South Central",'caseload data'!$B:$B,"custody")</f>
        <v>0</v>
      </c>
      <c r="I183" s="94">
        <f>SUMIFS('caseload data'!J:J,'caseload data'!$D:$D,"PSO",'caseload data'!$A:$A,"South Central",'caseload data'!$B:$B,"custody")</f>
        <v>0</v>
      </c>
      <c r="J183" s="94">
        <f>SUMIFS('caseload data'!K:K,'caseload data'!$D:$D,"PSO",'caseload data'!$A:$A,"South Central",'caseload data'!$B:$B,"custody")</f>
        <v>0</v>
      </c>
      <c r="K183" s="94">
        <f>SUMIFS('caseload data'!L:L,'caseload data'!$D:$D,"PSO",'caseload data'!$A:$A,"South Central",'caseload data'!$B:$B,"custody")</f>
        <v>0</v>
      </c>
      <c r="L183" s="94">
        <f>SUMIFS('caseload data'!M:M,'caseload data'!$D:$D,"PSO",'caseload data'!$A:$A,"South Central",'caseload data'!$B:$B,"custody")</f>
        <v>0</v>
      </c>
      <c r="M183" s="94">
        <f>SUMIFS('caseload data'!N:N,'caseload data'!$D:$D,"PSO",'caseload data'!$A:$A,"South Central",'caseload data'!$B:$B,"custody")</f>
        <v>0</v>
      </c>
      <c r="N183" s="94">
        <f>SUMIFS('caseload data'!O:O,'caseload data'!$D:$D,"PSO",'caseload data'!$A:$A,"South Central",'caseload data'!$B:$B,"custody")</f>
        <v>0</v>
      </c>
      <c r="O183" s="94">
        <f>SUMIFS('caseload data'!P:P,'caseload data'!$D:$D,"PSO",'caseload data'!$A:$A,"South Central",'caseload data'!$B:$B,"custody")</f>
        <v>0</v>
      </c>
      <c r="P183" s="94">
        <f>SUMIFS('caseload data'!Q:Q,'caseload data'!$D:$D,"PSO",'caseload data'!$A:$A,"South Central",'caseload data'!$B:$B,"custody")</f>
        <v>0</v>
      </c>
      <c r="Q183" s="94">
        <f>SUMIFS('caseload data'!R:R,'caseload data'!$D:$D,"PSO",'caseload data'!$A:$A,"South Central",'caseload data'!$B:$B,"custody")</f>
        <v>0</v>
      </c>
      <c r="R183" s="94">
        <f>SUMIFS('caseload data'!S:S,'caseload data'!$D:$D,"PSO",'caseload data'!$A:$A,"South Central",'caseload data'!$B:$B,"custody")</f>
        <v>0</v>
      </c>
      <c r="S183" s="94">
        <f>SUMIFS('caseload data'!T:T,'caseload data'!$D:$D,"PSO",'caseload data'!$A:$A,"South Central",'caseload data'!$B:$B,"custody")</f>
        <v>0</v>
      </c>
      <c r="T183" s="94">
        <f>SUMIFS('caseload data'!V:V,'caseload data'!D:D,"PSO",'caseload data'!A:A,"South Central",'caseload data'!B:B,"custody")</f>
        <v>0</v>
      </c>
      <c r="U183" s="64"/>
      <c r="V183" s="64"/>
      <c r="W183" s="474"/>
      <c r="X183" s="129" t="s">
        <v>1002</v>
      </c>
      <c r="Y183" s="167" t="e">
        <f t="shared" ref="Y183:Y186" si="99">SUM(D183)/SUM(D$182:D$185)</f>
        <v>#DIV/0!</v>
      </c>
      <c r="Z183" s="167" t="e">
        <f t="shared" si="98"/>
        <v>#DIV/0!</v>
      </c>
      <c r="AA183" s="167" t="e">
        <f t="shared" si="98"/>
        <v>#DIV/0!</v>
      </c>
      <c r="AB183" s="167" t="e">
        <f t="shared" si="98"/>
        <v>#DIV/0!</v>
      </c>
      <c r="AC183" s="167" t="e">
        <f t="shared" si="98"/>
        <v>#DIV/0!</v>
      </c>
      <c r="AD183" s="167" t="e">
        <f t="shared" si="98"/>
        <v>#DIV/0!</v>
      </c>
      <c r="AE183" s="167" t="e">
        <f t="shared" si="98"/>
        <v>#DIV/0!</v>
      </c>
      <c r="AF183" s="167" t="e">
        <f t="shared" si="98"/>
        <v>#DIV/0!</v>
      </c>
      <c r="AG183" s="167" t="e">
        <f t="shared" si="98"/>
        <v>#DIV/0!</v>
      </c>
      <c r="AH183" s="167" t="e">
        <f t="shared" si="98"/>
        <v>#DIV/0!</v>
      </c>
      <c r="AI183" s="167" t="e">
        <f t="shared" si="98"/>
        <v>#DIV/0!</v>
      </c>
      <c r="AJ183" s="167" t="e">
        <f t="shared" si="98"/>
        <v>#DIV/0!</v>
      </c>
      <c r="AK183" s="167" t="e">
        <f t="shared" si="98"/>
        <v>#DIV/0!</v>
      </c>
      <c r="AL183" s="167" t="e">
        <f t="shared" si="98"/>
        <v>#DIV/0!</v>
      </c>
      <c r="AM183" s="167" t="e">
        <f t="shared" si="98"/>
        <v>#DIV/0!</v>
      </c>
      <c r="AN183" s="167" t="e">
        <f t="shared" si="98"/>
        <v>#DIV/0!</v>
      </c>
      <c r="AO183" s="167" t="e">
        <f t="shared" si="98"/>
        <v>#DIV/0!</v>
      </c>
    </row>
    <row r="184" spans="2:41" x14ac:dyDescent="0.15">
      <c r="B184" s="474"/>
      <c r="C184" s="129" t="s">
        <v>1003</v>
      </c>
      <c r="D184" s="94">
        <f>SUMIFS('caseload data'!E:E,'caseload data'!$D:$D,"TPO",'caseload data'!$A:$A,"South Central",'caseload data'!$B:$B,"custody")</f>
        <v>0</v>
      </c>
      <c r="E184" s="94">
        <f>SUMIFS('caseload data'!F:F,'caseload data'!$D:$D,"TPO",'caseload data'!$A:$A,"South Central",'caseload data'!$B:$B,"custody")</f>
        <v>0</v>
      </c>
      <c r="F184" s="94">
        <f>SUMIFS('caseload data'!G:G,'caseload data'!$D:$D,"TPO",'caseload data'!$A:$A,"South Central",'caseload data'!$B:$B,"custody")</f>
        <v>0</v>
      </c>
      <c r="G184" s="94">
        <f>SUMIFS('caseload data'!H:H,'caseload data'!$D:$D,"TPO",'caseload data'!$A:$A,"South Central",'caseload data'!$B:$B,"custody")</f>
        <v>0</v>
      </c>
      <c r="H184" s="94">
        <f>SUMIFS('caseload data'!I:I,'caseload data'!$D:$D,"TPO",'caseload data'!$A:$A,"South Central",'caseload data'!$B:$B,"custody")</f>
        <v>0</v>
      </c>
      <c r="I184" s="94">
        <f>SUMIFS('caseload data'!J:J,'caseload data'!$D:$D,"TPO",'caseload data'!$A:$A,"South Central",'caseload data'!$B:$B,"custody")</f>
        <v>0</v>
      </c>
      <c r="J184" s="94">
        <f>SUMIFS('caseload data'!K:K,'caseload data'!$D:$D,"TPO",'caseload data'!$A:$A,"South Central",'caseload data'!$B:$B,"custody")</f>
        <v>0</v>
      </c>
      <c r="K184" s="94">
        <f>SUMIFS('caseload data'!L:L,'caseload data'!$D:$D,"TPO",'caseload data'!$A:$A,"South Central",'caseload data'!$B:$B,"custody")</f>
        <v>0</v>
      </c>
      <c r="L184" s="94">
        <f>SUMIFS('caseload data'!M:M,'caseload data'!$D:$D,"TPO",'caseload data'!$A:$A,"South Central",'caseload data'!$B:$B,"custody")</f>
        <v>0</v>
      </c>
      <c r="M184" s="94">
        <f>SUMIFS('caseload data'!N:N,'caseload data'!$D:$D,"TPO",'caseload data'!$A:$A,"South Central",'caseload data'!$B:$B,"custody")</f>
        <v>0</v>
      </c>
      <c r="N184" s="94">
        <f>SUMIFS('caseload data'!O:O,'caseload data'!$D:$D,"TPO",'caseload data'!$A:$A,"South Central",'caseload data'!$B:$B,"custody")</f>
        <v>0</v>
      </c>
      <c r="O184" s="94">
        <f>SUMIFS('caseload data'!P:P,'caseload data'!$D:$D,"TPO",'caseload data'!$A:$A,"South Central",'caseload data'!$B:$B,"custody")</f>
        <v>0</v>
      </c>
      <c r="P184" s="94">
        <f>SUMIFS('caseload data'!Q:Q,'caseload data'!$D:$D,"TPO",'caseload data'!$A:$A,"South Central",'caseload data'!$B:$B,"custody")</f>
        <v>0</v>
      </c>
      <c r="Q184" s="94">
        <f>SUMIFS('caseload data'!R:R,'caseload data'!$D:$D,"TPO",'caseload data'!$A:$A,"South Central",'caseload data'!$B:$B,"custody")</f>
        <v>0</v>
      </c>
      <c r="R184" s="94">
        <f>SUMIFS('caseload data'!S:S,'caseload data'!$D:$D,"TPO",'caseload data'!$A:$A,"South Central",'caseload data'!$B:$B,"custody")</f>
        <v>0</v>
      </c>
      <c r="S184" s="94">
        <f>SUMIFS('caseload data'!T:T,'caseload data'!$D:$D,"TPO",'caseload data'!$A:$A,"South Central",'caseload data'!$B:$B,"custody")</f>
        <v>0</v>
      </c>
      <c r="T184" s="94">
        <f>SUMIFS('caseload data'!V:V,'caseload data'!D:D,"TPO",'caseload data'!A:A,"South Central",'caseload data'!B:B,"custody")</f>
        <v>0</v>
      </c>
      <c r="U184" s="64"/>
      <c r="V184" s="64"/>
      <c r="W184" s="474"/>
      <c r="X184" s="129" t="s">
        <v>1003</v>
      </c>
      <c r="Y184" s="167" t="e">
        <f t="shared" si="99"/>
        <v>#DIV/0!</v>
      </c>
      <c r="Z184" s="167" t="e">
        <f t="shared" si="98"/>
        <v>#DIV/0!</v>
      </c>
      <c r="AA184" s="167" t="e">
        <f t="shared" si="98"/>
        <v>#DIV/0!</v>
      </c>
      <c r="AB184" s="167" t="e">
        <f t="shared" si="98"/>
        <v>#DIV/0!</v>
      </c>
      <c r="AC184" s="167" t="e">
        <f t="shared" si="98"/>
        <v>#DIV/0!</v>
      </c>
      <c r="AD184" s="167" t="e">
        <f t="shared" si="98"/>
        <v>#DIV/0!</v>
      </c>
      <c r="AE184" s="167" t="e">
        <f t="shared" si="98"/>
        <v>#DIV/0!</v>
      </c>
      <c r="AF184" s="167" t="e">
        <f t="shared" si="98"/>
        <v>#DIV/0!</v>
      </c>
      <c r="AG184" s="167" t="e">
        <f t="shared" si="98"/>
        <v>#DIV/0!</v>
      </c>
      <c r="AH184" s="167" t="e">
        <f t="shared" si="98"/>
        <v>#DIV/0!</v>
      </c>
      <c r="AI184" s="167" t="e">
        <f t="shared" si="98"/>
        <v>#DIV/0!</v>
      </c>
      <c r="AJ184" s="167" t="e">
        <f t="shared" si="98"/>
        <v>#DIV/0!</v>
      </c>
      <c r="AK184" s="167" t="e">
        <f t="shared" si="98"/>
        <v>#DIV/0!</v>
      </c>
      <c r="AL184" s="167" t="e">
        <f t="shared" si="98"/>
        <v>#DIV/0!</v>
      </c>
      <c r="AM184" s="167" t="e">
        <f t="shared" si="98"/>
        <v>#DIV/0!</v>
      </c>
      <c r="AN184" s="167" t="e">
        <f t="shared" si="98"/>
        <v>#DIV/0!</v>
      </c>
      <c r="AO184" s="167" t="e">
        <f t="shared" si="98"/>
        <v>#DIV/0!</v>
      </c>
    </row>
    <row r="185" spans="2:41" x14ac:dyDescent="0.15">
      <c r="B185" s="474"/>
      <c r="C185" s="129" t="s">
        <v>1004</v>
      </c>
      <c r="D185" s="94">
        <f>SUMIFS('caseload data'!E:E,'caseload data'!$D:$D,"SPO",'caseload data'!$A:$A,"South Central",'caseload data'!$B:$B,"custody")</f>
        <v>0</v>
      </c>
      <c r="E185" s="94">
        <f>SUMIFS('caseload data'!F:F,'caseload data'!$D:$D,"SPO",'caseload data'!$A:$A,"South Central",'caseload data'!$B:$B,"custody")</f>
        <v>0</v>
      </c>
      <c r="F185" s="94">
        <f>SUMIFS('caseload data'!G:G,'caseload data'!$D:$D,"SPO",'caseload data'!$A:$A,"South Central",'caseload data'!$B:$B,"custody")</f>
        <v>0</v>
      </c>
      <c r="G185" s="94">
        <f>SUMIFS('caseload data'!H:H,'caseload data'!$D:$D,"SPO",'caseload data'!$A:$A,"South Central",'caseload data'!$B:$B,"custody")</f>
        <v>0</v>
      </c>
      <c r="H185" s="94">
        <f>SUMIFS('caseload data'!I:I,'caseload data'!$D:$D,"SPO",'caseload data'!$A:$A,"South Central",'caseload data'!$B:$B,"custody")</f>
        <v>0</v>
      </c>
      <c r="I185" s="94">
        <f>SUMIFS('caseload data'!J:J,'caseload data'!$D:$D,"SPO",'caseload data'!$A:$A,"South Central",'caseload data'!$B:$B,"custody")</f>
        <v>0</v>
      </c>
      <c r="J185" s="94">
        <f>SUMIFS('caseload data'!K:K,'caseload data'!$D:$D,"SPO",'caseload data'!$A:$A,"South Central",'caseload data'!$B:$B,"custody")</f>
        <v>0</v>
      </c>
      <c r="K185" s="94">
        <f>SUMIFS('caseload data'!L:L,'caseload data'!$D:$D,"SPO",'caseload data'!$A:$A,"South Central",'caseload data'!$B:$B,"custody")</f>
        <v>0</v>
      </c>
      <c r="L185" s="94">
        <f>SUMIFS('caseload data'!M:M,'caseload data'!$D:$D,"SPO",'caseload data'!$A:$A,"South Central",'caseload data'!$B:$B,"custody")</f>
        <v>0</v>
      </c>
      <c r="M185" s="94">
        <f>SUMIFS('caseload data'!N:N,'caseload data'!$D:$D,"SPO",'caseload data'!$A:$A,"South Central",'caseload data'!$B:$B,"custody")</f>
        <v>0</v>
      </c>
      <c r="N185" s="94">
        <f>SUMIFS('caseload data'!O:O,'caseload data'!$D:$D,"SPO",'caseload data'!$A:$A,"South Central",'caseload data'!$B:$B,"custody")</f>
        <v>0</v>
      </c>
      <c r="O185" s="94">
        <f>SUMIFS('caseload data'!P:P,'caseload data'!$D:$D,"SPO",'caseload data'!$A:$A,"South Central",'caseload data'!$B:$B,"custody")</f>
        <v>0</v>
      </c>
      <c r="P185" s="94">
        <f>SUMIFS('caseload data'!Q:Q,'caseload data'!$D:$D,"SPO",'caseload data'!$A:$A,"South Central",'caseload data'!$B:$B,"custody")</f>
        <v>0</v>
      </c>
      <c r="Q185" s="94">
        <f>SUMIFS('caseload data'!R:R,'caseload data'!$D:$D,"SPO",'caseload data'!$A:$A,"South Central",'caseload data'!$B:$B,"custody")</f>
        <v>0</v>
      </c>
      <c r="R185" s="94">
        <f>SUMIFS('caseload data'!S:S,'caseload data'!$D:$D,"SPO",'caseload data'!$A:$A,"South Central",'caseload data'!$B:$B,"custody")</f>
        <v>0</v>
      </c>
      <c r="S185" s="94">
        <f>SUMIFS('caseload data'!T:T,'caseload data'!$D:$D,"SPO",'caseload data'!$A:$A,"South Central",'caseload data'!$B:$B,"custody")</f>
        <v>0</v>
      </c>
      <c r="T185" s="94">
        <f>SUMIFS('caseload data'!V:V,'caseload data'!$D:$D,"SPO",'caseload data'!$A:$A,"South Central",'caseload data'!$B:$B,"custody")</f>
        <v>0</v>
      </c>
      <c r="U185" s="64"/>
      <c r="V185" s="64"/>
      <c r="W185" s="474"/>
      <c r="X185" s="129" t="s">
        <v>1004</v>
      </c>
      <c r="Y185" s="167" t="e">
        <f t="shared" si="99"/>
        <v>#DIV/0!</v>
      </c>
      <c r="Z185" s="167" t="e">
        <f t="shared" si="98"/>
        <v>#DIV/0!</v>
      </c>
      <c r="AA185" s="167" t="e">
        <f t="shared" si="98"/>
        <v>#DIV/0!</v>
      </c>
      <c r="AB185" s="167" t="e">
        <f t="shared" si="98"/>
        <v>#DIV/0!</v>
      </c>
      <c r="AC185" s="167" t="e">
        <f t="shared" si="98"/>
        <v>#DIV/0!</v>
      </c>
      <c r="AD185" s="167" t="e">
        <f t="shared" si="98"/>
        <v>#DIV/0!</v>
      </c>
      <c r="AE185" s="167" t="e">
        <f t="shared" si="98"/>
        <v>#DIV/0!</v>
      </c>
      <c r="AF185" s="167" t="e">
        <f t="shared" si="98"/>
        <v>#DIV/0!</v>
      </c>
      <c r="AG185" s="167" t="e">
        <f t="shared" si="98"/>
        <v>#DIV/0!</v>
      </c>
      <c r="AH185" s="167" t="e">
        <f t="shared" si="98"/>
        <v>#DIV/0!</v>
      </c>
      <c r="AI185" s="167" t="e">
        <f t="shared" si="98"/>
        <v>#DIV/0!</v>
      </c>
      <c r="AJ185" s="167" t="e">
        <f t="shared" si="98"/>
        <v>#DIV/0!</v>
      </c>
      <c r="AK185" s="167" t="e">
        <f t="shared" si="98"/>
        <v>#DIV/0!</v>
      </c>
      <c r="AL185" s="167" t="e">
        <f t="shared" si="98"/>
        <v>#DIV/0!</v>
      </c>
      <c r="AM185" s="167" t="e">
        <f t="shared" si="98"/>
        <v>#DIV/0!</v>
      </c>
      <c r="AN185" s="167" t="e">
        <f t="shared" si="98"/>
        <v>#DIV/0!</v>
      </c>
      <c r="AO185" s="167" t="e">
        <f t="shared" si="98"/>
        <v>#DIV/0!</v>
      </c>
    </row>
    <row r="186" spans="2:41" x14ac:dyDescent="0.15">
      <c r="B186" s="475"/>
      <c r="C186" s="130" t="s">
        <v>1339</v>
      </c>
      <c r="D186" s="94">
        <f>SUMIFS('caseload data'!E:E,'caseload data'!$D:$D,"DMY",'caseload data'!$A:$A,"South Central",'caseload data'!$B:$B,"custody")</f>
        <v>0</v>
      </c>
      <c r="E186" s="94">
        <f>SUMIFS('caseload data'!F:F,'caseload data'!$D:$D,"DMY",'caseload data'!$A:$A,"South Central",'caseload data'!$B:$B,"custody")</f>
        <v>0</v>
      </c>
      <c r="F186" s="94">
        <f>SUMIFS('caseload data'!G:G,'caseload data'!$D:$D,"DMY",'caseload data'!$A:$A,"South Central",'caseload data'!$B:$B,"custody")</f>
        <v>0</v>
      </c>
      <c r="G186" s="94">
        <f>SUMIFS('caseload data'!H:H,'caseload data'!$D:$D,"DMY",'caseload data'!$A:$A,"South Central",'caseload data'!$B:$B,"custody")</f>
        <v>0</v>
      </c>
      <c r="H186" s="94">
        <f>SUMIFS('caseload data'!I:I,'caseload data'!$D:$D,"DMY",'caseload data'!$A:$A,"South Central",'caseload data'!$B:$B,"custody")</f>
        <v>0</v>
      </c>
      <c r="I186" s="94">
        <f>SUMIFS('caseload data'!J:J,'caseload data'!$D:$D,"DMY",'caseload data'!$A:$A,"South Central",'caseload data'!$B:$B,"custody")</f>
        <v>0</v>
      </c>
      <c r="J186" s="94">
        <f>SUMIFS('caseload data'!K:K,'caseload data'!$D:$D,"DMY",'caseload data'!$A:$A,"South Central",'caseload data'!$B:$B,"custody")</f>
        <v>0</v>
      </c>
      <c r="K186" s="94">
        <f>SUMIFS('caseload data'!L:L,'caseload data'!$D:$D,"DMY",'caseload data'!$A:$A,"South Central",'caseload data'!$B:$B,"custody")</f>
        <v>0</v>
      </c>
      <c r="L186" s="94">
        <f>SUMIFS('caseload data'!M:M,'caseload data'!$D:$D,"DMY",'caseload data'!$A:$A,"South Central",'caseload data'!$B:$B,"custody")</f>
        <v>0</v>
      </c>
      <c r="M186" s="94">
        <f>SUMIFS('caseload data'!N:N,'caseload data'!$D:$D,"DMY",'caseload data'!$A:$A,"South Central",'caseload data'!$B:$B,"custody")</f>
        <v>0</v>
      </c>
      <c r="N186" s="94">
        <f>SUMIFS('caseload data'!O:O,'caseload data'!$D:$D,"DMY",'caseload data'!$A:$A,"South Central",'caseload data'!$B:$B,"custody")</f>
        <v>0</v>
      </c>
      <c r="O186" s="94">
        <f>SUMIFS('caseload data'!P:P,'caseload data'!$D:$D,"DMY",'caseload data'!$A:$A,"South Central",'caseload data'!$B:$B,"custody")</f>
        <v>0</v>
      </c>
      <c r="P186" s="94">
        <f>SUMIFS('caseload data'!Q:Q,'caseload data'!$D:$D,"DMY",'caseload data'!$A:$A,"South Central",'caseload data'!$B:$B,"custody")</f>
        <v>0</v>
      </c>
      <c r="Q186" s="94">
        <f>SUMIFS('caseload data'!R:R,'caseload data'!$D:$D,"DMY",'caseload data'!$A:$A,"South Central",'caseload data'!$B:$B,"custody")</f>
        <v>0</v>
      </c>
      <c r="R186" s="94">
        <f>SUMIFS('caseload data'!S:S,'caseload data'!$D:$D,"DMY",'caseload data'!$A:$A,"South Central",'caseload data'!$B:$B,"custody")</f>
        <v>0</v>
      </c>
      <c r="S186" s="94">
        <f>SUMIFS('caseload data'!T:T,'caseload data'!$D:$D,"DMY",'caseload data'!$A:$A,"South Central",'caseload data'!$B:$B,"custody")</f>
        <v>0</v>
      </c>
      <c r="T186" s="94">
        <f>SUMIFS('caseload data'!V:V,'caseload data'!$D:$D,"DMY",'caseload data'!$A:$A,"South Central",'caseload data'!$B:$B,"custody")</f>
        <v>0</v>
      </c>
      <c r="U186" s="64"/>
      <c r="V186" s="64"/>
      <c r="W186" s="475"/>
      <c r="X186" s="130" t="s">
        <v>1339</v>
      </c>
      <c r="Y186" s="167" t="e">
        <f t="shared" si="99"/>
        <v>#DIV/0!</v>
      </c>
      <c r="Z186" s="167" t="e">
        <f t="shared" si="98"/>
        <v>#DIV/0!</v>
      </c>
      <c r="AA186" s="167" t="e">
        <f t="shared" si="98"/>
        <v>#DIV/0!</v>
      </c>
      <c r="AB186" s="167" t="e">
        <f t="shared" si="98"/>
        <v>#DIV/0!</v>
      </c>
      <c r="AC186" s="167" t="e">
        <f t="shared" si="98"/>
        <v>#DIV/0!</v>
      </c>
      <c r="AD186" s="167" t="e">
        <f t="shared" si="98"/>
        <v>#DIV/0!</v>
      </c>
      <c r="AE186" s="167" t="e">
        <f t="shared" si="98"/>
        <v>#DIV/0!</v>
      </c>
      <c r="AF186" s="167" t="e">
        <f t="shared" si="98"/>
        <v>#DIV/0!</v>
      </c>
      <c r="AG186" s="167" t="e">
        <f t="shared" si="98"/>
        <v>#DIV/0!</v>
      </c>
      <c r="AH186" s="167" t="e">
        <f t="shared" si="98"/>
        <v>#DIV/0!</v>
      </c>
      <c r="AI186" s="167" t="e">
        <f t="shared" si="98"/>
        <v>#DIV/0!</v>
      </c>
      <c r="AJ186" s="167" t="e">
        <f t="shared" si="98"/>
        <v>#DIV/0!</v>
      </c>
      <c r="AK186" s="167" t="e">
        <f t="shared" si="98"/>
        <v>#DIV/0!</v>
      </c>
      <c r="AL186" s="167" t="e">
        <f t="shared" si="98"/>
        <v>#DIV/0!</v>
      </c>
      <c r="AM186" s="167" t="e">
        <f t="shared" si="98"/>
        <v>#DIV/0!</v>
      </c>
      <c r="AN186" s="167" t="e">
        <f t="shared" si="98"/>
        <v>#DIV/0!</v>
      </c>
      <c r="AO186" s="167" t="e">
        <f t="shared" si="98"/>
        <v>#DIV/0!</v>
      </c>
    </row>
    <row r="187" spans="2:41" x14ac:dyDescent="0.15">
      <c r="B187" s="473" t="s">
        <v>25</v>
      </c>
      <c r="C187" s="128" t="s">
        <v>997</v>
      </c>
      <c r="D187" s="94">
        <f>SUMIFS('caseload data'!E:E,'caseload data'!$D:$D,"PO",'caseload data'!$A:$A,'national caseload'!$B$187:$B$189,'caseload data'!$B:$B,"custody")</f>
        <v>0</v>
      </c>
      <c r="E187" s="94">
        <f>SUMIFS('caseload data'!F:F,'caseload data'!$D:$D,"PO",'caseload data'!$A:$A,'national caseload'!$B$187:$B$189,'caseload data'!$B:$B,"custody")</f>
        <v>0</v>
      </c>
      <c r="F187" s="94">
        <f>SUMIFS('caseload data'!G:G,'caseload data'!$D:$D,"PO",'caseload data'!$A:$A,'national caseload'!$B$187:$B$189,'caseload data'!$B:$B,"custody")</f>
        <v>0</v>
      </c>
      <c r="G187" s="94">
        <f>SUMIFS('caseload data'!H:H,'caseload data'!$D:$D,"PO",'caseload data'!$A:$A,'national caseload'!$B$187:$B$189,'caseload data'!$B:$B,"custody")</f>
        <v>0</v>
      </c>
      <c r="H187" s="94">
        <f>SUMIFS('caseload data'!I:I,'caseload data'!$D:$D,"PO",'caseload data'!$A:$A,'national caseload'!$B$187:$B$189,'caseload data'!$B:$B,"custody")</f>
        <v>0</v>
      </c>
      <c r="I187" s="94">
        <f>SUMIFS('caseload data'!J:J,'caseload data'!$D:$D,"PO",'caseload data'!$A:$A,'national caseload'!$B$187:$B$189,'caseload data'!$B:$B,"custody")</f>
        <v>0</v>
      </c>
      <c r="J187" s="94">
        <f>SUMIFS('caseload data'!K:K,'caseload data'!$D:$D,"PO",'caseload data'!$A:$A,'national caseload'!$B$187:$B$189,'caseload data'!$B:$B,"custody")</f>
        <v>0</v>
      </c>
      <c r="K187" s="94">
        <f>SUMIFS('caseload data'!L:L,'caseload data'!$D:$D,"PO",'caseload data'!$A:$A,'national caseload'!$B$187:$B$189,'caseload data'!$B:$B,"custody")</f>
        <v>0</v>
      </c>
      <c r="L187" s="94">
        <f>SUMIFS('caseload data'!M:M,'caseload data'!$D:$D,"PO",'caseload data'!$A:$A,'national caseload'!$B$187:$B$189,'caseload data'!$B:$B,"custody")</f>
        <v>0</v>
      </c>
      <c r="M187" s="94">
        <f>SUMIFS('caseload data'!N:N,'caseload data'!$D:$D,"PO",'caseload data'!$A:$A,'national caseload'!$B$187:$B$189,'caseload data'!$B:$B,"custody")</f>
        <v>0</v>
      </c>
      <c r="N187" s="94">
        <f>SUMIFS('caseload data'!O:O,'caseload data'!$D:$D,"PO",'caseload data'!$A:$A,'national caseload'!$B$187:$B$189,'caseload data'!$B:$B,"custody")</f>
        <v>0</v>
      </c>
      <c r="O187" s="94">
        <f>SUMIFS('caseload data'!P:P,'caseload data'!$D:$D,"PO",'caseload data'!$A:$A,'national caseload'!$B$187:$B$189,'caseload data'!$B:$B,"custody")</f>
        <v>0</v>
      </c>
      <c r="P187" s="94">
        <f>SUMIFS('caseload data'!Q:Q,'caseload data'!$D:$D,"PO",'caseload data'!$A:$A,'national caseload'!$B$187:$B$189,'caseload data'!$B:$B,"custody")</f>
        <v>0</v>
      </c>
      <c r="Q187" s="94">
        <f>SUMIFS('caseload data'!R:R,'caseload data'!$D:$D,"PO",'caseload data'!$A:$A,'national caseload'!$B$187:$B$189,'caseload data'!$B:$B,"custody")</f>
        <v>0</v>
      </c>
      <c r="R187" s="94">
        <f>SUMIFS('caseload data'!S:S,'caseload data'!$D:$D,"PO",'caseload data'!$A:$A,'national caseload'!$B$187:$B$189,'caseload data'!$B:$B,"custody")</f>
        <v>0</v>
      </c>
      <c r="S187" s="94">
        <f>SUMIFS('caseload data'!T:T,'caseload data'!$D:$D,"PO",'caseload data'!$A:$A,'national caseload'!$B$187:$B$189,'caseload data'!$B:$B,"custody")</f>
        <v>0</v>
      </c>
      <c r="T187" s="94">
        <f>SUMIFS('caseload data'!V:V,'caseload data'!D:D,"PO",'caseload data'!A:A,'national caseload'!B187:B189,'caseload data'!B:B,"custody")</f>
        <v>0</v>
      </c>
      <c r="U187" s="64"/>
      <c r="V187" s="64"/>
      <c r="W187" s="473" t="s">
        <v>25</v>
      </c>
      <c r="X187" s="128" t="s">
        <v>997</v>
      </c>
      <c r="Y187" s="167" t="e">
        <f>SUM(D187)/SUM(D$187:D$191)</f>
        <v>#DIV/0!</v>
      </c>
      <c r="Z187" s="167" t="e">
        <f t="shared" ref="Z187:AO191" si="100">SUM(E187)/SUM(E$187:E$191)</f>
        <v>#DIV/0!</v>
      </c>
      <c r="AA187" s="167" t="e">
        <f t="shared" si="100"/>
        <v>#DIV/0!</v>
      </c>
      <c r="AB187" s="167" t="e">
        <f t="shared" si="100"/>
        <v>#DIV/0!</v>
      </c>
      <c r="AC187" s="167" t="e">
        <f t="shared" si="100"/>
        <v>#DIV/0!</v>
      </c>
      <c r="AD187" s="167" t="e">
        <f t="shared" si="100"/>
        <v>#DIV/0!</v>
      </c>
      <c r="AE187" s="167" t="e">
        <f t="shared" si="100"/>
        <v>#DIV/0!</v>
      </c>
      <c r="AF187" s="167" t="e">
        <f t="shared" si="100"/>
        <v>#DIV/0!</v>
      </c>
      <c r="AG187" s="167" t="e">
        <f t="shared" si="100"/>
        <v>#DIV/0!</v>
      </c>
      <c r="AH187" s="167" t="e">
        <f t="shared" si="100"/>
        <v>#DIV/0!</v>
      </c>
      <c r="AI187" s="167" t="e">
        <f t="shared" si="100"/>
        <v>#DIV/0!</v>
      </c>
      <c r="AJ187" s="167" t="e">
        <f t="shared" si="100"/>
        <v>#DIV/0!</v>
      </c>
      <c r="AK187" s="167" t="e">
        <f t="shared" si="100"/>
        <v>#DIV/0!</v>
      </c>
      <c r="AL187" s="167" t="e">
        <f t="shared" si="100"/>
        <v>#DIV/0!</v>
      </c>
      <c r="AM187" s="167" t="e">
        <f t="shared" si="100"/>
        <v>#DIV/0!</v>
      </c>
      <c r="AN187" s="167" t="e">
        <f t="shared" si="100"/>
        <v>#DIV/0!</v>
      </c>
      <c r="AO187" s="167" t="e">
        <f t="shared" si="100"/>
        <v>#DIV/0!</v>
      </c>
    </row>
    <row r="188" spans="2:41" x14ac:dyDescent="0.15">
      <c r="B188" s="474"/>
      <c r="C188" s="129" t="s">
        <v>1002</v>
      </c>
      <c r="D188" s="94">
        <f>SUMIFS('caseload data'!E:E,'caseload data'!$D:$D,"PSO",'caseload data'!$A:$A,"South West",'caseload data'!$B:$B,"custody")</f>
        <v>0</v>
      </c>
      <c r="E188" s="94">
        <f>SUMIFS('caseload data'!F:F,'caseload data'!$D:$D,"PSO",'caseload data'!$A:$A,"South West",'caseload data'!$B:$B,"custody")</f>
        <v>0</v>
      </c>
      <c r="F188" s="94">
        <f>SUMIFS('caseload data'!G:G,'caseload data'!$D:$D,"PSO",'caseload data'!$A:$A,"South West",'caseload data'!$B:$B,"custody")</f>
        <v>0</v>
      </c>
      <c r="G188" s="94">
        <f>SUMIFS('caseload data'!H:H,'caseload data'!$D:$D,"PSO",'caseload data'!$A:$A,"South West",'caseload data'!$B:$B,"custody")</f>
        <v>0</v>
      </c>
      <c r="H188" s="94">
        <f>SUMIFS('caseload data'!I:I,'caseload data'!$D:$D,"PSO",'caseload data'!$A:$A,"South West",'caseload data'!$B:$B,"custody")</f>
        <v>0</v>
      </c>
      <c r="I188" s="94">
        <f>SUMIFS('caseload data'!J:J,'caseload data'!$D:$D,"PSO",'caseload data'!$A:$A,"South West",'caseload data'!$B:$B,"custody")</f>
        <v>0</v>
      </c>
      <c r="J188" s="94">
        <f>SUMIFS('caseload data'!K:K,'caseload data'!$D:$D,"PSO",'caseload data'!$A:$A,"South West",'caseload data'!$B:$B,"custody")</f>
        <v>0</v>
      </c>
      <c r="K188" s="94">
        <f>SUMIFS('caseload data'!L:L,'caseload data'!$D:$D,"PSO",'caseload data'!$A:$A,"South West",'caseload data'!$B:$B,"custody")</f>
        <v>0</v>
      </c>
      <c r="L188" s="94">
        <f>SUMIFS('caseload data'!M:M,'caseload data'!$D:$D,"PSO",'caseload data'!$A:$A,"South West",'caseload data'!$B:$B,"custody")</f>
        <v>0</v>
      </c>
      <c r="M188" s="94">
        <f>SUMIFS('caseload data'!N:N,'caseload data'!$D:$D,"PSO",'caseload data'!$A:$A,"South West",'caseload data'!$B:$B,"custody")</f>
        <v>0</v>
      </c>
      <c r="N188" s="94">
        <f>SUMIFS('caseload data'!O:O,'caseload data'!$D:$D,"PSO",'caseload data'!$A:$A,"South West",'caseload data'!$B:$B,"custody")</f>
        <v>0</v>
      </c>
      <c r="O188" s="94">
        <f>SUMIFS('caseload data'!P:P,'caseload data'!$D:$D,"PSO",'caseload data'!$A:$A,"South West",'caseload data'!$B:$B,"custody")</f>
        <v>0</v>
      </c>
      <c r="P188" s="94">
        <f>SUMIFS('caseload data'!Q:Q,'caseload data'!$D:$D,"PSO",'caseload data'!$A:$A,"South West",'caseload data'!$B:$B,"custody")</f>
        <v>0</v>
      </c>
      <c r="Q188" s="94">
        <f>SUMIFS('caseload data'!R:R,'caseload data'!$D:$D,"PSO",'caseload data'!$A:$A,"South West",'caseload data'!$B:$B,"custody")</f>
        <v>0</v>
      </c>
      <c r="R188" s="94">
        <f>SUMIFS('caseload data'!S:S,'caseload data'!$D:$D,"PSO",'caseload data'!$A:$A,"South West",'caseload data'!$B:$B,"custody")</f>
        <v>0</v>
      </c>
      <c r="S188" s="94">
        <f>SUMIFS('caseload data'!T:T,'caseload data'!$D:$D,"PSO",'caseload data'!$A:$A,"South West",'caseload data'!$B:$B,"custody")</f>
        <v>0</v>
      </c>
      <c r="T188" s="94">
        <f>SUMIFS('caseload data'!V:V,'caseload data'!D:D,"PSO",'caseload data'!A:A,"South West",'caseload data'!B:B,"custody")</f>
        <v>0</v>
      </c>
      <c r="U188" s="64"/>
      <c r="V188" s="64"/>
      <c r="W188" s="474"/>
      <c r="X188" s="129" t="s">
        <v>1002</v>
      </c>
      <c r="Y188" s="167" t="e">
        <f t="shared" ref="Y188:Y191" si="101">SUM(D188)/SUM(D$187:D$191)</f>
        <v>#DIV/0!</v>
      </c>
      <c r="Z188" s="167" t="e">
        <f t="shared" si="100"/>
        <v>#DIV/0!</v>
      </c>
      <c r="AA188" s="167" t="e">
        <f t="shared" si="100"/>
        <v>#DIV/0!</v>
      </c>
      <c r="AB188" s="167" t="e">
        <f t="shared" si="100"/>
        <v>#DIV/0!</v>
      </c>
      <c r="AC188" s="167" t="e">
        <f t="shared" si="100"/>
        <v>#DIV/0!</v>
      </c>
      <c r="AD188" s="167" t="e">
        <f t="shared" si="100"/>
        <v>#DIV/0!</v>
      </c>
      <c r="AE188" s="167" t="e">
        <f t="shared" si="100"/>
        <v>#DIV/0!</v>
      </c>
      <c r="AF188" s="167" t="e">
        <f t="shared" si="100"/>
        <v>#DIV/0!</v>
      </c>
      <c r="AG188" s="167" t="e">
        <f t="shared" si="100"/>
        <v>#DIV/0!</v>
      </c>
      <c r="AH188" s="167" t="e">
        <f t="shared" si="100"/>
        <v>#DIV/0!</v>
      </c>
      <c r="AI188" s="167" t="e">
        <f t="shared" si="100"/>
        <v>#DIV/0!</v>
      </c>
      <c r="AJ188" s="167" t="e">
        <f t="shared" si="100"/>
        <v>#DIV/0!</v>
      </c>
      <c r="AK188" s="167" t="e">
        <f t="shared" si="100"/>
        <v>#DIV/0!</v>
      </c>
      <c r="AL188" s="167" t="e">
        <f t="shared" si="100"/>
        <v>#DIV/0!</v>
      </c>
      <c r="AM188" s="167" t="e">
        <f t="shared" si="100"/>
        <v>#DIV/0!</v>
      </c>
      <c r="AN188" s="167" t="e">
        <f t="shared" si="100"/>
        <v>#DIV/0!</v>
      </c>
      <c r="AO188" s="167" t="e">
        <f t="shared" si="100"/>
        <v>#DIV/0!</v>
      </c>
    </row>
    <row r="189" spans="2:41" x14ac:dyDescent="0.15">
      <c r="B189" s="474"/>
      <c r="C189" s="129" t="s">
        <v>1003</v>
      </c>
      <c r="D189" s="94">
        <f>SUMIFS('caseload data'!E:E,'caseload data'!$D:$D,"TPO",'caseload data'!$A:$A,"South West",'caseload data'!$B:$B,"custody")</f>
        <v>0</v>
      </c>
      <c r="E189" s="94">
        <f>SUMIFS('caseload data'!F:F,'caseload data'!$D:$D,"TPO",'caseload data'!$A:$A,"South West",'caseload data'!$B:$B,"custody")</f>
        <v>0</v>
      </c>
      <c r="F189" s="94">
        <f>SUMIFS('caseload data'!G:G,'caseload data'!$D:$D,"TPO",'caseload data'!$A:$A,"South West",'caseload data'!$B:$B,"custody")</f>
        <v>0</v>
      </c>
      <c r="G189" s="94">
        <f>SUMIFS('caseload data'!H:H,'caseload data'!$D:$D,"TPO",'caseload data'!$A:$A,"South West",'caseload data'!$B:$B,"custody")</f>
        <v>0</v>
      </c>
      <c r="H189" s="94">
        <f>SUMIFS('caseload data'!I:I,'caseload data'!$D:$D,"TPO",'caseload data'!$A:$A,"South West",'caseload data'!$B:$B,"custody")</f>
        <v>0</v>
      </c>
      <c r="I189" s="94">
        <f>SUMIFS('caseload data'!J:J,'caseload data'!$D:$D,"TPO",'caseload data'!$A:$A,"South West",'caseload data'!$B:$B,"custody")</f>
        <v>0</v>
      </c>
      <c r="J189" s="94">
        <f>SUMIFS('caseload data'!K:K,'caseload data'!$D:$D,"TPO",'caseload data'!$A:$A,"South West",'caseload data'!$B:$B,"custody")</f>
        <v>0</v>
      </c>
      <c r="K189" s="94">
        <f>SUMIFS('caseload data'!L:L,'caseload data'!$D:$D,"TPO",'caseload data'!$A:$A,"South West",'caseload data'!$B:$B,"custody")</f>
        <v>0</v>
      </c>
      <c r="L189" s="94">
        <f>SUMIFS('caseload data'!M:M,'caseload data'!$D:$D,"TPO",'caseload data'!$A:$A,"South West",'caseload data'!$B:$B,"custody")</f>
        <v>0</v>
      </c>
      <c r="M189" s="94">
        <f>SUMIFS('caseload data'!N:N,'caseload data'!$D:$D,"TPO",'caseload data'!$A:$A,"South West",'caseload data'!$B:$B,"custody")</f>
        <v>0</v>
      </c>
      <c r="N189" s="94">
        <f>SUMIFS('caseload data'!O:O,'caseload data'!$D:$D,"TPO",'caseload data'!$A:$A,"South West",'caseload data'!$B:$B,"custody")</f>
        <v>0</v>
      </c>
      <c r="O189" s="94">
        <f>SUMIFS('caseload data'!P:P,'caseload data'!$D:$D,"TPO",'caseload data'!$A:$A,"South West",'caseload data'!$B:$B,"custody")</f>
        <v>0</v>
      </c>
      <c r="P189" s="94">
        <f>SUMIFS('caseload data'!Q:Q,'caseload data'!$D:$D,"TPO",'caseload data'!$A:$A,"South West",'caseload data'!$B:$B,"custody")</f>
        <v>0</v>
      </c>
      <c r="Q189" s="94">
        <f>SUMIFS('caseload data'!R:R,'caseload data'!$D:$D,"TPO",'caseload data'!$A:$A,"South West",'caseload data'!$B:$B,"custody")</f>
        <v>0</v>
      </c>
      <c r="R189" s="94">
        <f>SUMIFS('caseload data'!S:S,'caseload data'!$D:$D,"TPO",'caseload data'!$A:$A,"South West",'caseload data'!$B:$B,"custody")</f>
        <v>0</v>
      </c>
      <c r="S189" s="94">
        <f>SUMIFS('caseload data'!T:T,'caseload data'!$D:$D,"TPO",'caseload data'!$A:$A,"South West",'caseload data'!$B:$B,"custody")</f>
        <v>0</v>
      </c>
      <c r="T189" s="94">
        <f>SUMIFS('caseload data'!V:V,'caseload data'!D:D,"TPO",'caseload data'!A:A,"South West",'caseload data'!B:B,"custody")</f>
        <v>0</v>
      </c>
      <c r="U189" s="64"/>
      <c r="V189" s="64"/>
      <c r="W189" s="474"/>
      <c r="X189" s="129" t="s">
        <v>1003</v>
      </c>
      <c r="Y189" s="167" t="e">
        <f t="shared" si="101"/>
        <v>#DIV/0!</v>
      </c>
      <c r="Z189" s="167" t="e">
        <f t="shared" si="100"/>
        <v>#DIV/0!</v>
      </c>
      <c r="AA189" s="167" t="e">
        <f t="shared" si="100"/>
        <v>#DIV/0!</v>
      </c>
      <c r="AB189" s="167" t="e">
        <f t="shared" si="100"/>
        <v>#DIV/0!</v>
      </c>
      <c r="AC189" s="167" t="e">
        <f t="shared" si="100"/>
        <v>#DIV/0!</v>
      </c>
      <c r="AD189" s="167" t="e">
        <f t="shared" si="100"/>
        <v>#DIV/0!</v>
      </c>
      <c r="AE189" s="167" t="e">
        <f t="shared" si="100"/>
        <v>#DIV/0!</v>
      </c>
      <c r="AF189" s="167" t="e">
        <f t="shared" si="100"/>
        <v>#DIV/0!</v>
      </c>
      <c r="AG189" s="167" t="e">
        <f t="shared" si="100"/>
        <v>#DIV/0!</v>
      </c>
      <c r="AH189" s="167" t="e">
        <f t="shared" si="100"/>
        <v>#DIV/0!</v>
      </c>
      <c r="AI189" s="167" t="e">
        <f t="shared" si="100"/>
        <v>#DIV/0!</v>
      </c>
      <c r="AJ189" s="167" t="e">
        <f t="shared" si="100"/>
        <v>#DIV/0!</v>
      </c>
      <c r="AK189" s="167" t="e">
        <f t="shared" si="100"/>
        <v>#DIV/0!</v>
      </c>
      <c r="AL189" s="167" t="e">
        <f t="shared" si="100"/>
        <v>#DIV/0!</v>
      </c>
      <c r="AM189" s="167" t="e">
        <f t="shared" si="100"/>
        <v>#DIV/0!</v>
      </c>
      <c r="AN189" s="167" t="e">
        <f t="shared" si="100"/>
        <v>#DIV/0!</v>
      </c>
      <c r="AO189" s="167" t="e">
        <f t="shared" si="100"/>
        <v>#DIV/0!</v>
      </c>
    </row>
    <row r="190" spans="2:41" x14ac:dyDescent="0.15">
      <c r="B190" s="474"/>
      <c r="C190" s="129" t="s">
        <v>1004</v>
      </c>
      <c r="D190" s="94">
        <f>SUMIFS('caseload data'!E:E,'caseload data'!$D:$D,"SPO",'caseload data'!$A:$A,"South West",'caseload data'!$B:$B,"custody")</f>
        <v>0</v>
      </c>
      <c r="E190" s="94">
        <f>SUMIFS('caseload data'!F:F,'caseload data'!$D:$D,"SPO",'caseload data'!$A:$A,"South West",'caseload data'!$B:$B,"custody")</f>
        <v>0</v>
      </c>
      <c r="F190" s="94">
        <f>SUMIFS('caseload data'!G:G,'caseload data'!$D:$D,"SPO",'caseload data'!$A:$A,"South West",'caseload data'!$B:$B,"custody")</f>
        <v>0</v>
      </c>
      <c r="G190" s="94">
        <f>SUMIFS('caseload data'!H:H,'caseload data'!$D:$D,"SPO",'caseload data'!$A:$A,"South West",'caseload data'!$B:$B,"custody")</f>
        <v>0</v>
      </c>
      <c r="H190" s="94">
        <f>SUMIFS('caseload data'!I:I,'caseload data'!$D:$D,"SPO",'caseload data'!$A:$A,"South West",'caseload data'!$B:$B,"custody")</f>
        <v>0</v>
      </c>
      <c r="I190" s="94">
        <f>SUMIFS('caseload data'!J:J,'caseload data'!$D:$D,"SPO",'caseload data'!$A:$A,"South West",'caseload data'!$B:$B,"custody")</f>
        <v>0</v>
      </c>
      <c r="J190" s="94">
        <f>SUMIFS('caseload data'!K:K,'caseload data'!$D:$D,"SPO",'caseload data'!$A:$A,"South West",'caseload data'!$B:$B,"custody")</f>
        <v>0</v>
      </c>
      <c r="K190" s="94">
        <f>SUMIFS('caseload data'!L:L,'caseload data'!$D:$D,"SPO",'caseload data'!$A:$A,"South West",'caseload data'!$B:$B,"custody")</f>
        <v>0</v>
      </c>
      <c r="L190" s="94">
        <f>SUMIFS('caseload data'!M:M,'caseload data'!$D:$D,"SPO",'caseload data'!$A:$A,"South West",'caseload data'!$B:$B,"custody")</f>
        <v>0</v>
      </c>
      <c r="M190" s="94">
        <f>SUMIFS('caseload data'!N:N,'caseload data'!$D:$D,"SPO",'caseload data'!$A:$A,"South West",'caseload data'!$B:$B,"custody")</f>
        <v>0</v>
      </c>
      <c r="N190" s="94">
        <f>SUMIFS('caseload data'!O:O,'caseload data'!$D:$D,"SPO",'caseload data'!$A:$A,"South West",'caseload data'!$B:$B,"custody")</f>
        <v>0</v>
      </c>
      <c r="O190" s="94">
        <f>SUMIFS('caseload data'!P:P,'caseload data'!$D:$D,"SPO",'caseload data'!$A:$A,"South West",'caseload data'!$B:$B,"custody")</f>
        <v>0</v>
      </c>
      <c r="P190" s="94">
        <f>SUMIFS('caseload data'!Q:Q,'caseload data'!$D:$D,"SPO",'caseload data'!$A:$A,"South West",'caseload data'!$B:$B,"custody")</f>
        <v>0</v>
      </c>
      <c r="Q190" s="94">
        <f>SUMIFS('caseload data'!R:R,'caseload data'!$D:$D,"SPO",'caseload data'!$A:$A,"South West",'caseload data'!$B:$B,"custody")</f>
        <v>0</v>
      </c>
      <c r="R190" s="94">
        <f>SUMIFS('caseload data'!S:S,'caseload data'!$D:$D,"SPO",'caseload data'!$A:$A,"South West",'caseload data'!$B:$B,"custody")</f>
        <v>0</v>
      </c>
      <c r="S190" s="94">
        <f>SUMIFS('caseload data'!T:T,'caseload data'!$D:$D,"SPO",'caseload data'!$A:$A,"South West",'caseload data'!$B:$B,"custody")</f>
        <v>0</v>
      </c>
      <c r="T190" s="94">
        <f>SUMIFS('caseload data'!V:V,'caseload data'!$D:$D,"SPO",'caseload data'!$A:$A,"South West",'caseload data'!$B:$B,"custody")</f>
        <v>0</v>
      </c>
      <c r="U190" s="64"/>
      <c r="V190" s="64"/>
      <c r="W190" s="474"/>
      <c r="X190" s="129" t="s">
        <v>1004</v>
      </c>
      <c r="Y190" s="167" t="e">
        <f t="shared" si="101"/>
        <v>#DIV/0!</v>
      </c>
      <c r="Z190" s="167" t="e">
        <f t="shared" si="100"/>
        <v>#DIV/0!</v>
      </c>
      <c r="AA190" s="167" t="e">
        <f t="shared" si="100"/>
        <v>#DIV/0!</v>
      </c>
      <c r="AB190" s="167" t="e">
        <f t="shared" si="100"/>
        <v>#DIV/0!</v>
      </c>
      <c r="AC190" s="167" t="e">
        <f t="shared" si="100"/>
        <v>#DIV/0!</v>
      </c>
      <c r="AD190" s="167" t="e">
        <f t="shared" si="100"/>
        <v>#DIV/0!</v>
      </c>
      <c r="AE190" s="167" t="e">
        <f t="shared" si="100"/>
        <v>#DIV/0!</v>
      </c>
      <c r="AF190" s="167" t="e">
        <f t="shared" si="100"/>
        <v>#DIV/0!</v>
      </c>
      <c r="AG190" s="167" t="e">
        <f t="shared" si="100"/>
        <v>#DIV/0!</v>
      </c>
      <c r="AH190" s="167" t="e">
        <f t="shared" si="100"/>
        <v>#DIV/0!</v>
      </c>
      <c r="AI190" s="167" t="e">
        <f t="shared" si="100"/>
        <v>#DIV/0!</v>
      </c>
      <c r="AJ190" s="167" t="e">
        <f t="shared" si="100"/>
        <v>#DIV/0!</v>
      </c>
      <c r="AK190" s="167" t="e">
        <f t="shared" si="100"/>
        <v>#DIV/0!</v>
      </c>
      <c r="AL190" s="167" t="e">
        <f t="shared" si="100"/>
        <v>#DIV/0!</v>
      </c>
      <c r="AM190" s="167" t="e">
        <f t="shared" si="100"/>
        <v>#DIV/0!</v>
      </c>
      <c r="AN190" s="167" t="e">
        <f t="shared" si="100"/>
        <v>#DIV/0!</v>
      </c>
      <c r="AO190" s="167" t="e">
        <f t="shared" si="100"/>
        <v>#DIV/0!</v>
      </c>
    </row>
    <row r="191" spans="2:41" x14ac:dyDescent="0.15">
      <c r="B191" s="475"/>
      <c r="C191" s="130" t="s">
        <v>1339</v>
      </c>
      <c r="D191" s="94">
        <f>SUMIFS('caseload data'!E:E,'caseload data'!$D:$D,"DMY",'caseload data'!$A:$A,"South West",'caseload data'!$B:$B,"custody")</f>
        <v>0</v>
      </c>
      <c r="E191" s="94">
        <f>SUMIFS('caseload data'!F:F,'caseload data'!$D:$D,"DMY",'caseload data'!$A:$A,"South West",'caseload data'!$B:$B,"custody")</f>
        <v>0</v>
      </c>
      <c r="F191" s="94">
        <f>SUMIFS('caseload data'!G:G,'caseload data'!$D:$D,"DMY",'caseload data'!$A:$A,"South West",'caseload data'!$B:$B,"custody")</f>
        <v>0</v>
      </c>
      <c r="G191" s="94">
        <f>SUMIFS('caseload data'!H:H,'caseload data'!$D:$D,"DMY",'caseload data'!$A:$A,"South West",'caseload data'!$B:$B,"custody")</f>
        <v>0</v>
      </c>
      <c r="H191" s="94">
        <f>SUMIFS('caseload data'!I:I,'caseload data'!$D:$D,"DMY",'caseload data'!$A:$A,"South West",'caseload data'!$B:$B,"custody")</f>
        <v>0</v>
      </c>
      <c r="I191" s="94">
        <f>SUMIFS('caseload data'!J:J,'caseload data'!$D:$D,"DMY",'caseload data'!$A:$A,"South West",'caseload data'!$B:$B,"custody")</f>
        <v>0</v>
      </c>
      <c r="J191" s="94">
        <f>SUMIFS('caseload data'!K:K,'caseload data'!$D:$D,"DMY",'caseload data'!$A:$A,"South West",'caseload data'!$B:$B,"custody")</f>
        <v>0</v>
      </c>
      <c r="K191" s="94">
        <f>SUMIFS('caseload data'!L:L,'caseload data'!$D:$D,"DMY",'caseload data'!$A:$A,"South West",'caseload data'!$B:$B,"custody")</f>
        <v>0</v>
      </c>
      <c r="L191" s="94">
        <f>SUMIFS('caseload data'!M:M,'caseload data'!$D:$D,"DMY",'caseload data'!$A:$A,"South West",'caseload data'!$B:$B,"custody")</f>
        <v>0</v>
      </c>
      <c r="M191" s="94">
        <f>SUMIFS('caseload data'!N:N,'caseload data'!$D:$D,"DMY",'caseload data'!$A:$A,"South West",'caseload data'!$B:$B,"custody")</f>
        <v>0</v>
      </c>
      <c r="N191" s="94">
        <f>SUMIFS('caseload data'!O:O,'caseload data'!$D:$D,"DMY",'caseload data'!$A:$A,"South West",'caseload data'!$B:$B,"custody")</f>
        <v>0</v>
      </c>
      <c r="O191" s="94">
        <f>SUMIFS('caseload data'!P:P,'caseload data'!$D:$D,"DMY",'caseload data'!$A:$A,"South West",'caseload data'!$B:$B,"custody")</f>
        <v>0</v>
      </c>
      <c r="P191" s="94">
        <f>SUMIFS('caseload data'!Q:Q,'caseload data'!$D:$D,"DMY",'caseload data'!$A:$A,"South West",'caseload data'!$B:$B,"custody")</f>
        <v>0</v>
      </c>
      <c r="Q191" s="94">
        <f>SUMIFS('caseload data'!R:R,'caseload data'!$D:$D,"DMY",'caseload data'!$A:$A,"South West",'caseload data'!$B:$B,"custody")</f>
        <v>0</v>
      </c>
      <c r="R191" s="94">
        <f>SUMIFS('caseload data'!S:S,'caseload data'!$D:$D,"DMY",'caseload data'!$A:$A,"South West",'caseload data'!$B:$B,"custody")</f>
        <v>0</v>
      </c>
      <c r="S191" s="94">
        <f>SUMIFS('caseload data'!T:T,'caseload data'!$D:$D,"DMY",'caseload data'!$A:$A,"South West",'caseload data'!$B:$B,"custody")</f>
        <v>0</v>
      </c>
      <c r="T191" s="94">
        <f>SUMIFS('caseload data'!V:V,'caseload data'!$D:$D,"DMY",'caseload data'!$A:$A,"South West",'caseload data'!$B:$B,"custody")</f>
        <v>0</v>
      </c>
      <c r="U191" s="64"/>
      <c r="V191" s="64"/>
      <c r="W191" s="475"/>
      <c r="X191" s="130" t="s">
        <v>1339</v>
      </c>
      <c r="Y191" s="167" t="e">
        <f t="shared" si="101"/>
        <v>#DIV/0!</v>
      </c>
      <c r="Z191" s="167" t="e">
        <f t="shared" si="100"/>
        <v>#DIV/0!</v>
      </c>
      <c r="AA191" s="167" t="e">
        <f t="shared" si="100"/>
        <v>#DIV/0!</v>
      </c>
      <c r="AB191" s="167" t="e">
        <f t="shared" si="100"/>
        <v>#DIV/0!</v>
      </c>
      <c r="AC191" s="167" t="e">
        <f t="shared" si="100"/>
        <v>#DIV/0!</v>
      </c>
      <c r="AD191" s="167" t="e">
        <f t="shared" si="100"/>
        <v>#DIV/0!</v>
      </c>
      <c r="AE191" s="167" t="e">
        <f t="shared" si="100"/>
        <v>#DIV/0!</v>
      </c>
      <c r="AF191" s="167" t="e">
        <f t="shared" si="100"/>
        <v>#DIV/0!</v>
      </c>
      <c r="AG191" s="167" t="e">
        <f t="shared" si="100"/>
        <v>#DIV/0!</v>
      </c>
      <c r="AH191" s="167" t="e">
        <f t="shared" si="100"/>
        <v>#DIV/0!</v>
      </c>
      <c r="AI191" s="167" t="e">
        <f t="shared" si="100"/>
        <v>#DIV/0!</v>
      </c>
      <c r="AJ191" s="167" t="e">
        <f t="shared" si="100"/>
        <v>#DIV/0!</v>
      </c>
      <c r="AK191" s="167" t="e">
        <f t="shared" si="100"/>
        <v>#DIV/0!</v>
      </c>
      <c r="AL191" s="167" t="e">
        <f t="shared" si="100"/>
        <v>#DIV/0!</v>
      </c>
      <c r="AM191" s="167" t="e">
        <f t="shared" si="100"/>
        <v>#DIV/0!</v>
      </c>
      <c r="AN191" s="167" t="e">
        <f t="shared" si="100"/>
        <v>#DIV/0!</v>
      </c>
      <c r="AO191" s="167" t="e">
        <f t="shared" si="100"/>
        <v>#DIV/0!</v>
      </c>
    </row>
    <row r="192" spans="2:41" x14ac:dyDescent="0.15">
      <c r="B192" s="473" t="s">
        <v>26</v>
      </c>
      <c r="C192" s="128" t="s">
        <v>997</v>
      </c>
      <c r="D192" s="94">
        <f>SUMIFS('caseload data'!E:E,'caseload data'!$D:$D,"PO",'caseload data'!$A:$A,$B$192,'caseload data'!$B:$B,"custody")</f>
        <v>0</v>
      </c>
      <c r="E192" s="94">
        <f>SUMIFS('caseload data'!F:F,'caseload data'!$D:$D,"PO",'caseload data'!$A:$A,$B$192,'caseload data'!$B:$B,"custody")</f>
        <v>0</v>
      </c>
      <c r="F192" s="94">
        <f>SUMIFS('caseload data'!G:G,'caseload data'!$D:$D,"PO",'caseload data'!$A:$A,$B$192,'caseload data'!$B:$B,"custody")</f>
        <v>0</v>
      </c>
      <c r="G192" s="94">
        <f>SUMIFS('caseload data'!H:H,'caseload data'!$D:$D,"PO",'caseload data'!$A:$A,$B$192,'caseload data'!$B:$B,"custody")</f>
        <v>0</v>
      </c>
      <c r="H192" s="94">
        <f>SUMIFS('caseload data'!I:I,'caseload data'!$D:$D,"PO",'caseload data'!$A:$A,$B$192,'caseload data'!$B:$B,"custody")</f>
        <v>0</v>
      </c>
      <c r="I192" s="94">
        <f>SUMIFS('caseload data'!J:J,'caseload data'!$D:$D,"PO",'caseload data'!$A:$A,$B$192,'caseload data'!$B:$B,"custody")</f>
        <v>0</v>
      </c>
      <c r="J192" s="94">
        <f>SUMIFS('caseload data'!K:K,'caseload data'!$D:$D,"PO",'caseload data'!$A:$A,$B$192,'caseload data'!$B:$B,"custody")</f>
        <v>0</v>
      </c>
      <c r="K192" s="94">
        <f>SUMIFS('caseload data'!L:L,'caseload data'!$D:$D,"PO",'caseload data'!$A:$A,$B$192,'caseload data'!$B:$B,"custody")</f>
        <v>0</v>
      </c>
      <c r="L192" s="94">
        <f>SUMIFS('caseload data'!M:M,'caseload data'!$D:$D,"PO",'caseload data'!$A:$A,$B$192,'caseload data'!$B:$B,"custody")</f>
        <v>0</v>
      </c>
      <c r="M192" s="94">
        <f>SUMIFS('caseload data'!N:N,'caseload data'!$D:$D,"PO",'caseload data'!$A:$A,$B$192,'caseload data'!$B:$B,"custody")</f>
        <v>0</v>
      </c>
      <c r="N192" s="94">
        <f>SUMIFS('caseload data'!O:O,'caseload data'!$D:$D,"PO",'caseload data'!$A:$A,$B$192,'caseload data'!$B:$B,"custody")</f>
        <v>0</v>
      </c>
      <c r="O192" s="94">
        <f>SUMIFS('caseload data'!P:P,'caseload data'!$D:$D,"PO",'caseload data'!$A:$A,$B$192,'caseload data'!$B:$B,"custody")</f>
        <v>0</v>
      </c>
      <c r="P192" s="94">
        <f>SUMIFS('caseload data'!Q:Q,'caseload data'!$D:$D,"PO",'caseload data'!$A:$A,$B$192,'caseload data'!$B:$B,"custody")</f>
        <v>0</v>
      </c>
      <c r="Q192" s="94">
        <f>SUMIFS('caseload data'!R:R,'caseload data'!$D:$D,"PO",'caseload data'!$A:$A,$B$192,'caseload data'!$B:$B,"custody")</f>
        <v>0</v>
      </c>
      <c r="R192" s="94">
        <f>SUMIFS('caseload data'!S:S,'caseload data'!$D:$D,"PO",'caseload data'!$A:$A,$B$192,'caseload data'!$B:$B,"custody")</f>
        <v>0</v>
      </c>
      <c r="S192" s="94">
        <f>SUMIFS('caseload data'!T:T,'caseload data'!$D:$D,"PO",'caseload data'!$A:$A,$B$192,'caseload data'!$B:$B,"custody")</f>
        <v>0</v>
      </c>
      <c r="T192" s="94">
        <f>SUMIFS('caseload data'!V:V,'caseload data'!D:D,"PO",'caseload data'!A:A,B192,'caseload data'!B:B,"custody")</f>
        <v>0</v>
      </c>
      <c r="U192" s="64"/>
      <c r="V192" s="64"/>
      <c r="W192" s="473" t="s">
        <v>26</v>
      </c>
      <c r="X192" s="128" t="s">
        <v>997</v>
      </c>
      <c r="Y192" s="167" t="e">
        <f>SUM(D192)/SUM(D$192:D$196)</f>
        <v>#DIV/0!</v>
      </c>
      <c r="Z192" s="167" t="e">
        <f t="shared" ref="Z192:AO196" si="102">SUM(E192)/SUM(E$192:E$196)</f>
        <v>#DIV/0!</v>
      </c>
      <c r="AA192" s="167" t="e">
        <f t="shared" si="102"/>
        <v>#DIV/0!</v>
      </c>
      <c r="AB192" s="167" t="e">
        <f t="shared" si="102"/>
        <v>#DIV/0!</v>
      </c>
      <c r="AC192" s="167" t="e">
        <f t="shared" si="102"/>
        <v>#DIV/0!</v>
      </c>
      <c r="AD192" s="167" t="e">
        <f t="shared" si="102"/>
        <v>#DIV/0!</v>
      </c>
      <c r="AE192" s="167" t="e">
        <f t="shared" si="102"/>
        <v>#DIV/0!</v>
      </c>
      <c r="AF192" s="167" t="e">
        <f t="shared" si="102"/>
        <v>#DIV/0!</v>
      </c>
      <c r="AG192" s="167" t="e">
        <f t="shared" si="102"/>
        <v>#DIV/0!</v>
      </c>
      <c r="AH192" s="167" t="e">
        <f t="shared" si="102"/>
        <v>#DIV/0!</v>
      </c>
      <c r="AI192" s="167" t="e">
        <f t="shared" si="102"/>
        <v>#DIV/0!</v>
      </c>
      <c r="AJ192" s="167" t="e">
        <f t="shared" si="102"/>
        <v>#DIV/0!</v>
      </c>
      <c r="AK192" s="167" t="e">
        <f t="shared" si="102"/>
        <v>#DIV/0!</v>
      </c>
      <c r="AL192" s="167" t="e">
        <f t="shared" si="102"/>
        <v>#DIV/0!</v>
      </c>
      <c r="AM192" s="167" t="e">
        <f t="shared" si="102"/>
        <v>#DIV/0!</v>
      </c>
      <c r="AN192" s="167" t="e">
        <f t="shared" si="102"/>
        <v>#DIV/0!</v>
      </c>
      <c r="AO192" s="167" t="e">
        <f t="shared" si="102"/>
        <v>#DIV/0!</v>
      </c>
    </row>
    <row r="193" spans="2:41" x14ac:dyDescent="0.15">
      <c r="B193" s="474"/>
      <c r="C193" s="129" t="s">
        <v>1002</v>
      </c>
      <c r="D193" s="94">
        <f>SUMIFS('caseload data'!E:E,'caseload data'!$D:$D,"PSO",'caseload data'!$A:$A,"Wales",'caseload data'!$B:$B,"custody")</f>
        <v>0</v>
      </c>
      <c r="E193" s="94">
        <f>SUMIFS('caseload data'!F:F,'caseload data'!$D:$D,"PSO",'caseload data'!$A:$A,"Wales",'caseload data'!$B:$B,"custody")</f>
        <v>0</v>
      </c>
      <c r="F193" s="94">
        <f>SUMIFS('caseload data'!G:G,'caseload data'!$D:$D,"PSO",'caseload data'!$A:$A,"Wales",'caseload data'!$B:$B,"custody")</f>
        <v>0</v>
      </c>
      <c r="G193" s="94">
        <f>SUMIFS('caseload data'!H:H,'caseload data'!$D:$D,"PSO",'caseload data'!$A:$A,"Wales",'caseload data'!$B:$B,"custody")</f>
        <v>0</v>
      </c>
      <c r="H193" s="94">
        <f>SUMIFS('caseload data'!I:I,'caseload data'!$D:$D,"PSO",'caseload data'!$A:$A,"Wales",'caseload data'!$B:$B,"custody")</f>
        <v>0</v>
      </c>
      <c r="I193" s="94">
        <f>SUMIFS('caseload data'!J:J,'caseload data'!$D:$D,"PSO",'caseload data'!$A:$A,"Wales",'caseload data'!$B:$B,"custody")</f>
        <v>0</v>
      </c>
      <c r="J193" s="94">
        <f>SUMIFS('caseload data'!K:K,'caseload data'!$D:$D,"PSO",'caseload data'!$A:$A,"Wales",'caseload data'!$B:$B,"custody")</f>
        <v>0</v>
      </c>
      <c r="K193" s="94">
        <f>SUMIFS('caseload data'!L:L,'caseload data'!$D:$D,"PSO",'caseload data'!$A:$A,"Wales",'caseload data'!$B:$B,"custody")</f>
        <v>0</v>
      </c>
      <c r="L193" s="94">
        <f>SUMIFS('caseload data'!M:M,'caseload data'!$D:$D,"PSO",'caseload data'!$A:$A,"Wales",'caseload data'!$B:$B,"custody")</f>
        <v>0</v>
      </c>
      <c r="M193" s="94">
        <f>SUMIFS('caseload data'!N:N,'caseload data'!$D:$D,"PSO",'caseload data'!$A:$A,"Wales",'caseload data'!$B:$B,"custody")</f>
        <v>0</v>
      </c>
      <c r="N193" s="94">
        <f>SUMIFS('caseload data'!O:O,'caseload data'!$D:$D,"PSO",'caseload data'!$A:$A,"Wales",'caseload data'!$B:$B,"custody")</f>
        <v>0</v>
      </c>
      <c r="O193" s="94">
        <f>SUMIFS('caseload data'!P:P,'caseload data'!$D:$D,"PSO",'caseload data'!$A:$A,"Wales",'caseload data'!$B:$B,"custody")</f>
        <v>0</v>
      </c>
      <c r="P193" s="94">
        <f>SUMIFS('caseload data'!Q:Q,'caseload data'!$D:$D,"PSO",'caseload data'!$A:$A,"Wales",'caseload data'!$B:$B,"custody")</f>
        <v>0</v>
      </c>
      <c r="Q193" s="94">
        <f>SUMIFS('caseload data'!R:R,'caseload data'!$D:$D,"PSO",'caseload data'!$A:$A,"Wales",'caseload data'!$B:$B,"custody")</f>
        <v>0</v>
      </c>
      <c r="R193" s="94">
        <f>SUMIFS('caseload data'!S:S,'caseload data'!$D:$D,"PSO",'caseload data'!$A:$A,"Wales",'caseload data'!$B:$B,"custody")</f>
        <v>0</v>
      </c>
      <c r="S193" s="94">
        <f>SUMIFS('caseload data'!T:T,'caseload data'!$D:$D,"PSO",'caseload data'!$A:$A,"Wales",'caseload data'!$B:$B,"custody")</f>
        <v>0</v>
      </c>
      <c r="T193" s="94">
        <f>SUMIFS('caseload data'!V:V,'caseload data'!D:D,"PSO",'caseload data'!A:A,"Wales",'caseload data'!B:B,"custody")</f>
        <v>0</v>
      </c>
      <c r="U193" s="64"/>
      <c r="V193" s="64"/>
      <c r="W193" s="474"/>
      <c r="X193" s="129" t="s">
        <v>1002</v>
      </c>
      <c r="Y193" s="167" t="e">
        <f t="shared" ref="Y193:Y196" si="103">SUM(D193)/SUM(D$192:D$196)</f>
        <v>#DIV/0!</v>
      </c>
      <c r="Z193" s="167" t="e">
        <f t="shared" si="102"/>
        <v>#DIV/0!</v>
      </c>
      <c r="AA193" s="167" t="e">
        <f t="shared" si="102"/>
        <v>#DIV/0!</v>
      </c>
      <c r="AB193" s="167" t="e">
        <f t="shared" si="102"/>
        <v>#DIV/0!</v>
      </c>
      <c r="AC193" s="167" t="e">
        <f t="shared" si="102"/>
        <v>#DIV/0!</v>
      </c>
      <c r="AD193" s="167" t="e">
        <f t="shared" si="102"/>
        <v>#DIV/0!</v>
      </c>
      <c r="AE193" s="167" t="e">
        <f t="shared" si="102"/>
        <v>#DIV/0!</v>
      </c>
      <c r="AF193" s="167" t="e">
        <f t="shared" si="102"/>
        <v>#DIV/0!</v>
      </c>
      <c r="AG193" s="167" t="e">
        <f t="shared" si="102"/>
        <v>#DIV/0!</v>
      </c>
      <c r="AH193" s="167" t="e">
        <f t="shared" si="102"/>
        <v>#DIV/0!</v>
      </c>
      <c r="AI193" s="167" t="e">
        <f t="shared" si="102"/>
        <v>#DIV/0!</v>
      </c>
      <c r="AJ193" s="167" t="e">
        <f t="shared" si="102"/>
        <v>#DIV/0!</v>
      </c>
      <c r="AK193" s="167" t="e">
        <f t="shared" si="102"/>
        <v>#DIV/0!</v>
      </c>
      <c r="AL193" s="167" t="e">
        <f t="shared" si="102"/>
        <v>#DIV/0!</v>
      </c>
      <c r="AM193" s="167" t="e">
        <f t="shared" si="102"/>
        <v>#DIV/0!</v>
      </c>
      <c r="AN193" s="167" t="e">
        <f t="shared" si="102"/>
        <v>#DIV/0!</v>
      </c>
      <c r="AO193" s="167" t="e">
        <f t="shared" si="102"/>
        <v>#DIV/0!</v>
      </c>
    </row>
    <row r="194" spans="2:41" x14ac:dyDescent="0.15">
      <c r="B194" s="474"/>
      <c r="C194" s="129" t="s">
        <v>1003</v>
      </c>
      <c r="D194" s="94">
        <f>SUMIFS('caseload data'!E:E,'caseload data'!$D:$D,"TPO",'caseload data'!$A:$A,"Wales",'caseload data'!$B:$B,"custody")</f>
        <v>0</v>
      </c>
      <c r="E194" s="94">
        <f>SUMIFS('caseload data'!F:F,'caseload data'!$D:$D,"TPO",'caseload data'!$A:$A,"Wales",'caseload data'!$B:$B,"custody")</f>
        <v>0</v>
      </c>
      <c r="F194" s="94">
        <f>SUMIFS('caseload data'!G:G,'caseload data'!$D:$D,"TPO",'caseload data'!$A:$A,"Wales",'caseload data'!$B:$B,"custody")</f>
        <v>0</v>
      </c>
      <c r="G194" s="94">
        <f>SUMIFS('caseload data'!H:H,'caseload data'!$D:$D,"TPO",'caseload data'!$A:$A,"Wales",'caseload data'!$B:$B,"custody")</f>
        <v>0</v>
      </c>
      <c r="H194" s="94">
        <f>SUMIFS('caseload data'!I:I,'caseload data'!$D:$D,"TPO",'caseload data'!$A:$A,"Wales",'caseload data'!$B:$B,"custody")</f>
        <v>0</v>
      </c>
      <c r="I194" s="94">
        <f>SUMIFS('caseload data'!J:J,'caseload data'!$D:$D,"TPO",'caseload data'!$A:$A,"Wales",'caseload data'!$B:$B,"custody")</f>
        <v>0</v>
      </c>
      <c r="J194" s="94">
        <f>SUMIFS('caseload data'!K:K,'caseload data'!$D:$D,"TPO",'caseload data'!$A:$A,"Wales",'caseload data'!$B:$B,"custody")</f>
        <v>0</v>
      </c>
      <c r="K194" s="94">
        <f>SUMIFS('caseload data'!L:L,'caseload data'!$D:$D,"TPO",'caseload data'!$A:$A,"Wales",'caseload data'!$B:$B,"custody")</f>
        <v>0</v>
      </c>
      <c r="L194" s="94">
        <f>SUMIFS('caseload data'!M:M,'caseload data'!$D:$D,"TPO",'caseload data'!$A:$A,"Wales",'caseload data'!$B:$B,"custody")</f>
        <v>0</v>
      </c>
      <c r="M194" s="94">
        <f>SUMIFS('caseload data'!N:N,'caseload data'!$D:$D,"TPO",'caseload data'!$A:$A,"Wales",'caseload data'!$B:$B,"custody")</f>
        <v>0</v>
      </c>
      <c r="N194" s="94">
        <f>SUMIFS('caseload data'!O:O,'caseload data'!$D:$D,"TPO",'caseload data'!$A:$A,"Wales",'caseload data'!$B:$B,"custody")</f>
        <v>0</v>
      </c>
      <c r="O194" s="94">
        <f>SUMIFS('caseload data'!P:P,'caseload data'!$D:$D,"TPO",'caseload data'!$A:$A,"Wales",'caseload data'!$B:$B,"custody")</f>
        <v>0</v>
      </c>
      <c r="P194" s="94">
        <f>SUMIFS('caseload data'!Q:Q,'caseload data'!$D:$D,"TPO",'caseload data'!$A:$A,"Wales",'caseload data'!$B:$B,"custody")</f>
        <v>0</v>
      </c>
      <c r="Q194" s="94">
        <f>SUMIFS('caseload data'!R:R,'caseload data'!$D:$D,"TPO",'caseload data'!$A:$A,"Wales",'caseload data'!$B:$B,"custody")</f>
        <v>0</v>
      </c>
      <c r="R194" s="94">
        <f>SUMIFS('caseload data'!S:S,'caseload data'!$D:$D,"TPO",'caseload data'!$A:$A,"Wales",'caseload data'!$B:$B,"custody")</f>
        <v>0</v>
      </c>
      <c r="S194" s="94">
        <f>SUMIFS('caseload data'!T:T,'caseload data'!$D:$D,"TPO",'caseload data'!$A:$A,"Wales",'caseload data'!$B:$B,"custody")</f>
        <v>0</v>
      </c>
      <c r="T194" s="94">
        <f>SUMIFS('caseload data'!V:V,'caseload data'!D:D,"TPO",'caseload data'!A:A,"Wales",'caseload data'!B:B,"custody")</f>
        <v>0</v>
      </c>
      <c r="U194" s="64"/>
      <c r="V194" s="64"/>
      <c r="W194" s="474"/>
      <c r="X194" s="129" t="s">
        <v>1003</v>
      </c>
      <c r="Y194" s="167" t="e">
        <f t="shared" si="103"/>
        <v>#DIV/0!</v>
      </c>
      <c r="Z194" s="167" t="e">
        <f t="shared" si="102"/>
        <v>#DIV/0!</v>
      </c>
      <c r="AA194" s="167" t="e">
        <f t="shared" si="102"/>
        <v>#DIV/0!</v>
      </c>
      <c r="AB194" s="167" t="e">
        <f t="shared" si="102"/>
        <v>#DIV/0!</v>
      </c>
      <c r="AC194" s="167" t="e">
        <f t="shared" si="102"/>
        <v>#DIV/0!</v>
      </c>
      <c r="AD194" s="167" t="e">
        <f t="shared" si="102"/>
        <v>#DIV/0!</v>
      </c>
      <c r="AE194" s="167" t="e">
        <f t="shared" si="102"/>
        <v>#DIV/0!</v>
      </c>
      <c r="AF194" s="167" t="e">
        <f t="shared" si="102"/>
        <v>#DIV/0!</v>
      </c>
      <c r="AG194" s="167" t="e">
        <f t="shared" si="102"/>
        <v>#DIV/0!</v>
      </c>
      <c r="AH194" s="167" t="e">
        <f t="shared" si="102"/>
        <v>#DIV/0!</v>
      </c>
      <c r="AI194" s="167" t="e">
        <f t="shared" si="102"/>
        <v>#DIV/0!</v>
      </c>
      <c r="AJ194" s="167" t="e">
        <f t="shared" si="102"/>
        <v>#DIV/0!</v>
      </c>
      <c r="AK194" s="167" t="e">
        <f t="shared" si="102"/>
        <v>#DIV/0!</v>
      </c>
      <c r="AL194" s="167" t="e">
        <f t="shared" si="102"/>
        <v>#DIV/0!</v>
      </c>
      <c r="AM194" s="167" t="e">
        <f t="shared" si="102"/>
        <v>#DIV/0!</v>
      </c>
      <c r="AN194" s="167" t="e">
        <f t="shared" si="102"/>
        <v>#DIV/0!</v>
      </c>
      <c r="AO194" s="167" t="e">
        <f t="shared" si="102"/>
        <v>#DIV/0!</v>
      </c>
    </row>
    <row r="195" spans="2:41" x14ac:dyDescent="0.15">
      <c r="B195" s="474"/>
      <c r="C195" s="129" t="s">
        <v>1004</v>
      </c>
      <c r="D195" s="94">
        <f>SUMIFS('caseload data'!E:E,'caseload data'!$D:$D,"SPO",'caseload data'!$A:$A,"Wales",'caseload data'!$B:$B,"custody")</f>
        <v>0</v>
      </c>
      <c r="E195" s="94">
        <f>SUMIFS('caseload data'!F:F,'caseload data'!$D:$D,"SPO",'caseload data'!$A:$A,"Wales",'caseload data'!$B:$B,"custody")</f>
        <v>0</v>
      </c>
      <c r="F195" s="94">
        <f>SUMIFS('caseload data'!G:G,'caseload data'!$D:$D,"SPO",'caseload data'!$A:$A,"Wales",'caseload data'!$B:$B,"custody")</f>
        <v>0</v>
      </c>
      <c r="G195" s="94">
        <f>SUMIFS('caseload data'!H:H,'caseload data'!$D:$D,"SPO",'caseload data'!$A:$A,"Wales",'caseload data'!$B:$B,"custody")</f>
        <v>0</v>
      </c>
      <c r="H195" s="94">
        <f>SUMIFS('caseload data'!I:I,'caseload data'!$D:$D,"SPO",'caseload data'!$A:$A,"Wales",'caseload data'!$B:$B,"custody")</f>
        <v>0</v>
      </c>
      <c r="I195" s="94">
        <f>SUMIFS('caseload data'!J:J,'caseload data'!$D:$D,"SPO",'caseload data'!$A:$A,"Wales",'caseload data'!$B:$B,"custody")</f>
        <v>0</v>
      </c>
      <c r="J195" s="94">
        <f>SUMIFS('caseload data'!K:K,'caseload data'!$D:$D,"SPO",'caseload data'!$A:$A,"Wales",'caseload data'!$B:$B,"custody")</f>
        <v>0</v>
      </c>
      <c r="K195" s="94">
        <f>SUMIFS('caseload data'!L:L,'caseload data'!$D:$D,"SPO",'caseload data'!$A:$A,"Wales",'caseload data'!$B:$B,"custody")</f>
        <v>0</v>
      </c>
      <c r="L195" s="94">
        <f>SUMIFS('caseload data'!M:M,'caseload data'!$D:$D,"SPO",'caseload data'!$A:$A,"Wales",'caseload data'!$B:$B,"custody")</f>
        <v>0</v>
      </c>
      <c r="M195" s="94">
        <f>SUMIFS('caseload data'!N:N,'caseload data'!$D:$D,"SPO",'caseload data'!$A:$A,"Wales",'caseload data'!$B:$B,"custody")</f>
        <v>0</v>
      </c>
      <c r="N195" s="94">
        <f>SUMIFS('caseload data'!O:O,'caseload data'!$D:$D,"SPO",'caseload data'!$A:$A,"Wales",'caseload data'!$B:$B,"custody")</f>
        <v>0</v>
      </c>
      <c r="O195" s="94">
        <f>SUMIFS('caseload data'!P:P,'caseload data'!$D:$D,"SPO",'caseload data'!$A:$A,"Wales",'caseload data'!$B:$B,"custody")</f>
        <v>0</v>
      </c>
      <c r="P195" s="94">
        <f>SUMIFS('caseload data'!Q:Q,'caseload data'!$D:$D,"SPO",'caseload data'!$A:$A,"Wales",'caseload data'!$B:$B,"custody")</f>
        <v>0</v>
      </c>
      <c r="Q195" s="94">
        <f>SUMIFS('caseload data'!R:R,'caseload data'!$D:$D,"SPO",'caseload data'!$A:$A,"Wales",'caseload data'!$B:$B,"custody")</f>
        <v>0</v>
      </c>
      <c r="R195" s="94">
        <f>SUMIFS('caseload data'!S:S,'caseload data'!$D:$D,"SPO",'caseload data'!$A:$A,"Wales",'caseload data'!$B:$B,"custody")</f>
        <v>0</v>
      </c>
      <c r="S195" s="94">
        <f>SUMIFS('caseload data'!T:T,'caseload data'!$D:$D,"SPO",'caseload data'!$A:$A,"Wales",'caseload data'!$B:$B,"custody")</f>
        <v>0</v>
      </c>
      <c r="T195" s="94">
        <f>SUMIFS('caseload data'!V:V,'caseload data'!$D:$D,"SPO",'caseload data'!$A:$A,"Wales",'caseload data'!$B:$B,"custody")</f>
        <v>0</v>
      </c>
      <c r="U195" s="64"/>
      <c r="V195" s="64"/>
      <c r="W195" s="474"/>
      <c r="X195" s="129" t="s">
        <v>1004</v>
      </c>
      <c r="Y195" s="167" t="e">
        <f t="shared" si="103"/>
        <v>#DIV/0!</v>
      </c>
      <c r="Z195" s="167" t="e">
        <f t="shared" si="102"/>
        <v>#DIV/0!</v>
      </c>
      <c r="AA195" s="167" t="e">
        <f t="shared" si="102"/>
        <v>#DIV/0!</v>
      </c>
      <c r="AB195" s="167" t="e">
        <f t="shared" si="102"/>
        <v>#DIV/0!</v>
      </c>
      <c r="AC195" s="167" t="e">
        <f t="shared" si="102"/>
        <v>#DIV/0!</v>
      </c>
      <c r="AD195" s="167" t="e">
        <f t="shared" si="102"/>
        <v>#DIV/0!</v>
      </c>
      <c r="AE195" s="167" t="e">
        <f t="shared" si="102"/>
        <v>#DIV/0!</v>
      </c>
      <c r="AF195" s="167" t="e">
        <f t="shared" si="102"/>
        <v>#DIV/0!</v>
      </c>
      <c r="AG195" s="167" t="e">
        <f t="shared" si="102"/>
        <v>#DIV/0!</v>
      </c>
      <c r="AH195" s="167" t="e">
        <f t="shared" si="102"/>
        <v>#DIV/0!</v>
      </c>
      <c r="AI195" s="167" t="e">
        <f t="shared" si="102"/>
        <v>#DIV/0!</v>
      </c>
      <c r="AJ195" s="167" t="e">
        <f t="shared" si="102"/>
        <v>#DIV/0!</v>
      </c>
      <c r="AK195" s="167" t="e">
        <f t="shared" si="102"/>
        <v>#DIV/0!</v>
      </c>
      <c r="AL195" s="167" t="e">
        <f t="shared" si="102"/>
        <v>#DIV/0!</v>
      </c>
      <c r="AM195" s="167" t="e">
        <f t="shared" si="102"/>
        <v>#DIV/0!</v>
      </c>
      <c r="AN195" s="167" t="e">
        <f t="shared" si="102"/>
        <v>#DIV/0!</v>
      </c>
      <c r="AO195" s="167" t="e">
        <f t="shared" si="102"/>
        <v>#DIV/0!</v>
      </c>
    </row>
    <row r="196" spans="2:41" x14ac:dyDescent="0.15">
      <c r="B196" s="475"/>
      <c r="C196" s="130" t="s">
        <v>1339</v>
      </c>
      <c r="D196" s="94">
        <f>SUMIFS('caseload data'!E:E,'caseload data'!$D:$D,"DMY",'caseload data'!$A:$A,"Wales",'caseload data'!$B:$B,"custody")</f>
        <v>0</v>
      </c>
      <c r="E196" s="94">
        <f>SUMIFS('caseload data'!F:F,'caseload data'!$D:$D,"DMY",'caseload data'!$A:$A,"Wales",'caseload data'!$B:$B,"custody")</f>
        <v>0</v>
      </c>
      <c r="F196" s="94">
        <f>SUMIFS('caseload data'!G:G,'caseload data'!$D:$D,"DMY",'caseload data'!$A:$A,"Wales",'caseload data'!$B:$B,"custody")</f>
        <v>0</v>
      </c>
      <c r="G196" s="94">
        <f>SUMIFS('caseload data'!H:H,'caseload data'!$D:$D,"DMY",'caseload data'!$A:$A,"Wales",'caseload data'!$B:$B,"custody")</f>
        <v>0</v>
      </c>
      <c r="H196" s="94">
        <f>SUMIFS('caseload data'!I:I,'caseload data'!$D:$D,"DMY",'caseload data'!$A:$A,"Wales",'caseload data'!$B:$B,"custody")</f>
        <v>0</v>
      </c>
      <c r="I196" s="94">
        <f>SUMIFS('caseload data'!J:J,'caseload data'!$D:$D,"DMY",'caseload data'!$A:$A,"Wales",'caseload data'!$B:$B,"custody")</f>
        <v>0</v>
      </c>
      <c r="J196" s="94">
        <f>SUMIFS('caseload data'!K:K,'caseload data'!$D:$D,"DMY",'caseload data'!$A:$A,"Wales",'caseload data'!$B:$B,"custody")</f>
        <v>0</v>
      </c>
      <c r="K196" s="94">
        <f>SUMIFS('caseload data'!L:L,'caseload data'!$D:$D,"DMY",'caseload data'!$A:$A,"Wales",'caseload data'!$B:$B,"custody")</f>
        <v>0</v>
      </c>
      <c r="L196" s="94">
        <f>SUMIFS('caseload data'!M:M,'caseload data'!$D:$D,"DMY",'caseload data'!$A:$A,"Wales",'caseload data'!$B:$B,"custody")</f>
        <v>0</v>
      </c>
      <c r="M196" s="94">
        <f>SUMIFS('caseload data'!N:N,'caseload data'!$D:$D,"DMY",'caseload data'!$A:$A,"Wales",'caseload data'!$B:$B,"custody")</f>
        <v>0</v>
      </c>
      <c r="N196" s="94">
        <f>SUMIFS('caseload data'!O:O,'caseload data'!$D:$D,"DMY",'caseload data'!$A:$A,"Wales",'caseload data'!$B:$B,"custody")</f>
        <v>0</v>
      </c>
      <c r="O196" s="94">
        <f>SUMIFS('caseload data'!P:P,'caseload data'!$D:$D,"DMY",'caseload data'!$A:$A,"Wales",'caseload data'!$B:$B,"custody")</f>
        <v>0</v>
      </c>
      <c r="P196" s="94">
        <f>SUMIFS('caseload data'!Q:Q,'caseload data'!$D:$D,"DMY",'caseload data'!$A:$A,"Wales",'caseload data'!$B:$B,"custody")</f>
        <v>0</v>
      </c>
      <c r="Q196" s="94">
        <f>SUMIFS('caseload data'!R:R,'caseload data'!$D:$D,"DMY",'caseload data'!$A:$A,"Wales",'caseload data'!$B:$B,"custody")</f>
        <v>0</v>
      </c>
      <c r="R196" s="94">
        <f>SUMIFS('caseload data'!S:S,'caseload data'!$D:$D,"DMY",'caseload data'!$A:$A,"Wales",'caseload data'!$B:$B,"custody")</f>
        <v>0</v>
      </c>
      <c r="S196" s="94">
        <f>SUMIFS('caseload data'!T:T,'caseload data'!$D:$D,"DMY",'caseload data'!$A:$A,"Wales",'caseload data'!$B:$B,"custody")</f>
        <v>0</v>
      </c>
      <c r="T196" s="94">
        <f>SUMIFS('caseload data'!V:V,'caseload data'!$D:$D,"DMY",'caseload data'!$A:$A,"Wales",'caseload data'!$B:$B,"custody")</f>
        <v>0</v>
      </c>
      <c r="U196" s="64"/>
      <c r="V196" s="64"/>
      <c r="W196" s="475"/>
      <c r="X196" s="130" t="s">
        <v>1339</v>
      </c>
      <c r="Y196" s="167" t="e">
        <f t="shared" si="103"/>
        <v>#DIV/0!</v>
      </c>
      <c r="Z196" s="167" t="e">
        <f t="shared" si="102"/>
        <v>#DIV/0!</v>
      </c>
      <c r="AA196" s="167" t="e">
        <f t="shared" si="102"/>
        <v>#DIV/0!</v>
      </c>
      <c r="AB196" s="167" t="e">
        <f t="shared" si="102"/>
        <v>#DIV/0!</v>
      </c>
      <c r="AC196" s="167" t="e">
        <f t="shared" si="102"/>
        <v>#DIV/0!</v>
      </c>
      <c r="AD196" s="167" t="e">
        <f t="shared" si="102"/>
        <v>#DIV/0!</v>
      </c>
      <c r="AE196" s="167" t="e">
        <f t="shared" si="102"/>
        <v>#DIV/0!</v>
      </c>
      <c r="AF196" s="167" t="e">
        <f t="shared" si="102"/>
        <v>#DIV/0!</v>
      </c>
      <c r="AG196" s="167" t="e">
        <f t="shared" si="102"/>
        <v>#DIV/0!</v>
      </c>
      <c r="AH196" s="167" t="e">
        <f t="shared" si="102"/>
        <v>#DIV/0!</v>
      </c>
      <c r="AI196" s="167" t="e">
        <f t="shared" si="102"/>
        <v>#DIV/0!</v>
      </c>
      <c r="AJ196" s="167" t="e">
        <f t="shared" si="102"/>
        <v>#DIV/0!</v>
      </c>
      <c r="AK196" s="167" t="e">
        <f t="shared" si="102"/>
        <v>#DIV/0!</v>
      </c>
      <c r="AL196" s="167" t="e">
        <f t="shared" si="102"/>
        <v>#DIV/0!</v>
      </c>
      <c r="AM196" s="167" t="e">
        <f t="shared" si="102"/>
        <v>#DIV/0!</v>
      </c>
      <c r="AN196" s="167" t="e">
        <f t="shared" si="102"/>
        <v>#DIV/0!</v>
      </c>
      <c r="AO196" s="167" t="e">
        <f t="shared" si="102"/>
        <v>#DIV/0!</v>
      </c>
    </row>
    <row r="197" spans="2:41" x14ac:dyDescent="0.15">
      <c r="B197" s="473" t="s">
        <v>27</v>
      </c>
      <c r="C197" s="128" t="s">
        <v>997</v>
      </c>
      <c r="D197" s="94">
        <f>SUMIFS('caseload data'!E:E,'caseload data'!$D:$D,"PO",'caseload data'!$A:$A,$B$197,'caseload data'!$B:$B,"custody")</f>
        <v>0</v>
      </c>
      <c r="E197" s="94">
        <f>SUMIFS('caseload data'!F:F,'caseload data'!$D:$D,"PO",'caseload data'!$A:$A,$B$197,'caseload data'!$B:$B,"custody")</f>
        <v>0</v>
      </c>
      <c r="F197" s="94">
        <f>SUMIFS('caseload data'!G:G,'caseload data'!$D:$D,"PO",'caseload data'!$A:$A,$B$197,'caseload data'!$B:$B,"custody")</f>
        <v>0</v>
      </c>
      <c r="G197" s="94">
        <f>SUMIFS('caseload data'!H:H,'caseload data'!$D:$D,"PO",'caseload data'!$A:$A,$B$197,'caseload data'!$B:$B,"custody")</f>
        <v>0</v>
      </c>
      <c r="H197" s="94">
        <f>SUMIFS('caseload data'!I:I,'caseload data'!$D:$D,"PO",'caseload data'!$A:$A,$B$197,'caseload data'!$B:$B,"custody")</f>
        <v>0</v>
      </c>
      <c r="I197" s="94">
        <f>SUMIFS('caseload data'!J:J,'caseload data'!$D:$D,"PO",'caseload data'!$A:$A,$B$197,'caseload data'!$B:$B,"custody")</f>
        <v>0</v>
      </c>
      <c r="J197" s="94">
        <f>SUMIFS('caseload data'!K:K,'caseload data'!$D:$D,"PO",'caseload data'!$A:$A,$B$197,'caseload data'!$B:$B,"custody")</f>
        <v>0</v>
      </c>
      <c r="K197" s="94">
        <f>SUMIFS('caseload data'!L:L,'caseload data'!$D:$D,"PO",'caseload data'!$A:$A,$B$197,'caseload data'!$B:$B,"custody")</f>
        <v>0</v>
      </c>
      <c r="L197" s="94">
        <f>SUMIFS('caseload data'!M:M,'caseload data'!$D:$D,"PO",'caseload data'!$A:$A,$B$197,'caseload data'!$B:$B,"custody")</f>
        <v>0</v>
      </c>
      <c r="M197" s="94">
        <f>SUMIFS('caseload data'!N:N,'caseload data'!$D:$D,"PO",'caseload data'!$A:$A,$B$197,'caseload data'!$B:$B,"custody")</f>
        <v>0</v>
      </c>
      <c r="N197" s="94">
        <f>SUMIFS('caseload data'!O:O,'caseload data'!$D:$D,"PO",'caseload data'!$A:$A,$B$197,'caseload data'!$B:$B,"custody")</f>
        <v>0</v>
      </c>
      <c r="O197" s="94">
        <f>SUMIFS('caseload data'!P:P,'caseload data'!$D:$D,"PO",'caseload data'!$A:$A,$B$197,'caseload data'!$B:$B,"custody")</f>
        <v>0</v>
      </c>
      <c r="P197" s="94">
        <f>SUMIFS('caseload data'!Q:Q,'caseload data'!$D:$D,"PO",'caseload data'!$A:$A,$B$197,'caseload data'!$B:$B,"custody")</f>
        <v>0</v>
      </c>
      <c r="Q197" s="94">
        <f>SUMIFS('caseload data'!R:R,'caseload data'!$D:$D,"PO",'caseload data'!$A:$A,$B$197,'caseload data'!$B:$B,"custody")</f>
        <v>0</v>
      </c>
      <c r="R197" s="94">
        <f>SUMIFS('caseload data'!S:S,'caseload data'!$D:$D,"PO",'caseload data'!$A:$A,$B$197,'caseload data'!$B:$B,"custody")</f>
        <v>0</v>
      </c>
      <c r="S197" s="94">
        <f>SUMIFS('caseload data'!T:T,'caseload data'!$D:$D,"PO",'caseload data'!$A:$A,$B$197,'caseload data'!$B:$B,"custody")</f>
        <v>0</v>
      </c>
      <c r="T197" s="94">
        <f>SUMIFS('caseload data'!V:V,'caseload data'!D:D,"PO",'caseload data'!A:A,B197,'caseload data'!B:B,"custody")</f>
        <v>0</v>
      </c>
      <c r="U197" s="64"/>
      <c r="V197" s="64"/>
      <c r="W197" s="473" t="s">
        <v>27</v>
      </c>
      <c r="X197" s="128" t="s">
        <v>997</v>
      </c>
      <c r="Y197" s="167" t="e">
        <f>SUM(D197)/SUM(D$197:D$201)</f>
        <v>#DIV/0!</v>
      </c>
      <c r="Z197" s="167" t="e">
        <f t="shared" ref="Z197:AO201" si="104">SUM(E197)/SUM(E$197:E$201)</f>
        <v>#DIV/0!</v>
      </c>
      <c r="AA197" s="167" t="e">
        <f t="shared" si="104"/>
        <v>#DIV/0!</v>
      </c>
      <c r="AB197" s="167" t="e">
        <f t="shared" si="104"/>
        <v>#DIV/0!</v>
      </c>
      <c r="AC197" s="167" t="e">
        <f t="shared" si="104"/>
        <v>#DIV/0!</v>
      </c>
      <c r="AD197" s="167" t="e">
        <f t="shared" si="104"/>
        <v>#DIV/0!</v>
      </c>
      <c r="AE197" s="167" t="e">
        <f t="shared" si="104"/>
        <v>#DIV/0!</v>
      </c>
      <c r="AF197" s="167" t="e">
        <f t="shared" si="104"/>
        <v>#DIV/0!</v>
      </c>
      <c r="AG197" s="167" t="e">
        <f t="shared" si="104"/>
        <v>#DIV/0!</v>
      </c>
      <c r="AH197" s="167" t="e">
        <f t="shared" si="104"/>
        <v>#DIV/0!</v>
      </c>
      <c r="AI197" s="167" t="e">
        <f t="shared" si="104"/>
        <v>#DIV/0!</v>
      </c>
      <c r="AJ197" s="167" t="e">
        <f t="shared" si="104"/>
        <v>#DIV/0!</v>
      </c>
      <c r="AK197" s="167" t="e">
        <f t="shared" si="104"/>
        <v>#DIV/0!</v>
      </c>
      <c r="AL197" s="167" t="e">
        <f t="shared" si="104"/>
        <v>#DIV/0!</v>
      </c>
      <c r="AM197" s="167" t="e">
        <f t="shared" si="104"/>
        <v>#DIV/0!</v>
      </c>
      <c r="AN197" s="167" t="e">
        <f t="shared" si="104"/>
        <v>#DIV/0!</v>
      </c>
      <c r="AO197" s="167" t="e">
        <f t="shared" si="104"/>
        <v>#DIV/0!</v>
      </c>
    </row>
    <row r="198" spans="2:41" x14ac:dyDescent="0.15">
      <c r="B198" s="474"/>
      <c r="C198" s="129" t="s">
        <v>1002</v>
      </c>
      <c r="D198" s="94">
        <f>SUMIFS('caseload data'!E:E,'caseload data'!$D:$D,"PSO",'caseload data'!$A:$A,B197,'caseload data'!$B:$B,"custody")</f>
        <v>0</v>
      </c>
      <c r="E198" s="94">
        <f>SUMIFS('caseload data'!F:F,'caseload data'!$D:$D,"PSO",'caseload data'!$A:$A,C197,'caseload data'!$B:$B,"custody")</f>
        <v>0</v>
      </c>
      <c r="F198" s="94">
        <f>SUMIFS('caseload data'!G:G,'caseload data'!$D:$D,"PSO",'caseload data'!$A:$A,D197,'caseload data'!$B:$B,"custody")</f>
        <v>0</v>
      </c>
      <c r="G198" s="94">
        <f>SUMIFS('caseload data'!H:H,'caseload data'!$D:$D,"PSO",'caseload data'!$A:$A,E197,'caseload data'!$B:$B,"custody")</f>
        <v>0</v>
      </c>
      <c r="H198" s="94">
        <f>SUMIFS('caseload data'!I:I,'caseload data'!$D:$D,"PSO",'caseload data'!$A:$A,F197,'caseload data'!$B:$B,"custody")</f>
        <v>0</v>
      </c>
      <c r="I198" s="94">
        <f>SUMIFS('caseload data'!J:J,'caseload data'!$D:$D,"PSO",'caseload data'!$A:$A,G197,'caseload data'!$B:$B,"custody")</f>
        <v>0</v>
      </c>
      <c r="J198" s="94">
        <f>SUMIFS('caseload data'!K:K,'caseload data'!$D:$D,"PSO",'caseload data'!$A:$A,H197,'caseload data'!$B:$B,"custody")</f>
        <v>0</v>
      </c>
      <c r="K198" s="94">
        <f>SUMIFS('caseload data'!L:L,'caseload data'!$D:$D,"PSO",'caseload data'!$A:$A,I197,'caseload data'!$B:$B,"custody")</f>
        <v>0</v>
      </c>
      <c r="L198" s="94">
        <f>SUMIFS('caseload data'!M:M,'caseload data'!$D:$D,"PSO",'caseload data'!$A:$A,J197,'caseload data'!$B:$B,"custody")</f>
        <v>0</v>
      </c>
      <c r="M198" s="94">
        <f>SUMIFS('caseload data'!N:N,'caseload data'!$D:$D,"PSO",'caseload data'!$A:$A,K197,'caseload data'!$B:$B,"custody")</f>
        <v>0</v>
      </c>
      <c r="N198" s="94">
        <f>SUMIFS('caseload data'!O:O,'caseload data'!$D:$D,"PSO",'caseload data'!$A:$A,L197,'caseload data'!$B:$B,"custody")</f>
        <v>0</v>
      </c>
      <c r="O198" s="94">
        <f>SUMIFS('caseload data'!P:P,'caseload data'!$D:$D,"PSO",'caseload data'!$A:$A,M197,'caseload data'!$B:$B,"custody")</f>
        <v>0</v>
      </c>
      <c r="P198" s="94">
        <f>SUMIFS('caseload data'!Q:Q,'caseload data'!$D:$D,"PSO",'caseload data'!$A:$A,N197,'caseload data'!$B:$B,"custody")</f>
        <v>0</v>
      </c>
      <c r="Q198" s="94">
        <f>SUMIFS('caseload data'!R:R,'caseload data'!$D:$D,"PSO",'caseload data'!$A:$A,O197,'caseload data'!$B:$B,"custody")</f>
        <v>0</v>
      </c>
      <c r="R198" s="94">
        <f>SUMIFS('caseload data'!S:S,'caseload data'!$D:$D,"PSO",'caseload data'!$A:$A,P197,'caseload data'!$B:$B,"custody")</f>
        <v>0</v>
      </c>
      <c r="S198" s="94">
        <f>SUMIFS('caseload data'!T:T,'caseload data'!$D:$D,"PSO",'caseload data'!$A:$A,Q197,'caseload data'!$B:$B,"custody")</f>
        <v>0</v>
      </c>
      <c r="T198" s="94">
        <f>SUMIFS('caseload data'!V:V,'caseload data'!D:D,"PSO",'caseload data'!A:A,B197)</f>
        <v>0</v>
      </c>
      <c r="U198" s="64"/>
      <c r="V198" s="64"/>
      <c r="W198" s="474"/>
      <c r="X198" s="129" t="s">
        <v>1002</v>
      </c>
      <c r="Y198" s="167" t="e">
        <f t="shared" ref="Y198:Y201" si="105">SUM(D198)/SUM(D$197:D$201)</f>
        <v>#DIV/0!</v>
      </c>
      <c r="Z198" s="167" t="e">
        <f t="shared" si="104"/>
        <v>#DIV/0!</v>
      </c>
      <c r="AA198" s="167" t="e">
        <f t="shared" si="104"/>
        <v>#DIV/0!</v>
      </c>
      <c r="AB198" s="167" t="e">
        <f t="shared" si="104"/>
        <v>#DIV/0!</v>
      </c>
      <c r="AC198" s="167" t="e">
        <f t="shared" si="104"/>
        <v>#DIV/0!</v>
      </c>
      <c r="AD198" s="167" t="e">
        <f t="shared" si="104"/>
        <v>#DIV/0!</v>
      </c>
      <c r="AE198" s="167" t="e">
        <f t="shared" si="104"/>
        <v>#DIV/0!</v>
      </c>
      <c r="AF198" s="167" t="e">
        <f t="shared" si="104"/>
        <v>#DIV/0!</v>
      </c>
      <c r="AG198" s="167" t="e">
        <f t="shared" si="104"/>
        <v>#DIV/0!</v>
      </c>
      <c r="AH198" s="167" t="e">
        <f t="shared" si="104"/>
        <v>#DIV/0!</v>
      </c>
      <c r="AI198" s="167" t="e">
        <f t="shared" si="104"/>
        <v>#DIV/0!</v>
      </c>
      <c r="AJ198" s="167" t="e">
        <f t="shared" si="104"/>
        <v>#DIV/0!</v>
      </c>
      <c r="AK198" s="167" t="e">
        <f t="shared" si="104"/>
        <v>#DIV/0!</v>
      </c>
      <c r="AL198" s="167" t="e">
        <f t="shared" si="104"/>
        <v>#DIV/0!</v>
      </c>
      <c r="AM198" s="167" t="e">
        <f t="shared" si="104"/>
        <v>#DIV/0!</v>
      </c>
      <c r="AN198" s="167" t="e">
        <f t="shared" si="104"/>
        <v>#DIV/0!</v>
      </c>
      <c r="AO198" s="167" t="e">
        <f t="shared" si="104"/>
        <v>#DIV/0!</v>
      </c>
    </row>
    <row r="199" spans="2:41" x14ac:dyDescent="0.15">
      <c r="B199" s="474"/>
      <c r="C199" s="129" t="s">
        <v>1003</v>
      </c>
      <c r="D199" s="94">
        <f>SUMIFS('caseload data'!E:E,'caseload data'!$D:$D,"TPO",'caseload data'!$A:$A,B197)</f>
        <v>0</v>
      </c>
      <c r="E199" s="94">
        <f>SUMIFS('caseload data'!F:F,'caseload data'!$D:$D,"TPO",'caseload data'!$A:$A,C197)</f>
        <v>0</v>
      </c>
      <c r="F199" s="94">
        <f>SUMIFS('caseload data'!G:G,'caseload data'!$D:$D,"TPO",'caseload data'!$A:$A,D197)</f>
        <v>0</v>
      </c>
      <c r="G199" s="94">
        <f>SUMIFS('caseload data'!H:H,'caseload data'!$D:$D,"TPO",'caseload data'!$A:$A,E197)</f>
        <v>0</v>
      </c>
      <c r="H199" s="94">
        <f>SUMIFS('caseload data'!I:I,'caseload data'!$D:$D,"TPO",'caseload data'!$A:$A,F197)</f>
        <v>0</v>
      </c>
      <c r="I199" s="94">
        <f>SUMIFS('caseload data'!J:J,'caseload data'!$D:$D,"TPO",'caseload data'!$A:$A,G197)</f>
        <v>0</v>
      </c>
      <c r="J199" s="94">
        <f>SUMIFS('caseload data'!K:K,'caseload data'!$D:$D,"TPO",'caseload data'!$A:$A,H197)</f>
        <v>0</v>
      </c>
      <c r="K199" s="94">
        <f>SUMIFS('caseload data'!L:L,'caseload data'!$D:$D,"TPO",'caseload data'!$A:$A,I197)</f>
        <v>0</v>
      </c>
      <c r="L199" s="94">
        <f>SUMIFS('caseload data'!M:M,'caseload data'!$D:$D,"TPO",'caseload data'!$A:$A,J197)</f>
        <v>0</v>
      </c>
      <c r="M199" s="94">
        <f>SUMIFS('caseload data'!N:N,'caseload data'!$D:$D,"TPO",'caseload data'!$A:$A,K197)</f>
        <v>0</v>
      </c>
      <c r="N199" s="94">
        <f>SUMIFS('caseload data'!O:O,'caseload data'!$D:$D,"TPO",'caseload data'!$A:$A,L197)</f>
        <v>0</v>
      </c>
      <c r="O199" s="94">
        <f>SUMIFS('caseload data'!P:P,'caseload data'!$D:$D,"TPO",'caseload data'!$A:$A,M197)</f>
        <v>0</v>
      </c>
      <c r="P199" s="94">
        <f>SUMIFS('caseload data'!Q:Q,'caseload data'!$D:$D,"TPO",'caseload data'!$A:$A,N197)</f>
        <v>0</v>
      </c>
      <c r="Q199" s="94">
        <f>SUMIFS('caseload data'!R:R,'caseload data'!$D:$D,"TPO",'caseload data'!$A:$A,O197)</f>
        <v>0</v>
      </c>
      <c r="R199" s="94">
        <f>SUMIFS('caseload data'!S:S,'caseload data'!$D:$D,"TPO",'caseload data'!$A:$A,P197)</f>
        <v>0</v>
      </c>
      <c r="S199" s="94">
        <f>SUMIFS('caseload data'!T:T,'caseload data'!$D:$D,"TPO",'caseload data'!$A:$A,Q197)</f>
        <v>0</v>
      </c>
      <c r="T199" s="94">
        <f>SUMIFS('caseload data'!V:V,'caseload data'!D:D,"TPO",'caseload data'!A:A,B197,'caseload data'!B:B,"custody")</f>
        <v>0</v>
      </c>
      <c r="U199" s="64"/>
      <c r="V199" s="64"/>
      <c r="W199" s="474"/>
      <c r="X199" s="129" t="s">
        <v>1003</v>
      </c>
      <c r="Y199" s="167" t="e">
        <f t="shared" si="105"/>
        <v>#DIV/0!</v>
      </c>
      <c r="Z199" s="167" t="e">
        <f t="shared" si="104"/>
        <v>#DIV/0!</v>
      </c>
      <c r="AA199" s="167" t="e">
        <f t="shared" si="104"/>
        <v>#DIV/0!</v>
      </c>
      <c r="AB199" s="167" t="e">
        <f t="shared" si="104"/>
        <v>#DIV/0!</v>
      </c>
      <c r="AC199" s="167" t="e">
        <f t="shared" si="104"/>
        <v>#DIV/0!</v>
      </c>
      <c r="AD199" s="167" t="e">
        <f t="shared" si="104"/>
        <v>#DIV/0!</v>
      </c>
      <c r="AE199" s="167" t="e">
        <f t="shared" si="104"/>
        <v>#DIV/0!</v>
      </c>
      <c r="AF199" s="167" t="e">
        <f t="shared" si="104"/>
        <v>#DIV/0!</v>
      </c>
      <c r="AG199" s="167" t="e">
        <f t="shared" si="104"/>
        <v>#DIV/0!</v>
      </c>
      <c r="AH199" s="167" t="e">
        <f t="shared" si="104"/>
        <v>#DIV/0!</v>
      </c>
      <c r="AI199" s="167" t="e">
        <f t="shared" si="104"/>
        <v>#DIV/0!</v>
      </c>
      <c r="AJ199" s="167" t="e">
        <f t="shared" si="104"/>
        <v>#DIV/0!</v>
      </c>
      <c r="AK199" s="167" t="e">
        <f t="shared" si="104"/>
        <v>#DIV/0!</v>
      </c>
      <c r="AL199" s="167" t="e">
        <f t="shared" si="104"/>
        <v>#DIV/0!</v>
      </c>
      <c r="AM199" s="167" t="e">
        <f t="shared" si="104"/>
        <v>#DIV/0!</v>
      </c>
      <c r="AN199" s="167" t="e">
        <f t="shared" si="104"/>
        <v>#DIV/0!</v>
      </c>
      <c r="AO199" s="167" t="e">
        <f t="shared" si="104"/>
        <v>#DIV/0!</v>
      </c>
    </row>
    <row r="200" spans="2:41" x14ac:dyDescent="0.15">
      <c r="B200" s="474"/>
      <c r="C200" s="129" t="s">
        <v>1004</v>
      </c>
      <c r="D200" s="94">
        <f>SUMIFS('caseload data'!E:E,'caseload data'!$D:$D,"SPO",'caseload data'!$A:$A,"West Midlands Region",'caseload data'!$B:$B,"custody")</f>
        <v>0</v>
      </c>
      <c r="E200" s="94">
        <f>SUMIFS('caseload data'!F:F,'caseload data'!$D:$D,"SPO",'caseload data'!$A:$A,"West Midlands Region",'caseload data'!$B:$B,"custody")</f>
        <v>0</v>
      </c>
      <c r="F200" s="94">
        <f>SUMIFS('caseload data'!G:G,'caseload data'!$D:$D,"SPO",'caseload data'!$A:$A,"West Midlands Region",'caseload data'!$B:$B,"custody")</f>
        <v>0</v>
      </c>
      <c r="G200" s="94">
        <f>SUMIFS('caseload data'!H:H,'caseload data'!$D:$D,"SPO",'caseload data'!$A:$A,"West Midlands Region",'caseload data'!$B:$B,"custody")</f>
        <v>0</v>
      </c>
      <c r="H200" s="94">
        <f>SUMIFS('caseload data'!I:I,'caseload data'!$D:$D,"SPO",'caseload data'!$A:$A,"West Midlands Region",'caseload data'!$B:$B,"custody")</f>
        <v>0</v>
      </c>
      <c r="I200" s="94">
        <f>SUMIFS('caseload data'!J:J,'caseload data'!$D:$D,"SPO",'caseload data'!$A:$A,"West Midlands Region",'caseload data'!$B:$B,"custody")</f>
        <v>0</v>
      </c>
      <c r="J200" s="94">
        <f>SUMIFS('caseload data'!K:K,'caseload data'!$D:$D,"SPO",'caseload data'!$A:$A,"West Midlands Region",'caseload data'!$B:$B,"custody")</f>
        <v>0</v>
      </c>
      <c r="K200" s="94">
        <f>SUMIFS('caseload data'!L:L,'caseload data'!$D:$D,"SPO",'caseload data'!$A:$A,"West Midlands Region",'caseload data'!$B:$B,"custody")</f>
        <v>0</v>
      </c>
      <c r="L200" s="94">
        <f>SUMIFS('caseload data'!M:M,'caseload data'!$D:$D,"SPO",'caseload data'!$A:$A,"West Midlands Region",'caseload data'!$B:$B,"custody")</f>
        <v>0</v>
      </c>
      <c r="M200" s="94">
        <f>SUMIFS('caseload data'!N:N,'caseload data'!$D:$D,"SPO",'caseload data'!$A:$A,"West Midlands Region",'caseload data'!$B:$B,"custody")</f>
        <v>0</v>
      </c>
      <c r="N200" s="94">
        <f>SUMIFS('caseload data'!O:O,'caseload data'!$D:$D,"SPO",'caseload data'!$A:$A,"West Midlands Region",'caseload data'!$B:$B,"custody")</f>
        <v>0</v>
      </c>
      <c r="O200" s="94">
        <f>SUMIFS('caseload data'!P:P,'caseload data'!$D:$D,"SPO",'caseload data'!$A:$A,"West Midlands Region",'caseload data'!$B:$B,"custody")</f>
        <v>0</v>
      </c>
      <c r="P200" s="94">
        <f>SUMIFS('caseload data'!Q:Q,'caseload data'!$D:$D,"SPO",'caseload data'!$A:$A,"West Midlands Region",'caseload data'!$B:$B,"custody")</f>
        <v>0</v>
      </c>
      <c r="Q200" s="94">
        <f>SUMIFS('caseload data'!R:R,'caseload data'!$D:$D,"SPO",'caseload data'!$A:$A,"West Midlands Region",'caseload data'!$B:$B,"custody")</f>
        <v>0</v>
      </c>
      <c r="R200" s="94">
        <f>SUMIFS('caseload data'!S:S,'caseload data'!$D:$D,"SPO",'caseload data'!$A:$A,"West Midlands Region",'caseload data'!$B:$B,"custody")</f>
        <v>0</v>
      </c>
      <c r="S200" s="94">
        <f>SUMIFS('caseload data'!T:T,'caseload data'!$D:$D,"SPO",'caseload data'!$A:$A,"West Midlands Region",'caseload data'!$B:$B,"custody")</f>
        <v>0</v>
      </c>
      <c r="T200" s="94">
        <f>SUMIFS('caseload data'!V:V,'caseload data'!$D:$D,"SPO",'caseload data'!$A:$A,"West Midlands Region",'caseload data'!$B:$B,"custody")</f>
        <v>0</v>
      </c>
      <c r="U200" s="64"/>
      <c r="V200" s="64"/>
      <c r="W200" s="474"/>
      <c r="X200" s="129" t="s">
        <v>1004</v>
      </c>
      <c r="Y200" s="167" t="e">
        <f t="shared" si="105"/>
        <v>#DIV/0!</v>
      </c>
      <c r="Z200" s="167" t="e">
        <f t="shared" si="104"/>
        <v>#DIV/0!</v>
      </c>
      <c r="AA200" s="167" t="e">
        <f t="shared" si="104"/>
        <v>#DIV/0!</v>
      </c>
      <c r="AB200" s="167" t="e">
        <f t="shared" si="104"/>
        <v>#DIV/0!</v>
      </c>
      <c r="AC200" s="167" t="e">
        <f t="shared" si="104"/>
        <v>#DIV/0!</v>
      </c>
      <c r="AD200" s="167" t="e">
        <f t="shared" si="104"/>
        <v>#DIV/0!</v>
      </c>
      <c r="AE200" s="167" t="e">
        <f t="shared" si="104"/>
        <v>#DIV/0!</v>
      </c>
      <c r="AF200" s="167" t="e">
        <f t="shared" si="104"/>
        <v>#DIV/0!</v>
      </c>
      <c r="AG200" s="167" t="e">
        <f t="shared" si="104"/>
        <v>#DIV/0!</v>
      </c>
      <c r="AH200" s="167" t="e">
        <f t="shared" si="104"/>
        <v>#DIV/0!</v>
      </c>
      <c r="AI200" s="167" t="e">
        <f t="shared" si="104"/>
        <v>#DIV/0!</v>
      </c>
      <c r="AJ200" s="167" t="e">
        <f t="shared" si="104"/>
        <v>#DIV/0!</v>
      </c>
      <c r="AK200" s="167" t="e">
        <f t="shared" si="104"/>
        <v>#DIV/0!</v>
      </c>
      <c r="AL200" s="167" t="e">
        <f t="shared" si="104"/>
        <v>#DIV/0!</v>
      </c>
      <c r="AM200" s="167" t="e">
        <f t="shared" si="104"/>
        <v>#DIV/0!</v>
      </c>
      <c r="AN200" s="167" t="e">
        <f t="shared" si="104"/>
        <v>#DIV/0!</v>
      </c>
      <c r="AO200" s="167" t="e">
        <f t="shared" si="104"/>
        <v>#DIV/0!</v>
      </c>
    </row>
    <row r="201" spans="2:41" x14ac:dyDescent="0.15">
      <c r="B201" s="475"/>
      <c r="C201" s="130" t="s">
        <v>1339</v>
      </c>
      <c r="D201" s="94">
        <f>SUMIFS('caseload data'!E:E,'caseload data'!$D:$D,"DMY",'caseload data'!$A:$A,"West Midlands Region",'caseload data'!$B:$B,"custody")</f>
        <v>0</v>
      </c>
      <c r="E201" s="94">
        <f>SUMIFS('caseload data'!F:F,'caseload data'!$D:$D,"DMY",'caseload data'!$A:$A,"West Midlands Region",'caseload data'!$B:$B,"custody")</f>
        <v>0</v>
      </c>
      <c r="F201" s="94">
        <f>SUMIFS('caseload data'!G:G,'caseload data'!$D:$D,"DMY",'caseload data'!$A:$A,"West Midlands Region",'caseload data'!$B:$B,"custody")</f>
        <v>0</v>
      </c>
      <c r="G201" s="94">
        <f>SUMIFS('caseload data'!H:H,'caseload data'!$D:$D,"DMY",'caseload data'!$A:$A,"West Midlands Region",'caseload data'!$B:$B,"custody")</f>
        <v>0</v>
      </c>
      <c r="H201" s="94">
        <f>SUMIFS('caseload data'!I:I,'caseload data'!$D:$D,"DMY",'caseload data'!$A:$A,"West Midlands Region",'caseload data'!$B:$B,"custody")</f>
        <v>0</v>
      </c>
      <c r="I201" s="94">
        <f>SUMIFS('caseload data'!J:J,'caseload data'!$D:$D,"DMY",'caseload data'!$A:$A,"West Midlands Region",'caseload data'!$B:$B,"custody")</f>
        <v>0</v>
      </c>
      <c r="J201" s="94">
        <f>SUMIFS('caseload data'!K:K,'caseload data'!$D:$D,"DMY",'caseload data'!$A:$A,"West Midlands Region",'caseload data'!$B:$B,"custody")</f>
        <v>0</v>
      </c>
      <c r="K201" s="94">
        <f>SUMIFS('caseload data'!L:L,'caseload data'!$D:$D,"DMY",'caseload data'!$A:$A,"West Midlands Region",'caseload data'!$B:$B,"custody")</f>
        <v>0</v>
      </c>
      <c r="L201" s="94">
        <f>SUMIFS('caseload data'!M:M,'caseload data'!$D:$D,"DMY",'caseload data'!$A:$A,"West Midlands Region",'caseload data'!$B:$B,"custody")</f>
        <v>0</v>
      </c>
      <c r="M201" s="94">
        <f>SUMIFS('caseload data'!N:N,'caseload data'!$D:$D,"DMY",'caseload data'!$A:$A,"West Midlands Region",'caseload data'!$B:$B,"custody")</f>
        <v>0</v>
      </c>
      <c r="N201" s="94">
        <f>SUMIFS('caseload data'!O:O,'caseload data'!$D:$D,"DMY",'caseload data'!$A:$A,"West Midlands Region",'caseload data'!$B:$B,"custody")</f>
        <v>0</v>
      </c>
      <c r="O201" s="94">
        <f>SUMIFS('caseload data'!P:P,'caseload data'!$D:$D,"DMY",'caseload data'!$A:$A,"West Midlands Region",'caseload data'!$B:$B,"custody")</f>
        <v>0</v>
      </c>
      <c r="P201" s="94">
        <f>SUMIFS('caseload data'!Q:Q,'caseload data'!$D:$D,"DMY",'caseload data'!$A:$A,"West Midlands Region",'caseload data'!$B:$B,"custody")</f>
        <v>0</v>
      </c>
      <c r="Q201" s="94">
        <f>SUMIFS('caseload data'!R:R,'caseload data'!$D:$D,"DMY",'caseload data'!$A:$A,"West Midlands Region",'caseload data'!$B:$B,"custody")</f>
        <v>0</v>
      </c>
      <c r="R201" s="94">
        <f>SUMIFS('caseload data'!S:S,'caseload data'!$D:$D,"DMY",'caseload data'!$A:$A,"West Midlands Region",'caseload data'!$B:$B,"custody")</f>
        <v>0</v>
      </c>
      <c r="S201" s="94">
        <f>SUMIFS('caseload data'!T:T,'caseload data'!$D:$D,"DMY",'caseload data'!$A:$A,"West Midlands Region",'caseload data'!$B:$B,"custody")</f>
        <v>0</v>
      </c>
      <c r="T201" s="94">
        <f>SUMIFS('caseload data'!V:V,'caseload data'!$D:$D,"DMY",'caseload data'!$A:$A,"West Midlands Region",'caseload data'!$B:$B,"custody")</f>
        <v>0</v>
      </c>
      <c r="U201" s="64"/>
      <c r="V201" s="64"/>
      <c r="W201" s="475"/>
      <c r="X201" s="130" t="s">
        <v>1339</v>
      </c>
      <c r="Y201" s="167" t="e">
        <f t="shared" si="105"/>
        <v>#DIV/0!</v>
      </c>
      <c r="Z201" s="167" t="e">
        <f t="shared" si="104"/>
        <v>#DIV/0!</v>
      </c>
      <c r="AA201" s="167" t="e">
        <f t="shared" si="104"/>
        <v>#DIV/0!</v>
      </c>
      <c r="AB201" s="167" t="e">
        <f t="shared" si="104"/>
        <v>#DIV/0!</v>
      </c>
      <c r="AC201" s="167" t="e">
        <f t="shared" si="104"/>
        <v>#DIV/0!</v>
      </c>
      <c r="AD201" s="167" t="e">
        <f t="shared" si="104"/>
        <v>#DIV/0!</v>
      </c>
      <c r="AE201" s="167" t="e">
        <f t="shared" si="104"/>
        <v>#DIV/0!</v>
      </c>
      <c r="AF201" s="167" t="e">
        <f t="shared" si="104"/>
        <v>#DIV/0!</v>
      </c>
      <c r="AG201" s="167" t="e">
        <f t="shared" si="104"/>
        <v>#DIV/0!</v>
      </c>
      <c r="AH201" s="167" t="e">
        <f t="shared" si="104"/>
        <v>#DIV/0!</v>
      </c>
      <c r="AI201" s="167" t="e">
        <f t="shared" si="104"/>
        <v>#DIV/0!</v>
      </c>
      <c r="AJ201" s="167" t="e">
        <f t="shared" si="104"/>
        <v>#DIV/0!</v>
      </c>
      <c r="AK201" s="167" t="e">
        <f t="shared" si="104"/>
        <v>#DIV/0!</v>
      </c>
      <c r="AL201" s="167" t="e">
        <f t="shared" si="104"/>
        <v>#DIV/0!</v>
      </c>
      <c r="AM201" s="167" t="e">
        <f t="shared" si="104"/>
        <v>#DIV/0!</v>
      </c>
      <c r="AN201" s="167" t="e">
        <f t="shared" si="104"/>
        <v>#DIV/0!</v>
      </c>
      <c r="AO201" s="167" t="e">
        <f t="shared" si="104"/>
        <v>#DIV/0!</v>
      </c>
    </row>
    <row r="202" spans="2:41" x14ac:dyDescent="0.15">
      <c r="B202" s="473" t="s">
        <v>28</v>
      </c>
      <c r="C202" s="128" t="s">
        <v>997</v>
      </c>
      <c r="D202" s="94">
        <f>SUMIFS('caseload data'!E:E,'caseload data'!$D:$D,"PO",'caseload data'!$A:$A,$B$202,'caseload data'!$B:$B,"custody")</f>
        <v>0</v>
      </c>
      <c r="E202" s="94">
        <f>SUMIFS('caseload data'!F:F,'caseload data'!$D:$D,"PO",'caseload data'!$A:$A,$B$202,'caseload data'!$B:$B,"custody")</f>
        <v>0</v>
      </c>
      <c r="F202" s="94">
        <f>SUMIFS('caseload data'!G:G,'caseload data'!$D:$D,"PO",'caseload data'!$A:$A,$B$202,'caseload data'!$B:$B,"custody")</f>
        <v>0</v>
      </c>
      <c r="G202" s="94">
        <f>SUMIFS('caseload data'!H:H,'caseload data'!$D:$D,"PO",'caseload data'!$A:$A,$B$202,'caseload data'!$B:$B,"custody")</f>
        <v>0</v>
      </c>
      <c r="H202" s="94">
        <f>SUMIFS('caseload data'!I:I,'caseload data'!$D:$D,"PO",'caseload data'!$A:$A,$B$202,'caseload data'!$B:$B,"custody")</f>
        <v>0</v>
      </c>
      <c r="I202" s="94">
        <f>SUMIFS('caseload data'!J:J,'caseload data'!$D:$D,"PO",'caseload data'!$A:$A,$B$202,'caseload data'!$B:$B,"custody")</f>
        <v>0</v>
      </c>
      <c r="J202" s="94">
        <f>SUMIFS('caseload data'!K:K,'caseload data'!$D:$D,"PO",'caseload data'!$A:$A,$B$202,'caseload data'!$B:$B,"custody")</f>
        <v>0</v>
      </c>
      <c r="K202" s="94">
        <f>SUMIFS('caseload data'!L:L,'caseload data'!$D:$D,"PO",'caseload data'!$A:$A,$B$202,'caseload data'!$B:$B,"custody")</f>
        <v>0</v>
      </c>
      <c r="L202" s="94">
        <f>SUMIFS('caseload data'!M:M,'caseload data'!$D:$D,"PO",'caseload data'!$A:$A,$B$202,'caseload data'!$B:$B,"custody")</f>
        <v>0</v>
      </c>
      <c r="M202" s="94">
        <f>SUMIFS('caseload data'!N:N,'caseload data'!$D:$D,"PO",'caseload data'!$A:$A,$B$202,'caseload data'!$B:$B,"custody")</f>
        <v>0</v>
      </c>
      <c r="N202" s="94">
        <f>SUMIFS('caseload data'!O:O,'caseload data'!$D:$D,"PO",'caseload data'!$A:$A,$B$202,'caseload data'!$B:$B,"custody")</f>
        <v>0</v>
      </c>
      <c r="O202" s="94">
        <f>SUMIFS('caseload data'!P:P,'caseload data'!$D:$D,"PO",'caseload data'!$A:$A,$B$202,'caseload data'!$B:$B,"custody")</f>
        <v>0</v>
      </c>
      <c r="P202" s="94">
        <f>SUMIFS('caseload data'!Q:Q,'caseload data'!$D:$D,"PO",'caseload data'!$A:$A,$B$202,'caseload data'!$B:$B,"custody")</f>
        <v>0</v>
      </c>
      <c r="Q202" s="94">
        <f>SUMIFS('caseload data'!R:R,'caseload data'!$D:$D,"PO",'caseload data'!$A:$A,$B$202,'caseload data'!$B:$B,"custody")</f>
        <v>0</v>
      </c>
      <c r="R202" s="94">
        <f>SUMIFS('caseload data'!S:S,'caseload data'!$D:$D,"PO",'caseload data'!$A:$A,$B$202,'caseload data'!$B:$B,"custody")</f>
        <v>0</v>
      </c>
      <c r="S202" s="94">
        <f>SUMIFS('caseload data'!T:T,'caseload data'!$D:$D,"PO",'caseload data'!$A:$A,$B$202,'caseload data'!$B:$B,"custody")</f>
        <v>0</v>
      </c>
      <c r="T202" s="94">
        <f>SUMIFS('caseload data'!V:V,'caseload data'!D:D,"PO",'caseload data'!A:A,B202,'caseload data'!B:B,"custody")</f>
        <v>0</v>
      </c>
      <c r="U202" s="64"/>
      <c r="V202" s="64"/>
      <c r="W202" s="473" t="s">
        <v>28</v>
      </c>
      <c r="X202" s="128" t="s">
        <v>997</v>
      </c>
      <c r="Y202" s="167" t="e">
        <f>SUM(D202)/SUM(D$202:D$206)</f>
        <v>#DIV/0!</v>
      </c>
      <c r="Z202" s="167" t="e">
        <f t="shared" ref="Z202:AO206" si="106">SUM(E202)/SUM(E$202:E$206)</f>
        <v>#DIV/0!</v>
      </c>
      <c r="AA202" s="167" t="e">
        <f t="shared" si="106"/>
        <v>#DIV/0!</v>
      </c>
      <c r="AB202" s="167" t="e">
        <f t="shared" si="106"/>
        <v>#DIV/0!</v>
      </c>
      <c r="AC202" s="167" t="e">
        <f t="shared" si="106"/>
        <v>#DIV/0!</v>
      </c>
      <c r="AD202" s="167" t="e">
        <f t="shared" si="106"/>
        <v>#DIV/0!</v>
      </c>
      <c r="AE202" s="167" t="e">
        <f t="shared" si="106"/>
        <v>#DIV/0!</v>
      </c>
      <c r="AF202" s="167" t="e">
        <f t="shared" si="106"/>
        <v>#DIV/0!</v>
      </c>
      <c r="AG202" s="167" t="e">
        <f t="shared" si="106"/>
        <v>#DIV/0!</v>
      </c>
      <c r="AH202" s="167" t="e">
        <f t="shared" si="106"/>
        <v>#DIV/0!</v>
      </c>
      <c r="AI202" s="167" t="e">
        <f t="shared" si="106"/>
        <v>#DIV/0!</v>
      </c>
      <c r="AJ202" s="167" t="e">
        <f t="shared" si="106"/>
        <v>#DIV/0!</v>
      </c>
      <c r="AK202" s="167" t="e">
        <f t="shared" si="106"/>
        <v>#DIV/0!</v>
      </c>
      <c r="AL202" s="167" t="e">
        <f t="shared" si="106"/>
        <v>#DIV/0!</v>
      </c>
      <c r="AM202" s="167" t="e">
        <f t="shared" si="106"/>
        <v>#DIV/0!</v>
      </c>
      <c r="AN202" s="167" t="e">
        <f t="shared" si="106"/>
        <v>#DIV/0!</v>
      </c>
      <c r="AO202" s="167" t="e">
        <f t="shared" si="106"/>
        <v>#DIV/0!</v>
      </c>
    </row>
    <row r="203" spans="2:41" x14ac:dyDescent="0.15">
      <c r="B203" s="474"/>
      <c r="C203" s="129" t="s">
        <v>1002</v>
      </c>
      <c r="D203" s="94">
        <f>SUMIFS('caseload data'!E:E,'caseload data'!$D:$D,"PSO",'caseload data'!$A:$A,B202,'caseload data'!$B:$B,"custody")</f>
        <v>0</v>
      </c>
      <c r="E203" s="94">
        <f>SUMIFS('caseload data'!F:F,'caseload data'!$D:$D,"PSO",'caseload data'!$A:$A,C202,'caseload data'!$B:$B,"custody")</f>
        <v>0</v>
      </c>
      <c r="F203" s="94">
        <f>SUMIFS('caseload data'!G:G,'caseload data'!$D:$D,"PSO",'caseload data'!$A:$A,D202,'caseload data'!$B:$B,"custody")</f>
        <v>0</v>
      </c>
      <c r="G203" s="94">
        <f>SUMIFS('caseload data'!H:H,'caseload data'!$D:$D,"PSO",'caseload data'!$A:$A,E202,'caseload data'!$B:$B,"custody")</f>
        <v>0</v>
      </c>
      <c r="H203" s="94">
        <f>SUMIFS('caseload data'!I:I,'caseload data'!$D:$D,"PSO",'caseload data'!$A:$A,F202,'caseload data'!$B:$B,"custody")</f>
        <v>0</v>
      </c>
      <c r="I203" s="94">
        <f>SUMIFS('caseload data'!J:J,'caseload data'!$D:$D,"PSO",'caseload data'!$A:$A,G202,'caseload data'!$B:$B,"custody")</f>
        <v>0</v>
      </c>
      <c r="J203" s="94">
        <f>SUMIFS('caseload data'!K:K,'caseload data'!$D:$D,"PSO",'caseload data'!$A:$A,H202,'caseload data'!$B:$B,"custody")</f>
        <v>0</v>
      </c>
      <c r="K203" s="94">
        <f>SUMIFS('caseload data'!L:L,'caseload data'!$D:$D,"PSO",'caseload data'!$A:$A,I202,'caseload data'!$B:$B,"custody")</f>
        <v>0</v>
      </c>
      <c r="L203" s="94">
        <f>SUMIFS('caseload data'!M:M,'caseload data'!$D:$D,"PSO",'caseload data'!$A:$A,J202,'caseload data'!$B:$B,"custody")</f>
        <v>0</v>
      </c>
      <c r="M203" s="94">
        <f>SUMIFS('caseload data'!N:N,'caseload data'!$D:$D,"PSO",'caseload data'!$A:$A,K202,'caseload data'!$B:$B,"custody")</f>
        <v>0</v>
      </c>
      <c r="N203" s="94">
        <f>SUMIFS('caseload data'!O:O,'caseload data'!$D:$D,"PSO",'caseload data'!$A:$A,L202,'caseload data'!$B:$B,"custody")</f>
        <v>0</v>
      </c>
      <c r="O203" s="94">
        <f>SUMIFS('caseload data'!P:P,'caseload data'!$D:$D,"PSO",'caseload data'!$A:$A,M202,'caseload data'!$B:$B,"custody")</f>
        <v>0</v>
      </c>
      <c r="P203" s="94">
        <f>SUMIFS('caseload data'!Q:Q,'caseload data'!$D:$D,"PSO",'caseload data'!$A:$A,N202,'caseload data'!$B:$B,"custody")</f>
        <v>0</v>
      </c>
      <c r="Q203" s="94">
        <f>SUMIFS('caseload data'!R:R,'caseload data'!$D:$D,"PSO",'caseload data'!$A:$A,O202,'caseload data'!$B:$B,"custody")</f>
        <v>0</v>
      </c>
      <c r="R203" s="94">
        <f>SUMIFS('caseload data'!S:S,'caseload data'!$D:$D,"PSO",'caseload data'!$A:$A,P202,'caseload data'!$B:$B,"custody")</f>
        <v>0</v>
      </c>
      <c r="S203" s="94">
        <f>SUMIFS('caseload data'!T:T,'caseload data'!$D:$D,"PSO",'caseload data'!$A:$A,Q202,'caseload data'!$B:$B,"custody")</f>
        <v>0</v>
      </c>
      <c r="T203" s="94">
        <f>SUMIFS('caseload data'!V:V,'caseload data'!D:D,"PSO",'caseload data'!A:A,B202,'caseload data'!B:B,"custody")</f>
        <v>0</v>
      </c>
      <c r="U203" s="64"/>
      <c r="V203" s="64"/>
      <c r="W203" s="474"/>
      <c r="X203" s="129" t="s">
        <v>1002</v>
      </c>
      <c r="Y203" s="167" t="e">
        <f t="shared" ref="Y203:Y206" si="107">SUM(D203)/SUM(D$202:D$206)</f>
        <v>#DIV/0!</v>
      </c>
      <c r="Z203" s="167" t="e">
        <f t="shared" si="106"/>
        <v>#DIV/0!</v>
      </c>
      <c r="AA203" s="167" t="e">
        <f t="shared" si="106"/>
        <v>#DIV/0!</v>
      </c>
      <c r="AB203" s="167" t="e">
        <f t="shared" si="106"/>
        <v>#DIV/0!</v>
      </c>
      <c r="AC203" s="167" t="e">
        <f t="shared" si="106"/>
        <v>#DIV/0!</v>
      </c>
      <c r="AD203" s="167" t="e">
        <f t="shared" si="106"/>
        <v>#DIV/0!</v>
      </c>
      <c r="AE203" s="167" t="e">
        <f t="shared" si="106"/>
        <v>#DIV/0!</v>
      </c>
      <c r="AF203" s="167" t="e">
        <f t="shared" si="106"/>
        <v>#DIV/0!</v>
      </c>
      <c r="AG203" s="167" t="e">
        <f t="shared" si="106"/>
        <v>#DIV/0!</v>
      </c>
      <c r="AH203" s="167" t="e">
        <f t="shared" si="106"/>
        <v>#DIV/0!</v>
      </c>
      <c r="AI203" s="167" t="e">
        <f t="shared" si="106"/>
        <v>#DIV/0!</v>
      </c>
      <c r="AJ203" s="167" t="e">
        <f t="shared" si="106"/>
        <v>#DIV/0!</v>
      </c>
      <c r="AK203" s="167" t="e">
        <f t="shared" si="106"/>
        <v>#DIV/0!</v>
      </c>
      <c r="AL203" s="167" t="e">
        <f t="shared" si="106"/>
        <v>#DIV/0!</v>
      </c>
      <c r="AM203" s="167" t="e">
        <f t="shared" si="106"/>
        <v>#DIV/0!</v>
      </c>
      <c r="AN203" s="167" t="e">
        <f t="shared" si="106"/>
        <v>#DIV/0!</v>
      </c>
      <c r="AO203" s="167" t="e">
        <f t="shared" si="106"/>
        <v>#DIV/0!</v>
      </c>
    </row>
    <row r="204" spans="2:41" x14ac:dyDescent="0.15">
      <c r="B204" s="474"/>
      <c r="C204" s="129" t="s">
        <v>1003</v>
      </c>
      <c r="D204" s="94">
        <f>SUMIFS('caseload data'!E:E,'caseload data'!$D:$D,"TPO",'caseload data'!$A:$A,B202,'caseload data'!$B:$B,"custody")</f>
        <v>0</v>
      </c>
      <c r="E204" s="94">
        <f>SUMIFS('caseload data'!F:F,'caseload data'!$D:$D,"TPO",'caseload data'!$A:$A,C202,'caseload data'!$B:$B,"custody")</f>
        <v>0</v>
      </c>
      <c r="F204" s="94">
        <f>SUMIFS('caseload data'!G:G,'caseload data'!$D:$D,"TPO",'caseload data'!$A:$A,D202,'caseload data'!$B:$B,"custody")</f>
        <v>0</v>
      </c>
      <c r="G204" s="94">
        <f>SUMIFS('caseload data'!H:H,'caseload data'!$D:$D,"TPO",'caseload data'!$A:$A,E202,'caseload data'!$B:$B,"custody")</f>
        <v>0</v>
      </c>
      <c r="H204" s="94">
        <f>SUMIFS('caseload data'!I:I,'caseload data'!$D:$D,"TPO",'caseload data'!$A:$A,F202,'caseload data'!$B:$B,"custody")</f>
        <v>0</v>
      </c>
      <c r="I204" s="94">
        <f>SUMIFS('caseload data'!J:J,'caseload data'!$D:$D,"TPO",'caseload data'!$A:$A,G202,'caseload data'!$B:$B,"custody")</f>
        <v>0</v>
      </c>
      <c r="J204" s="94">
        <f>SUMIFS('caseload data'!K:K,'caseload data'!$D:$D,"TPO",'caseload data'!$A:$A,H202,'caseload data'!$B:$B,"custody")</f>
        <v>0</v>
      </c>
      <c r="K204" s="94">
        <f>SUMIFS('caseload data'!L:L,'caseload data'!$D:$D,"TPO",'caseload data'!$A:$A,I202,'caseload data'!$B:$B,"custody")</f>
        <v>0</v>
      </c>
      <c r="L204" s="94">
        <f>SUMIFS('caseload data'!M:M,'caseload data'!$D:$D,"TPO",'caseload data'!$A:$A,J202,'caseload data'!$B:$B,"custody")</f>
        <v>0</v>
      </c>
      <c r="M204" s="94">
        <f>SUMIFS('caseload data'!N:N,'caseload data'!$D:$D,"TPO",'caseload data'!$A:$A,K202,'caseload data'!$B:$B,"custody")</f>
        <v>0</v>
      </c>
      <c r="N204" s="94">
        <f>SUMIFS('caseload data'!O:O,'caseload data'!$D:$D,"TPO",'caseload data'!$A:$A,L202,'caseload data'!$B:$B,"custody")</f>
        <v>0</v>
      </c>
      <c r="O204" s="94">
        <f>SUMIFS('caseload data'!P:P,'caseload data'!$D:$D,"TPO",'caseload data'!$A:$A,M202,'caseload data'!$B:$B,"custody")</f>
        <v>0</v>
      </c>
      <c r="P204" s="94">
        <f>SUMIFS('caseload data'!Q:Q,'caseload data'!$D:$D,"TPO",'caseload data'!$A:$A,N202,'caseload data'!$B:$B,"custody")</f>
        <v>0</v>
      </c>
      <c r="Q204" s="94">
        <f>SUMIFS('caseload data'!R:R,'caseload data'!$D:$D,"TPO",'caseload data'!$A:$A,O202,'caseload data'!$B:$B,"custody")</f>
        <v>0</v>
      </c>
      <c r="R204" s="94">
        <f>SUMIFS('caseload data'!S:S,'caseload data'!$D:$D,"TPO",'caseload data'!$A:$A,P202,'caseload data'!$B:$B,"custody")</f>
        <v>0</v>
      </c>
      <c r="S204" s="94">
        <f>SUMIFS('caseload data'!T:T,'caseload data'!$D:$D,"TPO",'caseload data'!$A:$A,Q202,'caseload data'!$B:$B,"custody")</f>
        <v>0</v>
      </c>
      <c r="T204" s="94">
        <f>SUMIFS('caseload data'!V:V,'caseload data'!D:D,"TPO",'caseload data'!A:A,B202,'caseload data'!B:B,"custody")</f>
        <v>0</v>
      </c>
      <c r="U204" s="64"/>
      <c r="V204" s="64"/>
      <c r="W204" s="474"/>
      <c r="X204" s="129" t="s">
        <v>1003</v>
      </c>
      <c r="Y204" s="167" t="e">
        <f t="shared" si="107"/>
        <v>#DIV/0!</v>
      </c>
      <c r="Z204" s="167" t="e">
        <f t="shared" si="106"/>
        <v>#DIV/0!</v>
      </c>
      <c r="AA204" s="167" t="e">
        <f t="shared" si="106"/>
        <v>#DIV/0!</v>
      </c>
      <c r="AB204" s="167" t="e">
        <f t="shared" si="106"/>
        <v>#DIV/0!</v>
      </c>
      <c r="AC204" s="167" t="e">
        <f t="shared" si="106"/>
        <v>#DIV/0!</v>
      </c>
      <c r="AD204" s="167" t="e">
        <f t="shared" si="106"/>
        <v>#DIV/0!</v>
      </c>
      <c r="AE204" s="167" t="e">
        <f t="shared" si="106"/>
        <v>#DIV/0!</v>
      </c>
      <c r="AF204" s="167" t="e">
        <f t="shared" si="106"/>
        <v>#DIV/0!</v>
      </c>
      <c r="AG204" s="167" t="e">
        <f t="shared" si="106"/>
        <v>#DIV/0!</v>
      </c>
      <c r="AH204" s="167" t="e">
        <f t="shared" si="106"/>
        <v>#DIV/0!</v>
      </c>
      <c r="AI204" s="167" t="e">
        <f t="shared" si="106"/>
        <v>#DIV/0!</v>
      </c>
      <c r="AJ204" s="167" t="e">
        <f t="shared" si="106"/>
        <v>#DIV/0!</v>
      </c>
      <c r="AK204" s="167" t="e">
        <f t="shared" si="106"/>
        <v>#DIV/0!</v>
      </c>
      <c r="AL204" s="167" t="e">
        <f t="shared" si="106"/>
        <v>#DIV/0!</v>
      </c>
      <c r="AM204" s="167" t="e">
        <f t="shared" si="106"/>
        <v>#DIV/0!</v>
      </c>
      <c r="AN204" s="167" t="e">
        <f t="shared" si="106"/>
        <v>#DIV/0!</v>
      </c>
      <c r="AO204" s="167" t="e">
        <f t="shared" si="106"/>
        <v>#DIV/0!</v>
      </c>
    </row>
    <row r="205" spans="2:41" x14ac:dyDescent="0.15">
      <c r="B205" s="474"/>
      <c r="C205" s="129" t="s">
        <v>1004</v>
      </c>
      <c r="D205" s="94">
        <f>SUMIFS('caseload data'!E:E,'caseload data'!$D:$D,"SPO",'caseload data'!$A:$A,"Yorkshire and The Humber",'caseload data'!$B:$B,"custody")</f>
        <v>0</v>
      </c>
      <c r="E205" s="94">
        <f>SUMIFS('caseload data'!F:F,'caseload data'!$D:$D,"SPO",'caseload data'!$A:$A,"Yorkshire and The Humber",'caseload data'!$B:$B,"custody")</f>
        <v>0</v>
      </c>
      <c r="F205" s="94">
        <f>SUMIFS('caseload data'!G:G,'caseload data'!$D:$D,"SPO",'caseload data'!$A:$A,"Yorkshire and The Humber",'caseload data'!$B:$B,"custody")</f>
        <v>0</v>
      </c>
      <c r="G205" s="94">
        <f>SUMIFS('caseload data'!H:H,'caseload data'!$D:$D,"SPO",'caseload data'!$A:$A,"Yorkshire and The Humber",'caseload data'!$B:$B,"custody")</f>
        <v>0</v>
      </c>
      <c r="H205" s="94">
        <f>SUMIFS('caseload data'!I:I,'caseload data'!$D:$D,"SPO",'caseload data'!$A:$A,"Yorkshire and The Humber",'caseload data'!$B:$B,"custody")</f>
        <v>0</v>
      </c>
      <c r="I205" s="94">
        <f>SUMIFS('caseload data'!J:J,'caseload data'!$D:$D,"SPO",'caseload data'!$A:$A,"Yorkshire and The Humber",'caseload data'!$B:$B,"custody")</f>
        <v>0</v>
      </c>
      <c r="J205" s="94">
        <f>SUMIFS('caseload data'!K:K,'caseload data'!$D:$D,"SPO",'caseload data'!$A:$A,"Yorkshire and The Humber",'caseload data'!$B:$B,"custody")</f>
        <v>0</v>
      </c>
      <c r="K205" s="94">
        <f>SUMIFS('caseload data'!L:L,'caseload data'!$D:$D,"SPO",'caseload data'!$A:$A,"Yorkshire and The Humber",'caseload data'!$B:$B,"custody")</f>
        <v>0</v>
      </c>
      <c r="L205" s="94">
        <f>SUMIFS('caseload data'!M:M,'caseload data'!$D:$D,"SPO",'caseload data'!$A:$A,"Yorkshire and The Humber",'caseload data'!$B:$B,"custody")</f>
        <v>0</v>
      </c>
      <c r="M205" s="94">
        <f>SUMIFS('caseload data'!N:N,'caseload data'!$D:$D,"SPO",'caseload data'!$A:$A,"Yorkshire and The Humber",'caseload data'!$B:$B,"custody")</f>
        <v>0</v>
      </c>
      <c r="N205" s="94">
        <f>SUMIFS('caseload data'!O:O,'caseload data'!$D:$D,"SPO",'caseload data'!$A:$A,"Yorkshire and The Humber",'caseload data'!$B:$B,"custody")</f>
        <v>0</v>
      </c>
      <c r="O205" s="94">
        <f>SUMIFS('caseload data'!P:P,'caseload data'!$D:$D,"SPO",'caseload data'!$A:$A,"Yorkshire and The Humber",'caseload data'!$B:$B,"custody")</f>
        <v>0</v>
      </c>
      <c r="P205" s="94">
        <f>SUMIFS('caseload data'!Q:Q,'caseload data'!$D:$D,"SPO",'caseload data'!$A:$A,"Yorkshire and The Humber",'caseload data'!$B:$B,"custody")</f>
        <v>0</v>
      </c>
      <c r="Q205" s="94">
        <f>SUMIFS('caseload data'!R:R,'caseload data'!$D:$D,"SPO",'caseload data'!$A:$A,"Yorkshire and The Humber",'caseload data'!$B:$B,"custody")</f>
        <v>0</v>
      </c>
      <c r="R205" s="94">
        <f>SUMIFS('caseload data'!S:S,'caseload data'!$D:$D,"SPO",'caseload data'!$A:$A,"Yorkshire and The Humber",'caseload data'!$B:$B,"custody")</f>
        <v>0</v>
      </c>
      <c r="S205" s="94">
        <f>SUMIFS('caseload data'!T:T,'caseload data'!$D:$D,"SPO",'caseload data'!$A:$A,"Yorkshire and The Humber",'caseload data'!$B:$B,"custody")</f>
        <v>0</v>
      </c>
      <c r="T205" s="94">
        <f>SUMIFS('caseload data'!V:V,'caseload data'!$D:$D,"SPO",'caseload data'!$A:$A,"Yorkshire and The Humber",'caseload data'!$B:$B,"custody")</f>
        <v>0</v>
      </c>
      <c r="U205" s="64"/>
      <c r="V205" s="64"/>
      <c r="W205" s="474"/>
      <c r="X205" s="129" t="s">
        <v>1004</v>
      </c>
      <c r="Y205" s="167" t="e">
        <f t="shared" si="107"/>
        <v>#DIV/0!</v>
      </c>
      <c r="Z205" s="167" t="e">
        <f t="shared" si="106"/>
        <v>#DIV/0!</v>
      </c>
      <c r="AA205" s="167" t="e">
        <f t="shared" si="106"/>
        <v>#DIV/0!</v>
      </c>
      <c r="AB205" s="167" t="e">
        <f t="shared" si="106"/>
        <v>#DIV/0!</v>
      </c>
      <c r="AC205" s="167" t="e">
        <f t="shared" si="106"/>
        <v>#DIV/0!</v>
      </c>
      <c r="AD205" s="167" t="e">
        <f t="shared" si="106"/>
        <v>#DIV/0!</v>
      </c>
      <c r="AE205" s="167" t="e">
        <f t="shared" si="106"/>
        <v>#DIV/0!</v>
      </c>
      <c r="AF205" s="167" t="e">
        <f t="shared" si="106"/>
        <v>#DIV/0!</v>
      </c>
      <c r="AG205" s="167" t="e">
        <f t="shared" si="106"/>
        <v>#DIV/0!</v>
      </c>
      <c r="AH205" s="167" t="e">
        <f t="shared" si="106"/>
        <v>#DIV/0!</v>
      </c>
      <c r="AI205" s="167" t="e">
        <f t="shared" si="106"/>
        <v>#DIV/0!</v>
      </c>
      <c r="AJ205" s="167" t="e">
        <f t="shared" si="106"/>
        <v>#DIV/0!</v>
      </c>
      <c r="AK205" s="167" t="e">
        <f t="shared" si="106"/>
        <v>#DIV/0!</v>
      </c>
      <c r="AL205" s="167" t="e">
        <f t="shared" si="106"/>
        <v>#DIV/0!</v>
      </c>
      <c r="AM205" s="167" t="e">
        <f t="shared" si="106"/>
        <v>#DIV/0!</v>
      </c>
      <c r="AN205" s="167" t="e">
        <f t="shared" si="106"/>
        <v>#DIV/0!</v>
      </c>
      <c r="AO205" s="167" t="e">
        <f t="shared" si="106"/>
        <v>#DIV/0!</v>
      </c>
    </row>
    <row r="206" spans="2:41" ht="15" thickBot="1" x14ac:dyDescent="0.2">
      <c r="B206" s="474"/>
      <c r="C206" s="129" t="s">
        <v>1339</v>
      </c>
      <c r="D206" s="377">
        <f>SUMIFS('caseload data'!E:E,'caseload data'!$D:$D,"DMY",'caseload data'!$A:$A,"Yorkshire and The Humber",'caseload data'!$B:$B,"custody")</f>
        <v>0</v>
      </c>
      <c r="E206" s="377">
        <f>SUMIFS('caseload data'!F:F,'caseload data'!$D:$D,"DMY",'caseload data'!$A:$A,"Yorkshire and The Humber",'caseload data'!$B:$B,"custody")</f>
        <v>0</v>
      </c>
      <c r="F206" s="377">
        <f>SUMIFS('caseload data'!G:G,'caseload data'!$D:$D,"DMY",'caseload data'!$A:$A,"Yorkshire and The Humber",'caseload data'!$B:$B,"custody")</f>
        <v>0</v>
      </c>
      <c r="G206" s="377">
        <f>SUMIFS('caseload data'!H:H,'caseload data'!$D:$D,"DMY",'caseload data'!$A:$A,"Yorkshire and The Humber",'caseload data'!$B:$B,"custody")</f>
        <v>0</v>
      </c>
      <c r="H206" s="377">
        <f>SUMIFS('caseload data'!I:I,'caseload data'!$D:$D,"DMY",'caseload data'!$A:$A,"Yorkshire and The Humber",'caseload data'!$B:$B,"custody")</f>
        <v>0</v>
      </c>
      <c r="I206" s="377">
        <f>SUMIFS('caseload data'!J:J,'caseload data'!$D:$D,"DMY",'caseload data'!$A:$A,"Yorkshire and The Humber",'caseload data'!$B:$B,"custody")</f>
        <v>0</v>
      </c>
      <c r="J206" s="377">
        <f>SUMIFS('caseload data'!K:K,'caseload data'!$D:$D,"DMY",'caseload data'!$A:$A,"Yorkshire and The Humber",'caseload data'!$B:$B,"custody")</f>
        <v>0</v>
      </c>
      <c r="K206" s="377">
        <f>SUMIFS('caseload data'!L:L,'caseload data'!$D:$D,"DMY",'caseload data'!$A:$A,"Yorkshire and The Humber",'caseload data'!$B:$B,"custody")</f>
        <v>0</v>
      </c>
      <c r="L206" s="377">
        <f>SUMIFS('caseload data'!M:M,'caseload data'!$D:$D,"DMY",'caseload data'!$A:$A,"Yorkshire and The Humber",'caseload data'!$B:$B,"custody")</f>
        <v>0</v>
      </c>
      <c r="M206" s="377">
        <f>SUMIFS('caseload data'!N:N,'caseload data'!$D:$D,"DMY",'caseload data'!$A:$A,"Yorkshire and The Humber",'caseload data'!$B:$B,"custody")</f>
        <v>0</v>
      </c>
      <c r="N206" s="377">
        <f>SUMIFS('caseload data'!O:O,'caseload data'!$D:$D,"DMY",'caseload data'!$A:$A,"Yorkshire and The Humber",'caseload data'!$B:$B,"custody")</f>
        <v>0</v>
      </c>
      <c r="O206" s="377">
        <f>SUMIFS('caseload data'!P:P,'caseload data'!$D:$D,"DMY",'caseload data'!$A:$A,"Yorkshire and The Humber",'caseload data'!$B:$B,"custody")</f>
        <v>0</v>
      </c>
      <c r="P206" s="377">
        <f>SUMIFS('caseload data'!Q:Q,'caseload data'!$D:$D,"DMY",'caseload data'!$A:$A,"Yorkshire and The Humber",'caseload data'!$B:$B,"custody")</f>
        <v>0</v>
      </c>
      <c r="Q206" s="377">
        <f>SUMIFS('caseload data'!R:R,'caseload data'!$D:$D,"DMY",'caseload data'!$A:$A,"Yorkshire and The Humber",'caseload data'!$B:$B,"custody")</f>
        <v>0</v>
      </c>
      <c r="R206" s="377">
        <f>SUMIFS('caseload data'!S:S,'caseload data'!$D:$D,"DMY",'caseload data'!$A:$A,"Yorkshire and The Humber",'caseload data'!$B:$B,"custody")</f>
        <v>0</v>
      </c>
      <c r="S206" s="377">
        <f>SUMIFS('caseload data'!T:T,'caseload data'!$D:$D,"DMY",'caseload data'!$A:$A,"Yorkshire and The Humber",'caseload data'!$B:$B,"custody")</f>
        <v>0</v>
      </c>
      <c r="T206" s="377">
        <f>SUMIFS('caseload data'!V:V,'caseload data'!$D:$D,"DMY",'caseload data'!$A:$A,"Yorkshire and The Humber",'caseload data'!$B:$B,"custody")</f>
        <v>0</v>
      </c>
      <c r="U206" s="64"/>
      <c r="V206" s="64"/>
      <c r="W206" s="474"/>
      <c r="X206" s="129" t="s">
        <v>1339</v>
      </c>
      <c r="Y206" s="373" t="e">
        <f t="shared" si="107"/>
        <v>#DIV/0!</v>
      </c>
      <c r="Z206" s="373" t="e">
        <f t="shared" si="106"/>
        <v>#DIV/0!</v>
      </c>
      <c r="AA206" s="373" t="e">
        <f t="shared" si="106"/>
        <v>#DIV/0!</v>
      </c>
      <c r="AB206" s="373" t="e">
        <f t="shared" si="106"/>
        <v>#DIV/0!</v>
      </c>
      <c r="AC206" s="373" t="e">
        <f t="shared" si="106"/>
        <v>#DIV/0!</v>
      </c>
      <c r="AD206" s="373" t="e">
        <f t="shared" si="106"/>
        <v>#DIV/0!</v>
      </c>
      <c r="AE206" s="373" t="e">
        <f t="shared" si="106"/>
        <v>#DIV/0!</v>
      </c>
      <c r="AF206" s="373" t="e">
        <f t="shared" si="106"/>
        <v>#DIV/0!</v>
      </c>
      <c r="AG206" s="373" t="e">
        <f t="shared" si="106"/>
        <v>#DIV/0!</v>
      </c>
      <c r="AH206" s="373" t="e">
        <f t="shared" si="106"/>
        <v>#DIV/0!</v>
      </c>
      <c r="AI206" s="373" t="e">
        <f t="shared" si="106"/>
        <v>#DIV/0!</v>
      </c>
      <c r="AJ206" s="373" t="e">
        <f t="shared" si="106"/>
        <v>#DIV/0!</v>
      </c>
      <c r="AK206" s="373" t="e">
        <f t="shared" si="106"/>
        <v>#DIV/0!</v>
      </c>
      <c r="AL206" s="373" t="e">
        <f t="shared" si="106"/>
        <v>#DIV/0!</v>
      </c>
      <c r="AM206" s="373" t="e">
        <f t="shared" si="106"/>
        <v>#DIV/0!</v>
      </c>
      <c r="AN206" s="373" t="e">
        <f t="shared" si="106"/>
        <v>#DIV/0!</v>
      </c>
      <c r="AO206" s="373" t="e">
        <f t="shared" si="106"/>
        <v>#DIV/0!</v>
      </c>
    </row>
    <row r="207" spans="2:41" x14ac:dyDescent="0.15">
      <c r="B207" s="497" t="s">
        <v>959</v>
      </c>
      <c r="C207" s="378" t="s">
        <v>997</v>
      </c>
      <c r="D207" s="379">
        <f>SUMIFS('caseload data'!E:E,'caseload data'!$D:$D,"PO",'caseload data'!$B:$B,"custody")</f>
        <v>0</v>
      </c>
      <c r="E207" s="379">
        <f>SUMIFS('caseload data'!F:F,'caseload data'!$D:$D,"PO",'caseload data'!$B:$B,"custody")</f>
        <v>0</v>
      </c>
      <c r="F207" s="379">
        <f>SUMIFS('caseload data'!G:G,'caseload data'!$D:$D,"PO",'caseload data'!$B:$B,"custody")</f>
        <v>0</v>
      </c>
      <c r="G207" s="379">
        <f>SUMIFS('caseload data'!H:H,'caseload data'!$D:$D,"PO",'caseload data'!$B:$B,"custody")</f>
        <v>0</v>
      </c>
      <c r="H207" s="379">
        <f>SUMIFS('caseload data'!I:I,'caseload data'!$D:$D,"PO",'caseload data'!$B:$B,"custody")</f>
        <v>0</v>
      </c>
      <c r="I207" s="379">
        <f>SUMIFS('caseload data'!J:J,'caseload data'!$D:$D,"PO",'caseload data'!$B:$B,"custody")</f>
        <v>0</v>
      </c>
      <c r="J207" s="379">
        <f>SUMIFS('caseload data'!K:K,'caseload data'!$D:$D,"PO",'caseload data'!$B:$B,"custody")</f>
        <v>0</v>
      </c>
      <c r="K207" s="379">
        <f>SUMIFS('caseload data'!L:L,'caseload data'!$D:$D,"PO",'caseload data'!$B:$B,"custody")</f>
        <v>0</v>
      </c>
      <c r="L207" s="379">
        <f>SUMIFS('caseload data'!M:M,'caseload data'!$D:$D,"PO",'caseload data'!$B:$B,"custody")</f>
        <v>0</v>
      </c>
      <c r="M207" s="379">
        <f>SUMIFS('caseload data'!N:N,'caseload data'!$D:$D,"PO",'caseload data'!$B:$B,"custody")</f>
        <v>0</v>
      </c>
      <c r="N207" s="379">
        <f>SUMIFS('caseload data'!O:O,'caseload data'!$D:$D,"PO",'caseload data'!$B:$B,"custody")</f>
        <v>0</v>
      </c>
      <c r="O207" s="379">
        <f>SUMIFS('caseload data'!P:P,'caseload data'!$D:$D,"PO",'caseload data'!$B:$B,"custody")</f>
        <v>0</v>
      </c>
      <c r="P207" s="379">
        <f>SUMIFS('caseload data'!Q:Q,'caseload data'!$D:$D,"PO",'caseload data'!$B:$B,"custody")</f>
        <v>0</v>
      </c>
      <c r="Q207" s="379">
        <f>SUMIFS('caseload data'!R:R,'caseload data'!$D:$D,"PO",'caseload data'!$B:$B,"custody")</f>
        <v>0</v>
      </c>
      <c r="R207" s="379">
        <f>SUMIFS('caseload data'!S:S,'caseload data'!$D:$D,"PO",'caseload data'!$B:$B,"custody")</f>
        <v>0</v>
      </c>
      <c r="S207" s="379">
        <f>SUMIFS('caseload data'!T:T,'caseload data'!$D:$D,"PO",'caseload data'!$B:$B,"custody")</f>
        <v>0</v>
      </c>
      <c r="T207" s="380">
        <f>SUMIFS('caseload data'!V:V,'caseload data'!D:D,"PO",'caseload data'!B:B,"custody")</f>
        <v>0</v>
      </c>
      <c r="U207" s="64"/>
      <c r="V207" s="64"/>
      <c r="W207" s="500" t="s">
        <v>959</v>
      </c>
      <c r="X207" s="386" t="s">
        <v>997</v>
      </c>
      <c r="Y207" s="388" t="e">
        <f>SUM(D207)/SUM(D$207:D$211)</f>
        <v>#DIV/0!</v>
      </c>
      <c r="Z207" s="388" t="e">
        <f t="shared" ref="Z207:AO211" si="108">SUM(E207)/SUM(E$207:E$211)</f>
        <v>#DIV/0!</v>
      </c>
      <c r="AA207" s="388" t="e">
        <f t="shared" si="108"/>
        <v>#DIV/0!</v>
      </c>
      <c r="AB207" s="388" t="e">
        <f t="shared" si="108"/>
        <v>#DIV/0!</v>
      </c>
      <c r="AC207" s="388" t="e">
        <f t="shared" si="108"/>
        <v>#DIV/0!</v>
      </c>
      <c r="AD207" s="388" t="e">
        <f t="shared" si="108"/>
        <v>#DIV/0!</v>
      </c>
      <c r="AE207" s="388" t="e">
        <f t="shared" si="108"/>
        <v>#DIV/0!</v>
      </c>
      <c r="AF207" s="388" t="e">
        <f t="shared" si="108"/>
        <v>#DIV/0!</v>
      </c>
      <c r="AG207" s="388" t="e">
        <f t="shared" si="108"/>
        <v>#DIV/0!</v>
      </c>
      <c r="AH207" s="388" t="e">
        <f t="shared" si="108"/>
        <v>#DIV/0!</v>
      </c>
      <c r="AI207" s="388" t="e">
        <f t="shared" si="108"/>
        <v>#DIV/0!</v>
      </c>
      <c r="AJ207" s="388" t="e">
        <f t="shared" si="108"/>
        <v>#DIV/0!</v>
      </c>
      <c r="AK207" s="388" t="e">
        <f t="shared" si="108"/>
        <v>#DIV/0!</v>
      </c>
      <c r="AL207" s="388" t="e">
        <f t="shared" si="108"/>
        <v>#DIV/0!</v>
      </c>
      <c r="AM207" s="388" t="e">
        <f t="shared" si="108"/>
        <v>#DIV/0!</v>
      </c>
      <c r="AN207" s="388" t="e">
        <f t="shared" si="108"/>
        <v>#DIV/0!</v>
      </c>
      <c r="AO207" s="390" t="e">
        <f t="shared" si="108"/>
        <v>#DIV/0!</v>
      </c>
    </row>
    <row r="208" spans="2:41" x14ac:dyDescent="0.15">
      <c r="B208" s="498"/>
      <c r="C208" s="137" t="s">
        <v>1002</v>
      </c>
      <c r="D208" s="136">
        <f>SUMIFS('caseload data'!E:E,'caseload data'!$D:$D,"PSO",'caseload data'!$B:$B,"custody")</f>
        <v>0</v>
      </c>
      <c r="E208" s="136">
        <f>SUMIFS('caseload data'!F:F,'caseload data'!$D:$D,"PSO",'caseload data'!$B:$B,"custody")</f>
        <v>0</v>
      </c>
      <c r="F208" s="136">
        <f>SUMIFS('caseload data'!G:G,'caseload data'!$D:$D,"PSO",'caseload data'!$B:$B,"custody")</f>
        <v>0</v>
      </c>
      <c r="G208" s="136">
        <f>SUMIFS('caseload data'!H:H,'caseload data'!$D:$D,"PSO",'caseload data'!$B:$B,"custody")</f>
        <v>0</v>
      </c>
      <c r="H208" s="136">
        <f>SUMIFS('caseload data'!I:I,'caseload data'!$D:$D,"PSO",'caseload data'!$B:$B,"custody")</f>
        <v>0</v>
      </c>
      <c r="I208" s="136">
        <f>SUMIFS('caseload data'!J:J,'caseload data'!$D:$D,"PSO",'caseload data'!$B:$B,"custody")</f>
        <v>0</v>
      </c>
      <c r="J208" s="136">
        <f>SUMIFS('caseload data'!K:K,'caseload data'!$D:$D,"PSO",'caseload data'!$B:$B,"custody")</f>
        <v>0</v>
      </c>
      <c r="K208" s="136">
        <f>SUMIFS('caseload data'!L:L,'caseload data'!$D:$D,"PSO",'caseload data'!$B:$B,"custody")</f>
        <v>0</v>
      </c>
      <c r="L208" s="136">
        <f>SUMIFS('caseload data'!M:M,'caseload data'!$D:$D,"PSO",'caseload data'!$B:$B,"custody")</f>
        <v>0</v>
      </c>
      <c r="M208" s="136">
        <f>SUMIFS('caseload data'!N:N,'caseload data'!$D:$D,"PSO",'caseload data'!$B:$B,"custody")</f>
        <v>0</v>
      </c>
      <c r="N208" s="136">
        <f>SUMIFS('caseload data'!O:O,'caseload data'!$D:$D,"PSO",'caseload data'!$B:$B,"custody")</f>
        <v>0</v>
      </c>
      <c r="O208" s="136">
        <f>SUMIFS('caseload data'!P:P,'caseload data'!$D:$D,"PSO",'caseload data'!$B:$B,"custody")</f>
        <v>0</v>
      </c>
      <c r="P208" s="136">
        <f>SUMIFS('caseload data'!Q:Q,'caseload data'!$D:$D,"PSO",'caseload data'!$B:$B,"custody")</f>
        <v>0</v>
      </c>
      <c r="Q208" s="136">
        <f>SUMIFS('caseload data'!R:R,'caseload data'!$D:$D,"PSO",'caseload data'!$B:$B,"custody")</f>
        <v>0</v>
      </c>
      <c r="R208" s="136">
        <f>SUMIFS('caseload data'!S:S,'caseload data'!$D:$D,"PSO",'caseload data'!$B:$B,"custody")</f>
        <v>0</v>
      </c>
      <c r="S208" s="136">
        <f>SUMIFS('caseload data'!T:T,'caseload data'!$D:$D,"PSO",'caseload data'!$B:$B,"custody")</f>
        <v>0</v>
      </c>
      <c r="T208" s="381">
        <f>SUMIFS('caseload data'!V:V,'caseload data'!D:D,"PSO",'caseload data'!B:B,"custody")</f>
        <v>0</v>
      </c>
      <c r="U208" s="64"/>
      <c r="V208" s="64"/>
      <c r="W208" s="501"/>
      <c r="X208" s="372" t="s">
        <v>1002</v>
      </c>
      <c r="Y208" s="138" t="e">
        <f t="shared" ref="Y208:Y211" si="109">SUM(D208)/SUM(D$207:D$211)</f>
        <v>#DIV/0!</v>
      </c>
      <c r="Z208" s="138" t="e">
        <f t="shared" si="108"/>
        <v>#DIV/0!</v>
      </c>
      <c r="AA208" s="138" t="e">
        <f t="shared" si="108"/>
        <v>#DIV/0!</v>
      </c>
      <c r="AB208" s="138" t="e">
        <f t="shared" si="108"/>
        <v>#DIV/0!</v>
      </c>
      <c r="AC208" s="138" t="e">
        <f t="shared" si="108"/>
        <v>#DIV/0!</v>
      </c>
      <c r="AD208" s="138" t="e">
        <f t="shared" si="108"/>
        <v>#DIV/0!</v>
      </c>
      <c r="AE208" s="138" t="e">
        <f t="shared" si="108"/>
        <v>#DIV/0!</v>
      </c>
      <c r="AF208" s="138" t="e">
        <f t="shared" si="108"/>
        <v>#DIV/0!</v>
      </c>
      <c r="AG208" s="138" t="e">
        <f t="shared" si="108"/>
        <v>#DIV/0!</v>
      </c>
      <c r="AH208" s="138" t="e">
        <f t="shared" si="108"/>
        <v>#DIV/0!</v>
      </c>
      <c r="AI208" s="138" t="e">
        <f t="shared" si="108"/>
        <v>#DIV/0!</v>
      </c>
      <c r="AJ208" s="138" t="e">
        <f t="shared" si="108"/>
        <v>#DIV/0!</v>
      </c>
      <c r="AK208" s="138" t="e">
        <f t="shared" si="108"/>
        <v>#DIV/0!</v>
      </c>
      <c r="AL208" s="138" t="e">
        <f t="shared" si="108"/>
        <v>#DIV/0!</v>
      </c>
      <c r="AM208" s="138" t="e">
        <f t="shared" si="108"/>
        <v>#DIV/0!</v>
      </c>
      <c r="AN208" s="138" t="e">
        <f t="shared" si="108"/>
        <v>#DIV/0!</v>
      </c>
      <c r="AO208" s="391" t="e">
        <f t="shared" si="108"/>
        <v>#DIV/0!</v>
      </c>
    </row>
    <row r="209" spans="2:41" x14ac:dyDescent="0.15">
      <c r="B209" s="498"/>
      <c r="C209" s="137" t="s">
        <v>1003</v>
      </c>
      <c r="D209" s="136">
        <f>SUMIFS('caseload data'!E:E,'caseload data'!$D:$D,"TPO",'caseload data'!$B:$B,"custody")</f>
        <v>0</v>
      </c>
      <c r="E209" s="136">
        <f>SUMIFS('caseload data'!F:F,'caseload data'!$D:$D,"TPO",'caseload data'!$B:$B,"custody")</f>
        <v>0</v>
      </c>
      <c r="F209" s="136">
        <f>SUMIFS('caseload data'!G:G,'caseload data'!$D:$D,"TPO",'caseload data'!$B:$B,"custody")</f>
        <v>0</v>
      </c>
      <c r="G209" s="136">
        <f>SUMIFS('caseload data'!H:H,'caseload data'!$D:$D,"TPO",'caseload data'!$B:$B,"custody")</f>
        <v>0</v>
      </c>
      <c r="H209" s="136">
        <f>SUMIFS('caseload data'!I:I,'caseload data'!$D:$D,"TPO",'caseload data'!$B:$B,"custody")</f>
        <v>0</v>
      </c>
      <c r="I209" s="136">
        <f>SUMIFS('caseload data'!J:J,'caseload data'!$D:$D,"TPO",'caseload data'!$B:$B,"custody")</f>
        <v>0</v>
      </c>
      <c r="J209" s="136">
        <f>SUMIFS('caseload data'!K:K,'caseload data'!$D:$D,"TPO",'caseload data'!$B:$B,"custody")</f>
        <v>0</v>
      </c>
      <c r="K209" s="136">
        <f>SUMIFS('caseload data'!L:L,'caseload data'!$D:$D,"TPO",'caseload data'!$B:$B,"custody")</f>
        <v>0</v>
      </c>
      <c r="L209" s="136">
        <f>SUMIFS('caseload data'!M:M,'caseload data'!$D:$D,"TPO",'caseload data'!$B:$B,"custody")</f>
        <v>0</v>
      </c>
      <c r="M209" s="136">
        <f>SUMIFS('caseload data'!N:N,'caseload data'!$D:$D,"TPO",'caseload data'!$B:$B,"custody")</f>
        <v>0</v>
      </c>
      <c r="N209" s="136">
        <f>SUMIFS('caseload data'!O:O,'caseload data'!$D:$D,"TPO",'caseload data'!$B:$B,"custody")</f>
        <v>0</v>
      </c>
      <c r="O209" s="136">
        <f>SUMIFS('caseload data'!P:P,'caseload data'!$D:$D,"TPO",'caseload data'!$B:$B,"custody")</f>
        <v>0</v>
      </c>
      <c r="P209" s="136">
        <f>SUMIFS('caseload data'!Q:Q,'caseload data'!$D:$D,"TPO",'caseload data'!$B:$B,"custody")</f>
        <v>0</v>
      </c>
      <c r="Q209" s="136">
        <f>SUMIFS('caseload data'!R:R,'caseload data'!$D:$D,"TPO",'caseload data'!$B:$B,"custody")</f>
        <v>0</v>
      </c>
      <c r="R209" s="136">
        <f>SUMIFS('caseload data'!S:S,'caseload data'!$D:$D,"TPO",'caseload data'!$B:$B,"custody")</f>
        <v>0</v>
      </c>
      <c r="S209" s="136">
        <f>SUMIFS('caseload data'!T:T,'caseload data'!$D:$D,"TPO",'caseload data'!$B:$B,"custody")</f>
        <v>0</v>
      </c>
      <c r="T209" s="381">
        <f>SUMIFS('caseload data'!V:V,'caseload data'!D:D,"TPO",'caseload data'!B:B,"custody")</f>
        <v>0</v>
      </c>
      <c r="U209" s="64"/>
      <c r="V209" s="64"/>
      <c r="W209" s="501"/>
      <c r="X209" s="372" t="s">
        <v>1003</v>
      </c>
      <c r="Y209" s="138" t="e">
        <f t="shared" si="109"/>
        <v>#DIV/0!</v>
      </c>
      <c r="Z209" s="138" t="e">
        <f t="shared" si="108"/>
        <v>#DIV/0!</v>
      </c>
      <c r="AA209" s="138" t="e">
        <f t="shared" si="108"/>
        <v>#DIV/0!</v>
      </c>
      <c r="AB209" s="138" t="e">
        <f t="shared" si="108"/>
        <v>#DIV/0!</v>
      </c>
      <c r="AC209" s="138" t="e">
        <f t="shared" si="108"/>
        <v>#DIV/0!</v>
      </c>
      <c r="AD209" s="138" t="e">
        <f t="shared" si="108"/>
        <v>#DIV/0!</v>
      </c>
      <c r="AE209" s="138" t="e">
        <f t="shared" si="108"/>
        <v>#DIV/0!</v>
      </c>
      <c r="AF209" s="138" t="e">
        <f t="shared" si="108"/>
        <v>#DIV/0!</v>
      </c>
      <c r="AG209" s="138" t="e">
        <f t="shared" si="108"/>
        <v>#DIV/0!</v>
      </c>
      <c r="AH209" s="138" t="e">
        <f t="shared" si="108"/>
        <v>#DIV/0!</v>
      </c>
      <c r="AI209" s="138" t="e">
        <f t="shared" si="108"/>
        <v>#DIV/0!</v>
      </c>
      <c r="AJ209" s="138" t="e">
        <f t="shared" si="108"/>
        <v>#DIV/0!</v>
      </c>
      <c r="AK209" s="138" t="e">
        <f t="shared" si="108"/>
        <v>#DIV/0!</v>
      </c>
      <c r="AL209" s="138" t="e">
        <f t="shared" si="108"/>
        <v>#DIV/0!</v>
      </c>
      <c r="AM209" s="138" t="e">
        <f t="shared" si="108"/>
        <v>#DIV/0!</v>
      </c>
      <c r="AN209" s="138" t="e">
        <f t="shared" si="108"/>
        <v>#DIV/0!</v>
      </c>
      <c r="AO209" s="391" t="e">
        <f t="shared" si="108"/>
        <v>#DIV/0!</v>
      </c>
    </row>
    <row r="210" spans="2:41" x14ac:dyDescent="0.15">
      <c r="B210" s="498"/>
      <c r="C210" s="137" t="s">
        <v>1004</v>
      </c>
      <c r="D210" s="136">
        <f>SUMIFS('caseload data'!E:E,'caseload data'!$D:$D,"SPO",'caseload data'!$B:$B,"custody")</f>
        <v>0</v>
      </c>
      <c r="E210" s="136">
        <f>SUMIFS('caseload data'!F:F,'caseload data'!$D:$D,"SPO",'caseload data'!$B:$B,"custody")</f>
        <v>0</v>
      </c>
      <c r="F210" s="136">
        <f>SUMIFS('caseload data'!G:G,'caseload data'!$D:$D,"SPO",'caseload data'!$B:$B,"custody")</f>
        <v>0</v>
      </c>
      <c r="G210" s="136">
        <f>SUMIFS('caseload data'!H:H,'caseload data'!$D:$D,"SPO",'caseload data'!$B:$B,"custody")</f>
        <v>0</v>
      </c>
      <c r="H210" s="136">
        <f>SUMIFS('caseload data'!I:I,'caseload data'!$D:$D,"SPO",'caseload data'!$B:$B,"custody")</f>
        <v>0</v>
      </c>
      <c r="I210" s="136">
        <f>SUMIFS('caseload data'!J:J,'caseload data'!$D:$D,"SPO",'caseload data'!$B:$B,"custody")</f>
        <v>0</v>
      </c>
      <c r="J210" s="136">
        <f>SUMIFS('caseload data'!K:K,'caseload data'!$D:$D,"SPO",'caseload data'!$B:$B,"custody")</f>
        <v>0</v>
      </c>
      <c r="K210" s="136">
        <f>SUMIFS('caseload data'!L:L,'caseload data'!$D:$D,"SPO",'caseload data'!$B:$B,"custody")</f>
        <v>0</v>
      </c>
      <c r="L210" s="136">
        <f>SUMIFS('caseload data'!M:M,'caseload data'!$D:$D,"SPO",'caseload data'!$B:$B,"custody")</f>
        <v>0</v>
      </c>
      <c r="M210" s="136">
        <f>SUMIFS('caseload data'!N:N,'caseload data'!$D:$D,"SPO",'caseload data'!$B:$B,"custody")</f>
        <v>0</v>
      </c>
      <c r="N210" s="136">
        <f>SUMIFS('caseload data'!O:O,'caseload data'!$D:$D,"SPO",'caseload data'!$B:$B,"custody")</f>
        <v>0</v>
      </c>
      <c r="O210" s="136">
        <f>SUMIFS('caseload data'!P:P,'caseload data'!$D:$D,"SPO",'caseload data'!$B:$B,"custody")</f>
        <v>0</v>
      </c>
      <c r="P210" s="136">
        <f>SUMIFS('caseload data'!Q:Q,'caseload data'!$D:$D,"SPO",'caseload data'!$B:$B,"custody")</f>
        <v>0</v>
      </c>
      <c r="Q210" s="136">
        <f>SUMIFS('caseload data'!R:R,'caseload data'!$D:$D,"SPO",'caseload data'!$B:$B,"custody")</f>
        <v>0</v>
      </c>
      <c r="R210" s="136">
        <f>SUMIFS('caseload data'!S:S,'caseload data'!$D:$D,"SPO",'caseload data'!$B:$B,"custody")</f>
        <v>0</v>
      </c>
      <c r="S210" s="136">
        <f>SUMIFS('caseload data'!T:T,'caseload data'!$D:$D,"SPO",'caseload data'!$B:$B,"custody")</f>
        <v>0</v>
      </c>
      <c r="T210" s="381">
        <f>SUMIFS('caseload data'!V:V,'caseload data'!$D:$D,"SPO",'caseload data'!$B:$B,"custody")</f>
        <v>0</v>
      </c>
      <c r="U210" s="64"/>
      <c r="V210" s="64"/>
      <c r="W210" s="501"/>
      <c r="X210" s="372" t="s">
        <v>1004</v>
      </c>
      <c r="Y210" s="138" t="e">
        <f t="shared" si="109"/>
        <v>#DIV/0!</v>
      </c>
      <c r="Z210" s="138" t="e">
        <f t="shared" si="108"/>
        <v>#DIV/0!</v>
      </c>
      <c r="AA210" s="138" t="e">
        <f t="shared" si="108"/>
        <v>#DIV/0!</v>
      </c>
      <c r="AB210" s="138" t="e">
        <f t="shared" si="108"/>
        <v>#DIV/0!</v>
      </c>
      <c r="AC210" s="138" t="e">
        <f t="shared" si="108"/>
        <v>#DIV/0!</v>
      </c>
      <c r="AD210" s="138" t="e">
        <f t="shared" si="108"/>
        <v>#DIV/0!</v>
      </c>
      <c r="AE210" s="138" t="e">
        <f t="shared" si="108"/>
        <v>#DIV/0!</v>
      </c>
      <c r="AF210" s="138" t="e">
        <f t="shared" si="108"/>
        <v>#DIV/0!</v>
      </c>
      <c r="AG210" s="138" t="e">
        <f t="shared" si="108"/>
        <v>#DIV/0!</v>
      </c>
      <c r="AH210" s="138" t="e">
        <f t="shared" si="108"/>
        <v>#DIV/0!</v>
      </c>
      <c r="AI210" s="138" t="e">
        <f t="shared" si="108"/>
        <v>#DIV/0!</v>
      </c>
      <c r="AJ210" s="138" t="e">
        <f t="shared" si="108"/>
        <v>#DIV/0!</v>
      </c>
      <c r="AK210" s="138" t="e">
        <f t="shared" si="108"/>
        <v>#DIV/0!</v>
      </c>
      <c r="AL210" s="138" t="e">
        <f t="shared" si="108"/>
        <v>#DIV/0!</v>
      </c>
      <c r="AM210" s="138" t="e">
        <f t="shared" si="108"/>
        <v>#DIV/0!</v>
      </c>
      <c r="AN210" s="138" t="e">
        <f t="shared" si="108"/>
        <v>#DIV/0!</v>
      </c>
      <c r="AO210" s="391" t="e">
        <f t="shared" si="108"/>
        <v>#DIV/0!</v>
      </c>
    </row>
    <row r="211" spans="2:41" ht="15" thickBot="1" x14ac:dyDescent="0.2">
      <c r="B211" s="498"/>
      <c r="C211" s="137" t="s">
        <v>1339</v>
      </c>
      <c r="D211" s="136">
        <f>SUMIFS('caseload data'!E:E,'caseload data'!$D:$D,"DMY",'caseload data'!$B:$B,"custody")</f>
        <v>0</v>
      </c>
      <c r="E211" s="136">
        <f>SUMIFS('caseload data'!F:F,'caseload data'!$D:$D,"DMY",'caseload data'!$B:$B,"custody")</f>
        <v>0</v>
      </c>
      <c r="F211" s="136">
        <f>SUMIFS('caseload data'!G:G,'caseload data'!$D:$D,"DMY",'caseload data'!$B:$B,"custody")</f>
        <v>0</v>
      </c>
      <c r="G211" s="136">
        <f>SUMIFS('caseload data'!H:H,'caseload data'!$D:$D,"DMY",'caseload data'!$B:$B,"custody")</f>
        <v>0</v>
      </c>
      <c r="H211" s="136">
        <f>SUMIFS('caseload data'!I:I,'caseload data'!$D:$D,"DMY",'caseload data'!$B:$B,"custody")</f>
        <v>0</v>
      </c>
      <c r="I211" s="136">
        <f>SUMIFS('caseload data'!J:J,'caseload data'!$D:$D,"DMY",'caseload data'!$B:$B,"custody")</f>
        <v>0</v>
      </c>
      <c r="J211" s="136">
        <f>SUMIFS('caseload data'!K:K,'caseload data'!$D:$D,"DMY",'caseload data'!$B:$B,"custody")</f>
        <v>0</v>
      </c>
      <c r="K211" s="136">
        <f>SUMIFS('caseload data'!L:L,'caseload data'!$D:$D,"DMY",'caseload data'!$B:$B,"custody")</f>
        <v>0</v>
      </c>
      <c r="L211" s="136">
        <f>SUMIFS('caseload data'!M:M,'caseload data'!$D:$D,"DMY",'caseload data'!$B:$B,"custody")</f>
        <v>0</v>
      </c>
      <c r="M211" s="136">
        <f>SUMIFS('caseload data'!N:N,'caseload data'!$D:$D,"DMY",'caseload data'!$B:$B,"custody")</f>
        <v>0</v>
      </c>
      <c r="N211" s="136">
        <f>SUMIFS('caseload data'!O:O,'caseload data'!$D:$D,"DMY",'caseload data'!$B:$B,"custody")</f>
        <v>0</v>
      </c>
      <c r="O211" s="136">
        <f>SUMIFS('caseload data'!P:P,'caseload data'!$D:$D,"DMY",'caseload data'!$B:$B,"custody")</f>
        <v>0</v>
      </c>
      <c r="P211" s="136">
        <f>SUMIFS('caseload data'!Q:Q,'caseload data'!$D:$D,"DMY",'caseload data'!$B:$B,"custody")</f>
        <v>0</v>
      </c>
      <c r="Q211" s="136">
        <f>SUMIFS('caseload data'!R:R,'caseload data'!$D:$D,"DMY",'caseload data'!$B:$B,"custody")</f>
        <v>0</v>
      </c>
      <c r="R211" s="136">
        <f>SUMIFS('caseload data'!S:S,'caseload data'!$D:$D,"DMY",'caseload data'!$B:$B,"custody")</f>
        <v>0</v>
      </c>
      <c r="S211" s="136">
        <f>SUMIFS('caseload data'!T:T,'caseload data'!$D:$D,"DMY",'caseload data'!$B:$B,"custody")</f>
        <v>0</v>
      </c>
      <c r="T211" s="381">
        <f>SUMIFS('caseload data'!V:V,'caseload data'!$D:$D,"DMY",'caseload data'!$B:$B,"custody")</f>
        <v>0</v>
      </c>
      <c r="U211" s="64"/>
      <c r="V211" s="64"/>
      <c r="W211" s="502"/>
      <c r="X211" s="387" t="s">
        <v>1339</v>
      </c>
      <c r="Y211" s="389" t="e">
        <f t="shared" si="109"/>
        <v>#DIV/0!</v>
      </c>
      <c r="Z211" s="389" t="e">
        <f t="shared" si="108"/>
        <v>#DIV/0!</v>
      </c>
      <c r="AA211" s="389" t="e">
        <f t="shared" si="108"/>
        <v>#DIV/0!</v>
      </c>
      <c r="AB211" s="389" t="e">
        <f t="shared" si="108"/>
        <v>#DIV/0!</v>
      </c>
      <c r="AC211" s="389" t="e">
        <f t="shared" si="108"/>
        <v>#DIV/0!</v>
      </c>
      <c r="AD211" s="389" t="e">
        <f t="shared" si="108"/>
        <v>#DIV/0!</v>
      </c>
      <c r="AE211" s="389" t="e">
        <f t="shared" si="108"/>
        <v>#DIV/0!</v>
      </c>
      <c r="AF211" s="389" t="e">
        <f t="shared" si="108"/>
        <v>#DIV/0!</v>
      </c>
      <c r="AG211" s="389" t="e">
        <f t="shared" si="108"/>
        <v>#DIV/0!</v>
      </c>
      <c r="AH211" s="389" t="e">
        <f t="shared" si="108"/>
        <v>#DIV/0!</v>
      </c>
      <c r="AI211" s="389" t="e">
        <f t="shared" si="108"/>
        <v>#DIV/0!</v>
      </c>
      <c r="AJ211" s="389" t="e">
        <f t="shared" si="108"/>
        <v>#DIV/0!</v>
      </c>
      <c r="AK211" s="389" t="e">
        <f t="shared" si="108"/>
        <v>#DIV/0!</v>
      </c>
      <c r="AL211" s="389" t="e">
        <f t="shared" si="108"/>
        <v>#DIV/0!</v>
      </c>
      <c r="AM211" s="389" t="e">
        <f t="shared" si="108"/>
        <v>#DIV/0!</v>
      </c>
      <c r="AN211" s="389" t="e">
        <f t="shared" si="108"/>
        <v>#DIV/0!</v>
      </c>
      <c r="AO211" s="392" t="e">
        <f t="shared" si="108"/>
        <v>#DIV/0!</v>
      </c>
    </row>
    <row r="212" spans="2:41" ht="31.5" customHeight="1" thickBot="1" x14ac:dyDescent="0.2">
      <c r="B212" s="499"/>
      <c r="C212" s="382" t="s">
        <v>1076</v>
      </c>
      <c r="D212" s="383">
        <f>SUMIF('caseload data'!$B:$B,"custody",'caseload data'!E:E)</f>
        <v>0</v>
      </c>
      <c r="E212" s="383">
        <f>SUMIF('caseload data'!$B:$B,"custody",'caseload data'!F:F)</f>
        <v>0</v>
      </c>
      <c r="F212" s="383">
        <f>SUMIF('caseload data'!$B:$B,"custody",'caseload data'!G:G)</f>
        <v>0</v>
      </c>
      <c r="G212" s="383">
        <f>SUMIF('caseload data'!$B:$B,"custody",'caseload data'!H:H)</f>
        <v>0</v>
      </c>
      <c r="H212" s="383">
        <f>SUMIF('caseload data'!$B:$B,"custody",'caseload data'!I:I)</f>
        <v>0</v>
      </c>
      <c r="I212" s="383">
        <f>SUMIF('caseload data'!$B:$B,"custody",'caseload data'!J:J)</f>
        <v>0</v>
      </c>
      <c r="J212" s="383">
        <f>SUMIF('caseload data'!$B:$B,"custody",'caseload data'!K:K)</f>
        <v>0</v>
      </c>
      <c r="K212" s="383">
        <f>SUMIF('caseload data'!$B:$B,"custody",'caseload data'!L:L)</f>
        <v>0</v>
      </c>
      <c r="L212" s="383">
        <f>SUMIF('caseload data'!$B:$B,"custody",'caseload data'!M:M)</f>
        <v>0</v>
      </c>
      <c r="M212" s="383">
        <f>SUMIF('caseload data'!$B:$B,"custody",'caseload data'!N:N)</f>
        <v>0</v>
      </c>
      <c r="N212" s="383">
        <f>SUMIF('caseload data'!$B:$B,"custody",'caseload data'!O:O)</f>
        <v>0</v>
      </c>
      <c r="O212" s="383">
        <f>SUMIF('caseload data'!$B:$B,"custody",'caseload data'!P:P)</f>
        <v>0</v>
      </c>
      <c r="P212" s="383">
        <f>SUMIF('caseload data'!$B:$B,"custody",'caseload data'!Q:Q)</f>
        <v>0</v>
      </c>
      <c r="Q212" s="383">
        <f>SUMIF('caseload data'!$B:$B,"custody",'caseload data'!R:R)</f>
        <v>0</v>
      </c>
      <c r="R212" s="383">
        <f>SUMIF('caseload data'!$B:$B,"custody",'caseload data'!S:S)</f>
        <v>0</v>
      </c>
      <c r="S212" s="383">
        <f>SUMIF('caseload data'!$B:$B,"custody",'caseload data'!T:T)</f>
        <v>0</v>
      </c>
      <c r="T212" s="384">
        <f>SUMIF('caseload data'!B:B,"custody",'caseload data'!V:V)</f>
        <v>0</v>
      </c>
      <c r="U212" s="64"/>
      <c r="V212" s="64"/>
      <c r="W212" s="64"/>
      <c r="X212" s="64"/>
      <c r="Y212" s="64"/>
      <c r="Z212" s="64"/>
      <c r="AA212" s="64"/>
      <c r="AB212" s="64"/>
      <c r="AC212" s="64"/>
      <c r="AD212" s="64"/>
      <c r="AE212" s="64"/>
    </row>
  </sheetData>
  <mergeCells count="88">
    <mergeCell ref="Y145:AN145"/>
    <mergeCell ref="D145:T145"/>
    <mergeCell ref="B137:B142"/>
    <mergeCell ref="B207:B212"/>
    <mergeCell ref="W177:W181"/>
    <mergeCell ref="W182:W186"/>
    <mergeCell ref="W187:W191"/>
    <mergeCell ref="W192:W196"/>
    <mergeCell ref="W197:W201"/>
    <mergeCell ref="W202:W206"/>
    <mergeCell ref="W207:W211"/>
    <mergeCell ref="W152:W156"/>
    <mergeCell ref="W157:W161"/>
    <mergeCell ref="W162:W166"/>
    <mergeCell ref="W167:W171"/>
    <mergeCell ref="W172:W176"/>
    <mergeCell ref="W112:W116"/>
    <mergeCell ref="W117:W121"/>
    <mergeCell ref="W122:W126"/>
    <mergeCell ref="W22:W26"/>
    <mergeCell ref="W17:W21"/>
    <mergeCell ref="W62:W66"/>
    <mergeCell ref="W57:W61"/>
    <mergeCell ref="W52:W56"/>
    <mergeCell ref="B97:B101"/>
    <mergeCell ref="B102:B106"/>
    <mergeCell ref="W97:W101"/>
    <mergeCell ref="W102:W106"/>
    <mergeCell ref="W107:W111"/>
    <mergeCell ref="W7:W11"/>
    <mergeCell ref="A1:M1"/>
    <mergeCell ref="N1:Z1"/>
    <mergeCell ref="AA1:AM1"/>
    <mergeCell ref="D75:T75"/>
    <mergeCell ref="A2:AN2"/>
    <mergeCell ref="Y5:AN5"/>
    <mergeCell ref="Y75:AN75"/>
    <mergeCell ref="B7:B10"/>
    <mergeCell ref="D5:T5"/>
    <mergeCell ref="B67:B72"/>
    <mergeCell ref="B12:B16"/>
    <mergeCell ref="B17:B21"/>
    <mergeCell ref="B22:B26"/>
    <mergeCell ref="B27:B31"/>
    <mergeCell ref="B32:B36"/>
    <mergeCell ref="B37:B41"/>
    <mergeCell ref="B42:B46"/>
    <mergeCell ref="B47:B51"/>
    <mergeCell ref="B52:B56"/>
    <mergeCell ref="B57:B61"/>
    <mergeCell ref="W12:W16"/>
    <mergeCell ref="B77:B81"/>
    <mergeCell ref="B82:B86"/>
    <mergeCell ref="B87:B91"/>
    <mergeCell ref="B92:B96"/>
    <mergeCell ref="W77:W81"/>
    <mergeCell ref="W82:W86"/>
    <mergeCell ref="W87:W91"/>
    <mergeCell ref="W92:W96"/>
    <mergeCell ref="W47:W51"/>
    <mergeCell ref="W42:W46"/>
    <mergeCell ref="W37:W41"/>
    <mergeCell ref="W32:W36"/>
    <mergeCell ref="W27:W31"/>
    <mergeCell ref="B62:B66"/>
    <mergeCell ref="W67:W71"/>
    <mergeCell ref="B132:B136"/>
    <mergeCell ref="B127:B131"/>
    <mergeCell ref="B122:B126"/>
    <mergeCell ref="B117:B121"/>
    <mergeCell ref="B107:B111"/>
    <mergeCell ref="B112:B116"/>
    <mergeCell ref="W127:W131"/>
    <mergeCell ref="W132:W136"/>
    <mergeCell ref="W137:W141"/>
    <mergeCell ref="B202:B206"/>
    <mergeCell ref="B197:B201"/>
    <mergeCell ref="B192:B196"/>
    <mergeCell ref="B187:B191"/>
    <mergeCell ref="B182:B186"/>
    <mergeCell ref="B177:B181"/>
    <mergeCell ref="B172:B176"/>
    <mergeCell ref="B167:B171"/>
    <mergeCell ref="B162:B166"/>
    <mergeCell ref="B157:B161"/>
    <mergeCell ref="B152:B156"/>
    <mergeCell ref="B147:B151"/>
    <mergeCell ref="W147:W151"/>
  </mergeCells>
  <conditionalFormatting sqref="T15:T16 T35:T36 T40:T41 T50:T51 T55:T56 T70:T71">
    <cfRule type="cellIs" dxfId="5898" priority="4272" operator="equal">
      <formula>0</formula>
    </cfRule>
  </conditionalFormatting>
  <conditionalFormatting sqref="T150:T151 T155:T156 T160:T161 T170:T171 T195:T196 T200:T201 T205:T206 T210:T211">
    <cfRule type="cellIs" dxfId="5897" priority="4271" operator="equal">
      <formula>0</formula>
    </cfRule>
  </conditionalFormatting>
  <conditionalFormatting sqref="T80:T81 T105:T106 T110:T111 D140:T141">
    <cfRule type="cellIs" dxfId="5896" priority="4270" operator="equal">
      <formula>0</formula>
    </cfRule>
  </conditionalFormatting>
  <conditionalFormatting sqref="T10">
    <cfRule type="cellIs" dxfId="5895" priority="4253" operator="equal">
      <formula>0</formula>
    </cfRule>
  </conditionalFormatting>
  <conditionalFormatting sqref="T20:T21">
    <cfRule type="cellIs" dxfId="5894" priority="4236" operator="equal">
      <formula>0</formula>
    </cfRule>
  </conditionalFormatting>
  <conditionalFormatting sqref="T25:T26">
    <cfRule type="cellIs" dxfId="5893" priority="4219" operator="equal">
      <formula>0</formula>
    </cfRule>
  </conditionalFormatting>
  <conditionalFormatting sqref="T30:T31">
    <cfRule type="cellIs" dxfId="5892" priority="4202" operator="equal">
      <formula>0</formula>
    </cfRule>
  </conditionalFormatting>
  <conditionalFormatting sqref="T60:T61">
    <cfRule type="cellIs" dxfId="5891" priority="4191" operator="equal">
      <formula>0</formula>
    </cfRule>
  </conditionalFormatting>
  <conditionalFormatting sqref="T65:T66">
    <cfRule type="cellIs" dxfId="5890" priority="4180" operator="equal">
      <formula>0</formula>
    </cfRule>
  </conditionalFormatting>
  <conditionalFormatting sqref="T85:T86">
    <cfRule type="cellIs" dxfId="5889" priority="4165" operator="equal">
      <formula>0</formula>
    </cfRule>
  </conditionalFormatting>
  <conditionalFormatting sqref="T90:T91">
    <cfRule type="cellIs" dxfId="5888" priority="4150" operator="equal">
      <formula>0</formula>
    </cfRule>
  </conditionalFormatting>
  <conditionalFormatting sqref="T95:T96">
    <cfRule type="cellIs" dxfId="5887" priority="4135" operator="equal">
      <formula>0</formula>
    </cfRule>
  </conditionalFormatting>
  <conditionalFormatting sqref="T100:T101">
    <cfRule type="cellIs" dxfId="5886" priority="4120" operator="equal">
      <formula>0</formula>
    </cfRule>
  </conditionalFormatting>
  <conditionalFormatting sqref="T175:T176">
    <cfRule type="cellIs" dxfId="5885" priority="4105" operator="equal">
      <formula>0</formula>
    </cfRule>
  </conditionalFormatting>
  <conditionalFormatting sqref="T165:T166">
    <cfRule type="cellIs" dxfId="5884" priority="4090" operator="equal">
      <formula>0</formula>
    </cfRule>
  </conditionalFormatting>
  <conditionalFormatting sqref="T190:T191">
    <cfRule type="cellIs" dxfId="5883" priority="4075" operator="equal">
      <formula>0</formula>
    </cfRule>
  </conditionalFormatting>
  <conditionalFormatting sqref="T180:T181">
    <cfRule type="cellIs" dxfId="5882" priority="4060" operator="equal">
      <formula>0</formula>
    </cfRule>
  </conditionalFormatting>
  <conditionalFormatting sqref="T135:T136">
    <cfRule type="cellIs" dxfId="5881" priority="4030" operator="equal">
      <formula>0</formula>
    </cfRule>
  </conditionalFormatting>
  <conditionalFormatting sqref="T45:T46">
    <cfRule type="cellIs" dxfId="5880" priority="4019" operator="equal">
      <formula>0</formula>
    </cfRule>
  </conditionalFormatting>
  <conditionalFormatting sqref="N20">
    <cfRule type="cellIs" dxfId="5879" priority="3880" operator="equal">
      <formula>0</formula>
    </cfRule>
  </conditionalFormatting>
  <conditionalFormatting sqref="T185:T186">
    <cfRule type="cellIs" dxfId="5878" priority="3992" operator="equal">
      <formula>0</formula>
    </cfRule>
  </conditionalFormatting>
  <conditionalFormatting sqref="D8:D9">
    <cfRule type="cellIs" dxfId="5877" priority="3985" operator="equal">
      <formula>0</formula>
    </cfRule>
    <cfRule type="cellIs" dxfId="5876" priority="3986" operator="notEqual">
      <formula>0</formula>
    </cfRule>
  </conditionalFormatting>
  <conditionalFormatting sqref="D10">
    <cfRule type="cellIs" dxfId="5875" priority="3984" operator="equal">
      <formula>0</formula>
    </cfRule>
  </conditionalFormatting>
  <conditionalFormatting sqref="E8:E9">
    <cfRule type="cellIs" dxfId="5874" priority="3982" operator="equal">
      <formula>0</formula>
    </cfRule>
    <cfRule type="cellIs" dxfId="5873" priority="3983" operator="notEqual">
      <formula>0</formula>
    </cfRule>
  </conditionalFormatting>
  <conditionalFormatting sqref="E10">
    <cfRule type="cellIs" dxfId="5872" priority="3981" operator="equal">
      <formula>0</formula>
    </cfRule>
  </conditionalFormatting>
  <conditionalFormatting sqref="F8:F9">
    <cfRule type="cellIs" dxfId="5871" priority="3979" operator="equal">
      <formula>0</formula>
    </cfRule>
    <cfRule type="cellIs" dxfId="5870" priority="3980" operator="notEqual">
      <formula>0</formula>
    </cfRule>
  </conditionalFormatting>
  <conditionalFormatting sqref="F10">
    <cfRule type="cellIs" dxfId="5869" priority="3978" operator="equal">
      <formula>0</formula>
    </cfRule>
  </conditionalFormatting>
  <conditionalFormatting sqref="G8:G9">
    <cfRule type="cellIs" dxfId="5868" priority="3976" operator="equal">
      <formula>0</formula>
    </cfRule>
    <cfRule type="cellIs" dxfId="5867" priority="3977" operator="notEqual">
      <formula>0</formula>
    </cfRule>
  </conditionalFormatting>
  <conditionalFormatting sqref="G10">
    <cfRule type="cellIs" dxfId="5866" priority="3975" operator="equal">
      <formula>0</formula>
    </cfRule>
  </conditionalFormatting>
  <conditionalFormatting sqref="H8:H9">
    <cfRule type="cellIs" dxfId="5865" priority="3973" operator="equal">
      <formula>0</formula>
    </cfRule>
    <cfRule type="cellIs" dxfId="5864" priority="3974" operator="notEqual">
      <formula>0</formula>
    </cfRule>
  </conditionalFormatting>
  <conditionalFormatting sqref="H10">
    <cfRule type="cellIs" dxfId="5863" priority="3972" operator="equal">
      <formula>0</formula>
    </cfRule>
  </conditionalFormatting>
  <conditionalFormatting sqref="I8:I9">
    <cfRule type="cellIs" dxfId="5862" priority="3970" operator="equal">
      <formula>0</formula>
    </cfRule>
    <cfRule type="cellIs" dxfId="5861" priority="3971" operator="notEqual">
      <formula>0</formula>
    </cfRule>
  </conditionalFormatting>
  <conditionalFormatting sqref="I10">
    <cfRule type="cellIs" dxfId="5860" priority="3969" operator="equal">
      <formula>0</formula>
    </cfRule>
  </conditionalFormatting>
  <conditionalFormatting sqref="J8:J9">
    <cfRule type="cellIs" dxfId="5859" priority="3967" operator="equal">
      <formula>0</formula>
    </cfRule>
    <cfRule type="cellIs" dxfId="5858" priority="3968" operator="notEqual">
      <formula>0</formula>
    </cfRule>
  </conditionalFormatting>
  <conditionalFormatting sqref="J10">
    <cfRule type="cellIs" dxfId="5857" priority="3966" operator="equal">
      <formula>0</formula>
    </cfRule>
  </conditionalFormatting>
  <conditionalFormatting sqref="K8:K9">
    <cfRule type="cellIs" dxfId="5856" priority="3964" operator="equal">
      <formula>0</formula>
    </cfRule>
    <cfRule type="cellIs" dxfId="5855" priority="3965" operator="notEqual">
      <formula>0</formula>
    </cfRule>
  </conditionalFormatting>
  <conditionalFormatting sqref="K10">
    <cfRule type="cellIs" dxfId="5854" priority="3963" operator="equal">
      <formula>0</formula>
    </cfRule>
  </conditionalFormatting>
  <conditionalFormatting sqref="L10">
    <cfRule type="cellIs" dxfId="5853" priority="3962" operator="equal">
      <formula>0</formula>
    </cfRule>
  </conditionalFormatting>
  <conditionalFormatting sqref="M10">
    <cfRule type="cellIs" dxfId="5852" priority="3961" operator="equal">
      <formula>0</formula>
    </cfRule>
  </conditionalFormatting>
  <conditionalFormatting sqref="N10">
    <cfRule type="cellIs" dxfId="5851" priority="3960" operator="equal">
      <formula>0</formula>
    </cfRule>
  </conditionalFormatting>
  <conditionalFormatting sqref="O10">
    <cfRule type="cellIs" dxfId="5850" priority="3959" operator="equal">
      <formula>0</formula>
    </cfRule>
  </conditionalFormatting>
  <conditionalFormatting sqref="P7">
    <cfRule type="cellIs" dxfId="5849" priority="3957" operator="equal">
      <formula>0</formula>
    </cfRule>
    <cfRule type="cellIs" dxfId="5848" priority="3958" operator="notEqual">
      <formula>0</formula>
    </cfRule>
  </conditionalFormatting>
  <conditionalFormatting sqref="P10">
    <cfRule type="cellIs" dxfId="5847" priority="3956" operator="equal">
      <formula>0</formula>
    </cfRule>
  </conditionalFormatting>
  <conditionalFormatting sqref="Q7">
    <cfRule type="cellIs" dxfId="5846" priority="3954" operator="equal">
      <formula>0</formula>
    </cfRule>
    <cfRule type="cellIs" dxfId="5845" priority="3955" operator="notEqual">
      <formula>0</formula>
    </cfRule>
  </conditionalFormatting>
  <conditionalFormatting sqref="Q10">
    <cfRule type="cellIs" dxfId="5844" priority="3953" operator="equal">
      <formula>0</formula>
    </cfRule>
  </conditionalFormatting>
  <conditionalFormatting sqref="R7">
    <cfRule type="cellIs" dxfId="5843" priority="3951" operator="equal">
      <formula>0</formula>
    </cfRule>
    <cfRule type="cellIs" dxfId="5842" priority="3952" operator="notEqual">
      <formula>0</formula>
    </cfRule>
  </conditionalFormatting>
  <conditionalFormatting sqref="R10">
    <cfRule type="cellIs" dxfId="5841" priority="3950" operator="equal">
      <formula>0</formula>
    </cfRule>
  </conditionalFormatting>
  <conditionalFormatting sqref="S7">
    <cfRule type="cellIs" dxfId="5840" priority="3948" operator="equal">
      <formula>0</formula>
    </cfRule>
    <cfRule type="cellIs" dxfId="5839" priority="3949" operator="notEqual">
      <formula>0</formula>
    </cfRule>
  </conditionalFormatting>
  <conditionalFormatting sqref="S10">
    <cfRule type="cellIs" dxfId="5838" priority="3947" operator="equal">
      <formula>0</formula>
    </cfRule>
  </conditionalFormatting>
  <conditionalFormatting sqref="D13:D14">
    <cfRule type="cellIs" dxfId="5837" priority="3945" operator="equal">
      <formula>0</formula>
    </cfRule>
    <cfRule type="cellIs" dxfId="5836" priority="3946" operator="notEqual">
      <formula>0</formula>
    </cfRule>
  </conditionalFormatting>
  <conditionalFormatting sqref="D15:D16">
    <cfRule type="cellIs" dxfId="5835" priority="3944" operator="equal">
      <formula>0</formula>
    </cfRule>
  </conditionalFormatting>
  <conditionalFormatting sqref="E13:E14">
    <cfRule type="cellIs" dxfId="5834" priority="3942" operator="equal">
      <formula>0</formula>
    </cfRule>
    <cfRule type="cellIs" dxfId="5833" priority="3943" operator="notEqual">
      <formula>0</formula>
    </cfRule>
  </conditionalFormatting>
  <conditionalFormatting sqref="E15:E16 F16:S16">
    <cfRule type="cellIs" dxfId="5832" priority="3941" operator="equal">
      <formula>0</formula>
    </cfRule>
  </conditionalFormatting>
  <conditionalFormatting sqref="F13:F14">
    <cfRule type="cellIs" dxfId="5831" priority="3939" operator="equal">
      <formula>0</formula>
    </cfRule>
    <cfRule type="cellIs" dxfId="5830" priority="3940" operator="notEqual">
      <formula>0</formula>
    </cfRule>
  </conditionalFormatting>
  <conditionalFormatting sqref="F15">
    <cfRule type="cellIs" dxfId="5829" priority="3938" operator="equal">
      <formula>0</formula>
    </cfRule>
  </conditionalFormatting>
  <conditionalFormatting sqref="G13:G14">
    <cfRule type="cellIs" dxfId="5828" priority="3936" operator="equal">
      <formula>0</formula>
    </cfRule>
    <cfRule type="cellIs" dxfId="5827" priority="3937" operator="notEqual">
      <formula>0</formula>
    </cfRule>
  </conditionalFormatting>
  <conditionalFormatting sqref="G15">
    <cfRule type="cellIs" dxfId="5826" priority="3935" operator="equal">
      <formula>0</formula>
    </cfRule>
  </conditionalFormatting>
  <conditionalFormatting sqref="H13:H14">
    <cfRule type="cellIs" dxfId="5825" priority="3933" operator="equal">
      <formula>0</formula>
    </cfRule>
    <cfRule type="cellIs" dxfId="5824" priority="3934" operator="notEqual">
      <formula>0</formula>
    </cfRule>
  </conditionalFormatting>
  <conditionalFormatting sqref="H15">
    <cfRule type="cellIs" dxfId="5823" priority="3932" operator="equal">
      <formula>0</formula>
    </cfRule>
  </conditionalFormatting>
  <conditionalFormatting sqref="I13:I14">
    <cfRule type="cellIs" dxfId="5822" priority="3930" operator="equal">
      <formula>0</formula>
    </cfRule>
    <cfRule type="cellIs" dxfId="5821" priority="3931" operator="notEqual">
      <formula>0</formula>
    </cfRule>
  </conditionalFormatting>
  <conditionalFormatting sqref="I15">
    <cfRule type="cellIs" dxfId="5820" priority="3929" operator="equal">
      <formula>0</formula>
    </cfRule>
  </conditionalFormatting>
  <conditionalFormatting sqref="J13:J14">
    <cfRule type="cellIs" dxfId="5819" priority="3927" operator="equal">
      <formula>0</formula>
    </cfRule>
    <cfRule type="cellIs" dxfId="5818" priority="3928" operator="notEqual">
      <formula>0</formula>
    </cfRule>
  </conditionalFormatting>
  <conditionalFormatting sqref="J15">
    <cfRule type="cellIs" dxfId="5817" priority="3926" operator="equal">
      <formula>0</formula>
    </cfRule>
  </conditionalFormatting>
  <conditionalFormatting sqref="K13:K14">
    <cfRule type="cellIs" dxfId="5816" priority="3924" operator="equal">
      <formula>0</formula>
    </cfRule>
    <cfRule type="cellIs" dxfId="5815" priority="3925" operator="notEqual">
      <formula>0</formula>
    </cfRule>
  </conditionalFormatting>
  <conditionalFormatting sqref="K15">
    <cfRule type="cellIs" dxfId="5814" priority="3923" operator="equal">
      <formula>0</formula>
    </cfRule>
  </conditionalFormatting>
  <conditionalFormatting sqref="L15">
    <cfRule type="cellIs" dxfId="5813" priority="3922" operator="equal">
      <formula>0</formula>
    </cfRule>
  </conditionalFormatting>
  <conditionalFormatting sqref="M15">
    <cfRule type="cellIs" dxfId="5812" priority="3921" operator="equal">
      <formula>0</formula>
    </cfRule>
  </conditionalFormatting>
  <conditionalFormatting sqref="N15">
    <cfRule type="cellIs" dxfId="5811" priority="3920" operator="equal">
      <formula>0</formula>
    </cfRule>
  </conditionalFormatting>
  <conditionalFormatting sqref="O15">
    <cfRule type="cellIs" dxfId="5810" priority="3919" operator="equal">
      <formula>0</formula>
    </cfRule>
  </conditionalFormatting>
  <conditionalFormatting sqref="P12">
    <cfRule type="cellIs" dxfId="5809" priority="3917" operator="equal">
      <formula>0</formula>
    </cfRule>
    <cfRule type="cellIs" dxfId="5808" priority="3918" operator="notEqual">
      <formula>0</formula>
    </cfRule>
  </conditionalFormatting>
  <conditionalFormatting sqref="P15">
    <cfRule type="cellIs" dxfId="5807" priority="3916" operator="equal">
      <formula>0</formula>
    </cfRule>
  </conditionalFormatting>
  <conditionalFormatting sqref="Q12">
    <cfRule type="cellIs" dxfId="5806" priority="3914" operator="equal">
      <formula>0</formula>
    </cfRule>
    <cfRule type="cellIs" dxfId="5805" priority="3915" operator="notEqual">
      <formula>0</formula>
    </cfRule>
  </conditionalFormatting>
  <conditionalFormatting sqref="Q15">
    <cfRule type="cellIs" dxfId="5804" priority="3913" operator="equal">
      <formula>0</formula>
    </cfRule>
  </conditionalFormatting>
  <conditionalFormatting sqref="R12">
    <cfRule type="cellIs" dxfId="5803" priority="3911" operator="equal">
      <formula>0</formula>
    </cfRule>
    <cfRule type="cellIs" dxfId="5802" priority="3912" operator="notEqual">
      <formula>0</formula>
    </cfRule>
  </conditionalFormatting>
  <conditionalFormatting sqref="R15">
    <cfRule type="cellIs" dxfId="5801" priority="3910" operator="equal">
      <formula>0</formula>
    </cfRule>
  </conditionalFormatting>
  <conditionalFormatting sqref="S12">
    <cfRule type="cellIs" dxfId="5800" priority="3908" operator="equal">
      <formula>0</formula>
    </cfRule>
    <cfRule type="cellIs" dxfId="5799" priority="3909" operator="notEqual">
      <formula>0</formula>
    </cfRule>
  </conditionalFormatting>
  <conditionalFormatting sqref="S15">
    <cfRule type="cellIs" dxfId="5798" priority="3907" operator="equal">
      <formula>0</formula>
    </cfRule>
  </conditionalFormatting>
  <conditionalFormatting sqref="D18:D19">
    <cfRule type="cellIs" dxfId="5797" priority="3905" operator="equal">
      <formula>0</formula>
    </cfRule>
    <cfRule type="cellIs" dxfId="5796" priority="3906" operator="notEqual">
      <formula>0</formula>
    </cfRule>
  </conditionalFormatting>
  <conditionalFormatting sqref="D20:D21 E21:S21">
    <cfRule type="cellIs" dxfId="5795" priority="3904" operator="equal">
      <formula>0</formula>
    </cfRule>
  </conditionalFormatting>
  <conditionalFormatting sqref="E18:E19">
    <cfRule type="cellIs" dxfId="5794" priority="3902" operator="equal">
      <formula>0</formula>
    </cfRule>
    <cfRule type="cellIs" dxfId="5793" priority="3903" operator="notEqual">
      <formula>0</formula>
    </cfRule>
  </conditionalFormatting>
  <conditionalFormatting sqref="E20">
    <cfRule type="cellIs" dxfId="5792" priority="3901" operator="equal">
      <formula>0</formula>
    </cfRule>
  </conditionalFormatting>
  <conditionalFormatting sqref="F18:F19">
    <cfRule type="cellIs" dxfId="5791" priority="3899" operator="equal">
      <formula>0</formula>
    </cfRule>
    <cfRule type="cellIs" dxfId="5790" priority="3900" operator="notEqual">
      <formula>0</formula>
    </cfRule>
  </conditionalFormatting>
  <conditionalFormatting sqref="F20">
    <cfRule type="cellIs" dxfId="5789" priority="3898" operator="equal">
      <formula>0</formula>
    </cfRule>
  </conditionalFormatting>
  <conditionalFormatting sqref="G18:G19">
    <cfRule type="cellIs" dxfId="5788" priority="3896" operator="equal">
      <formula>0</formula>
    </cfRule>
    <cfRule type="cellIs" dxfId="5787" priority="3897" operator="notEqual">
      <formula>0</formula>
    </cfRule>
  </conditionalFormatting>
  <conditionalFormatting sqref="G20">
    <cfRule type="cellIs" dxfId="5786" priority="3895" operator="equal">
      <formula>0</formula>
    </cfRule>
  </conditionalFormatting>
  <conditionalFormatting sqref="H18:H19">
    <cfRule type="cellIs" dxfId="5785" priority="3893" operator="equal">
      <formula>0</formula>
    </cfRule>
    <cfRule type="cellIs" dxfId="5784" priority="3894" operator="notEqual">
      <formula>0</formula>
    </cfRule>
  </conditionalFormatting>
  <conditionalFormatting sqref="H20">
    <cfRule type="cellIs" dxfId="5783" priority="3892" operator="equal">
      <formula>0</formula>
    </cfRule>
  </conditionalFormatting>
  <conditionalFormatting sqref="I18:I19">
    <cfRule type="cellIs" dxfId="5782" priority="3890" operator="equal">
      <formula>0</formula>
    </cfRule>
    <cfRule type="cellIs" dxfId="5781" priority="3891" operator="notEqual">
      <formula>0</formula>
    </cfRule>
  </conditionalFormatting>
  <conditionalFormatting sqref="I20">
    <cfRule type="cellIs" dxfId="5780" priority="3889" operator="equal">
      <formula>0</formula>
    </cfRule>
  </conditionalFormatting>
  <conditionalFormatting sqref="J18:J19">
    <cfRule type="cellIs" dxfId="5779" priority="3887" operator="equal">
      <formula>0</formula>
    </cfRule>
    <cfRule type="cellIs" dxfId="5778" priority="3888" operator="notEqual">
      <formula>0</formula>
    </cfRule>
  </conditionalFormatting>
  <conditionalFormatting sqref="J20">
    <cfRule type="cellIs" dxfId="5777" priority="3886" operator="equal">
      <formula>0</formula>
    </cfRule>
  </conditionalFormatting>
  <conditionalFormatting sqref="K18:K19">
    <cfRule type="cellIs" dxfId="5776" priority="3884" operator="equal">
      <formula>0</formula>
    </cfRule>
    <cfRule type="cellIs" dxfId="5775" priority="3885" operator="notEqual">
      <formula>0</formula>
    </cfRule>
  </conditionalFormatting>
  <conditionalFormatting sqref="K20">
    <cfRule type="cellIs" dxfId="5774" priority="3883" operator="equal">
      <formula>0</formula>
    </cfRule>
  </conditionalFormatting>
  <conditionalFormatting sqref="L20">
    <cfRule type="cellIs" dxfId="5773" priority="3882" operator="equal">
      <formula>0</formula>
    </cfRule>
  </conditionalFormatting>
  <conditionalFormatting sqref="M20">
    <cfRule type="cellIs" dxfId="5772" priority="3881" operator="equal">
      <formula>0</formula>
    </cfRule>
  </conditionalFormatting>
  <conditionalFormatting sqref="O20">
    <cfRule type="cellIs" dxfId="5771" priority="3879" operator="equal">
      <formula>0</formula>
    </cfRule>
  </conditionalFormatting>
  <conditionalFormatting sqref="P17">
    <cfRule type="cellIs" dxfId="5770" priority="3877" operator="equal">
      <formula>0</formula>
    </cfRule>
    <cfRule type="cellIs" dxfId="5769" priority="3878" operator="notEqual">
      <formula>0</formula>
    </cfRule>
  </conditionalFormatting>
  <conditionalFormatting sqref="P20">
    <cfRule type="cellIs" dxfId="5768" priority="3876" operator="equal">
      <formula>0</formula>
    </cfRule>
  </conditionalFormatting>
  <conditionalFormatting sqref="Q17">
    <cfRule type="cellIs" dxfId="5767" priority="3874" operator="equal">
      <formula>0</formula>
    </cfRule>
    <cfRule type="cellIs" dxfId="5766" priority="3875" operator="notEqual">
      <formula>0</formula>
    </cfRule>
  </conditionalFormatting>
  <conditionalFormatting sqref="Q20">
    <cfRule type="cellIs" dxfId="5765" priority="3873" operator="equal">
      <formula>0</formula>
    </cfRule>
  </conditionalFormatting>
  <conditionalFormatting sqref="R17">
    <cfRule type="cellIs" dxfId="5764" priority="3871" operator="equal">
      <formula>0</formula>
    </cfRule>
    <cfRule type="cellIs" dxfId="5763" priority="3872" operator="notEqual">
      <formula>0</formula>
    </cfRule>
  </conditionalFormatting>
  <conditionalFormatting sqref="R20">
    <cfRule type="cellIs" dxfId="5762" priority="3870" operator="equal">
      <formula>0</formula>
    </cfRule>
  </conditionalFormatting>
  <conditionalFormatting sqref="S17">
    <cfRule type="cellIs" dxfId="5761" priority="3868" operator="equal">
      <formula>0</formula>
    </cfRule>
    <cfRule type="cellIs" dxfId="5760" priority="3869" operator="notEqual">
      <formula>0</formula>
    </cfRule>
  </conditionalFormatting>
  <conditionalFormatting sqref="S20">
    <cfRule type="cellIs" dxfId="5759" priority="3867" operator="equal">
      <formula>0</formula>
    </cfRule>
  </conditionalFormatting>
  <conditionalFormatting sqref="D23:D24">
    <cfRule type="cellIs" dxfId="5758" priority="3865" operator="equal">
      <formula>0</formula>
    </cfRule>
    <cfRule type="cellIs" dxfId="5757" priority="3866" operator="notEqual">
      <formula>0</formula>
    </cfRule>
  </conditionalFormatting>
  <conditionalFormatting sqref="D25:D26 E26:S26">
    <cfRule type="cellIs" dxfId="5756" priority="3864" operator="equal">
      <formula>0</formula>
    </cfRule>
  </conditionalFormatting>
  <conditionalFormatting sqref="E23:E24">
    <cfRule type="cellIs" dxfId="5755" priority="3862" operator="equal">
      <formula>0</formula>
    </cfRule>
    <cfRule type="cellIs" dxfId="5754" priority="3863" operator="notEqual">
      <formula>0</formula>
    </cfRule>
  </conditionalFormatting>
  <conditionalFormatting sqref="E25">
    <cfRule type="cellIs" dxfId="5753" priority="3861" operator="equal">
      <formula>0</formula>
    </cfRule>
  </conditionalFormatting>
  <conditionalFormatting sqref="F23:F24">
    <cfRule type="cellIs" dxfId="5752" priority="3859" operator="equal">
      <formula>0</formula>
    </cfRule>
    <cfRule type="cellIs" dxfId="5751" priority="3860" operator="notEqual">
      <formula>0</formula>
    </cfRule>
  </conditionalFormatting>
  <conditionalFormatting sqref="F25">
    <cfRule type="cellIs" dxfId="5750" priority="3858" operator="equal">
      <formula>0</formula>
    </cfRule>
  </conditionalFormatting>
  <conditionalFormatting sqref="G23:G24">
    <cfRule type="cellIs" dxfId="5749" priority="3856" operator="equal">
      <formula>0</formula>
    </cfRule>
    <cfRule type="cellIs" dxfId="5748" priority="3857" operator="notEqual">
      <formula>0</formula>
    </cfRule>
  </conditionalFormatting>
  <conditionalFormatting sqref="G25">
    <cfRule type="cellIs" dxfId="5747" priority="3855" operator="equal">
      <formula>0</formula>
    </cfRule>
  </conditionalFormatting>
  <conditionalFormatting sqref="H23:H24">
    <cfRule type="cellIs" dxfId="5746" priority="3853" operator="equal">
      <formula>0</formula>
    </cfRule>
    <cfRule type="cellIs" dxfId="5745" priority="3854" operator="notEqual">
      <formula>0</formula>
    </cfRule>
  </conditionalFormatting>
  <conditionalFormatting sqref="H25">
    <cfRule type="cellIs" dxfId="5744" priority="3852" operator="equal">
      <formula>0</formula>
    </cfRule>
  </conditionalFormatting>
  <conditionalFormatting sqref="I23:I24">
    <cfRule type="cellIs" dxfId="5743" priority="3850" operator="equal">
      <formula>0</formula>
    </cfRule>
    <cfRule type="cellIs" dxfId="5742" priority="3851" operator="notEqual">
      <formula>0</formula>
    </cfRule>
  </conditionalFormatting>
  <conditionalFormatting sqref="I25">
    <cfRule type="cellIs" dxfId="5741" priority="3849" operator="equal">
      <formula>0</formula>
    </cfRule>
  </conditionalFormatting>
  <conditionalFormatting sqref="J23:J24">
    <cfRule type="cellIs" dxfId="5740" priority="3847" operator="equal">
      <formula>0</formula>
    </cfRule>
    <cfRule type="cellIs" dxfId="5739" priority="3848" operator="notEqual">
      <formula>0</formula>
    </cfRule>
  </conditionalFormatting>
  <conditionalFormatting sqref="J25">
    <cfRule type="cellIs" dxfId="5738" priority="3846" operator="equal">
      <formula>0</formula>
    </cfRule>
  </conditionalFormatting>
  <conditionalFormatting sqref="K23:K24">
    <cfRule type="cellIs" dxfId="5737" priority="3844" operator="equal">
      <formula>0</formula>
    </cfRule>
    <cfRule type="cellIs" dxfId="5736" priority="3845" operator="notEqual">
      <formula>0</formula>
    </cfRule>
  </conditionalFormatting>
  <conditionalFormatting sqref="K25">
    <cfRule type="cellIs" dxfId="5735" priority="3843" operator="equal">
      <formula>0</formula>
    </cfRule>
  </conditionalFormatting>
  <conditionalFormatting sqref="L25">
    <cfRule type="cellIs" dxfId="5734" priority="3842" operator="equal">
      <formula>0</formula>
    </cfRule>
  </conditionalFormatting>
  <conditionalFormatting sqref="M25">
    <cfRule type="cellIs" dxfId="5733" priority="3841" operator="equal">
      <formula>0</formula>
    </cfRule>
  </conditionalFormatting>
  <conditionalFormatting sqref="N25">
    <cfRule type="cellIs" dxfId="5732" priority="3840" operator="equal">
      <formula>0</formula>
    </cfRule>
  </conditionalFormatting>
  <conditionalFormatting sqref="O25">
    <cfRule type="cellIs" dxfId="5731" priority="3839" operator="equal">
      <formula>0</formula>
    </cfRule>
  </conditionalFormatting>
  <conditionalFormatting sqref="P22">
    <cfRule type="cellIs" dxfId="5730" priority="3837" operator="equal">
      <formula>0</formula>
    </cfRule>
    <cfRule type="cellIs" dxfId="5729" priority="3838" operator="notEqual">
      <formula>0</formula>
    </cfRule>
  </conditionalFormatting>
  <conditionalFormatting sqref="P25">
    <cfRule type="cellIs" dxfId="5728" priority="3836" operator="equal">
      <formula>0</formula>
    </cfRule>
  </conditionalFormatting>
  <conditionalFormatting sqref="Q22">
    <cfRule type="cellIs" dxfId="5727" priority="3834" operator="equal">
      <formula>0</formula>
    </cfRule>
    <cfRule type="cellIs" dxfId="5726" priority="3835" operator="notEqual">
      <formula>0</formula>
    </cfRule>
  </conditionalFormatting>
  <conditionalFormatting sqref="Q25">
    <cfRule type="cellIs" dxfId="5725" priority="3833" operator="equal">
      <formula>0</formula>
    </cfRule>
  </conditionalFormatting>
  <conditionalFormatting sqref="R22">
    <cfRule type="cellIs" dxfId="5724" priority="3831" operator="equal">
      <formula>0</formula>
    </cfRule>
    <cfRule type="cellIs" dxfId="5723" priority="3832" operator="notEqual">
      <formula>0</formula>
    </cfRule>
  </conditionalFormatting>
  <conditionalFormatting sqref="R25">
    <cfRule type="cellIs" dxfId="5722" priority="3830" operator="equal">
      <formula>0</formula>
    </cfRule>
  </conditionalFormatting>
  <conditionalFormatting sqref="S22">
    <cfRule type="cellIs" dxfId="5721" priority="3828" operator="equal">
      <formula>0</formula>
    </cfRule>
    <cfRule type="cellIs" dxfId="5720" priority="3829" operator="notEqual">
      <formula>0</formula>
    </cfRule>
  </conditionalFormatting>
  <conditionalFormatting sqref="S25">
    <cfRule type="cellIs" dxfId="5719" priority="3827" operator="equal">
      <formula>0</formula>
    </cfRule>
  </conditionalFormatting>
  <conditionalFormatting sqref="D28:D29">
    <cfRule type="cellIs" dxfId="5718" priority="3825" operator="equal">
      <formula>0</formula>
    </cfRule>
    <cfRule type="cellIs" dxfId="5717" priority="3826" operator="notEqual">
      <formula>0</formula>
    </cfRule>
  </conditionalFormatting>
  <conditionalFormatting sqref="D30:D31 E31:S31">
    <cfRule type="cellIs" dxfId="5716" priority="3824" operator="equal">
      <formula>0</formula>
    </cfRule>
  </conditionalFormatting>
  <conditionalFormatting sqref="E28:E29">
    <cfRule type="cellIs" dxfId="5715" priority="3822" operator="equal">
      <formula>0</formula>
    </cfRule>
    <cfRule type="cellIs" dxfId="5714" priority="3823" operator="notEqual">
      <formula>0</formula>
    </cfRule>
  </conditionalFormatting>
  <conditionalFormatting sqref="E30">
    <cfRule type="cellIs" dxfId="5713" priority="3821" operator="equal">
      <formula>0</formula>
    </cfRule>
  </conditionalFormatting>
  <conditionalFormatting sqref="F28:F29">
    <cfRule type="cellIs" dxfId="5712" priority="3819" operator="equal">
      <formula>0</formula>
    </cfRule>
    <cfRule type="cellIs" dxfId="5711" priority="3820" operator="notEqual">
      <formula>0</formula>
    </cfRule>
  </conditionalFormatting>
  <conditionalFormatting sqref="F30">
    <cfRule type="cellIs" dxfId="5710" priority="3818" operator="equal">
      <formula>0</formula>
    </cfRule>
  </conditionalFormatting>
  <conditionalFormatting sqref="G28:G29">
    <cfRule type="cellIs" dxfId="5709" priority="3816" operator="equal">
      <formula>0</formula>
    </cfRule>
    <cfRule type="cellIs" dxfId="5708" priority="3817" operator="notEqual">
      <formula>0</formula>
    </cfRule>
  </conditionalFormatting>
  <conditionalFormatting sqref="G30">
    <cfRule type="cellIs" dxfId="5707" priority="3815" operator="equal">
      <formula>0</formula>
    </cfRule>
  </conditionalFormatting>
  <conditionalFormatting sqref="H28:H29">
    <cfRule type="cellIs" dxfId="5706" priority="3813" operator="equal">
      <formula>0</formula>
    </cfRule>
    <cfRule type="cellIs" dxfId="5705" priority="3814" operator="notEqual">
      <formula>0</formula>
    </cfRule>
  </conditionalFormatting>
  <conditionalFormatting sqref="H30">
    <cfRule type="cellIs" dxfId="5704" priority="3812" operator="equal">
      <formula>0</formula>
    </cfRule>
  </conditionalFormatting>
  <conditionalFormatting sqref="I28:I29">
    <cfRule type="cellIs" dxfId="5703" priority="3810" operator="equal">
      <formula>0</formula>
    </cfRule>
    <cfRule type="cellIs" dxfId="5702" priority="3811" operator="notEqual">
      <formula>0</formula>
    </cfRule>
  </conditionalFormatting>
  <conditionalFormatting sqref="I30">
    <cfRule type="cellIs" dxfId="5701" priority="3809" operator="equal">
      <formula>0</formula>
    </cfRule>
  </conditionalFormatting>
  <conditionalFormatting sqref="J28:J29">
    <cfRule type="cellIs" dxfId="5700" priority="3807" operator="equal">
      <formula>0</formula>
    </cfRule>
    <cfRule type="cellIs" dxfId="5699" priority="3808" operator="notEqual">
      <formula>0</formula>
    </cfRule>
  </conditionalFormatting>
  <conditionalFormatting sqref="J30">
    <cfRule type="cellIs" dxfId="5698" priority="3806" operator="equal">
      <formula>0</formula>
    </cfRule>
  </conditionalFormatting>
  <conditionalFormatting sqref="K28:K29">
    <cfRule type="cellIs" dxfId="5697" priority="3804" operator="equal">
      <formula>0</formula>
    </cfRule>
    <cfRule type="cellIs" dxfId="5696" priority="3805" operator="notEqual">
      <formula>0</formula>
    </cfRule>
  </conditionalFormatting>
  <conditionalFormatting sqref="K30">
    <cfRule type="cellIs" dxfId="5695" priority="3803" operator="equal">
      <formula>0</formula>
    </cfRule>
  </conditionalFormatting>
  <conditionalFormatting sqref="L30">
    <cfRule type="cellIs" dxfId="5694" priority="3802" operator="equal">
      <formula>0</formula>
    </cfRule>
  </conditionalFormatting>
  <conditionalFormatting sqref="M30">
    <cfRule type="cellIs" dxfId="5693" priority="3801" operator="equal">
      <formula>0</formula>
    </cfRule>
  </conditionalFormatting>
  <conditionalFormatting sqref="N30">
    <cfRule type="cellIs" dxfId="5692" priority="3800" operator="equal">
      <formula>0</formula>
    </cfRule>
  </conditionalFormatting>
  <conditionalFormatting sqref="O30">
    <cfRule type="cellIs" dxfId="5691" priority="3799" operator="equal">
      <formula>0</formula>
    </cfRule>
  </conditionalFormatting>
  <conditionalFormatting sqref="P27">
    <cfRule type="cellIs" dxfId="5690" priority="3797" operator="equal">
      <formula>0</formula>
    </cfRule>
    <cfRule type="cellIs" dxfId="5689" priority="3798" operator="notEqual">
      <formula>0</formula>
    </cfRule>
  </conditionalFormatting>
  <conditionalFormatting sqref="P30">
    <cfRule type="cellIs" dxfId="5688" priority="3796" operator="equal">
      <formula>0</formula>
    </cfRule>
  </conditionalFormatting>
  <conditionalFormatting sqref="Q27">
    <cfRule type="cellIs" dxfId="5687" priority="3794" operator="equal">
      <formula>0</formula>
    </cfRule>
    <cfRule type="cellIs" dxfId="5686" priority="3795" operator="notEqual">
      <formula>0</formula>
    </cfRule>
  </conditionalFormatting>
  <conditionalFormatting sqref="Q30">
    <cfRule type="cellIs" dxfId="5685" priority="3793" operator="equal">
      <formula>0</formula>
    </cfRule>
  </conditionalFormatting>
  <conditionalFormatting sqref="R27">
    <cfRule type="cellIs" dxfId="5684" priority="3791" operator="equal">
      <formula>0</formula>
    </cfRule>
    <cfRule type="cellIs" dxfId="5683" priority="3792" operator="notEqual">
      <formula>0</formula>
    </cfRule>
  </conditionalFormatting>
  <conditionalFormatting sqref="R30">
    <cfRule type="cellIs" dxfId="5682" priority="3790" operator="equal">
      <formula>0</formula>
    </cfRule>
  </conditionalFormatting>
  <conditionalFormatting sqref="S27">
    <cfRule type="cellIs" dxfId="5681" priority="3788" operator="equal">
      <formula>0</formula>
    </cfRule>
    <cfRule type="cellIs" dxfId="5680" priority="3789" operator="notEqual">
      <formula>0</formula>
    </cfRule>
  </conditionalFormatting>
  <conditionalFormatting sqref="S30">
    <cfRule type="cellIs" dxfId="5679" priority="3787" operator="equal">
      <formula>0</formula>
    </cfRule>
  </conditionalFormatting>
  <conditionalFormatting sqref="D33:D34">
    <cfRule type="cellIs" dxfId="5678" priority="3785" operator="equal">
      <formula>0</formula>
    </cfRule>
    <cfRule type="cellIs" dxfId="5677" priority="3786" operator="notEqual">
      <formula>0</formula>
    </cfRule>
  </conditionalFormatting>
  <conditionalFormatting sqref="D35:D36 E36:S36">
    <cfRule type="cellIs" dxfId="5676" priority="3784" operator="equal">
      <formula>0</formula>
    </cfRule>
  </conditionalFormatting>
  <conditionalFormatting sqref="E33:E34">
    <cfRule type="cellIs" dxfId="5675" priority="3782" operator="equal">
      <formula>0</formula>
    </cfRule>
    <cfRule type="cellIs" dxfId="5674" priority="3783" operator="notEqual">
      <formula>0</formula>
    </cfRule>
  </conditionalFormatting>
  <conditionalFormatting sqref="E35">
    <cfRule type="cellIs" dxfId="5673" priority="3781" operator="equal">
      <formula>0</formula>
    </cfRule>
  </conditionalFormatting>
  <conditionalFormatting sqref="F33:F34">
    <cfRule type="cellIs" dxfId="5672" priority="3779" operator="equal">
      <formula>0</formula>
    </cfRule>
    <cfRule type="cellIs" dxfId="5671" priority="3780" operator="notEqual">
      <formula>0</formula>
    </cfRule>
  </conditionalFormatting>
  <conditionalFormatting sqref="F35">
    <cfRule type="cellIs" dxfId="5670" priority="3778" operator="equal">
      <formula>0</formula>
    </cfRule>
  </conditionalFormatting>
  <conditionalFormatting sqref="G33:G34">
    <cfRule type="cellIs" dxfId="5669" priority="3776" operator="equal">
      <formula>0</formula>
    </cfRule>
    <cfRule type="cellIs" dxfId="5668" priority="3777" operator="notEqual">
      <formula>0</formula>
    </cfRule>
  </conditionalFormatting>
  <conditionalFormatting sqref="G35">
    <cfRule type="cellIs" dxfId="5667" priority="3775" operator="equal">
      <formula>0</formula>
    </cfRule>
  </conditionalFormatting>
  <conditionalFormatting sqref="H33:H34">
    <cfRule type="cellIs" dxfId="5666" priority="3773" operator="equal">
      <formula>0</formula>
    </cfRule>
    <cfRule type="cellIs" dxfId="5665" priority="3774" operator="notEqual">
      <formula>0</formula>
    </cfRule>
  </conditionalFormatting>
  <conditionalFormatting sqref="H35">
    <cfRule type="cellIs" dxfId="5664" priority="3772" operator="equal">
      <formula>0</formula>
    </cfRule>
  </conditionalFormatting>
  <conditionalFormatting sqref="I33:I34">
    <cfRule type="cellIs" dxfId="5663" priority="3770" operator="equal">
      <formula>0</formula>
    </cfRule>
    <cfRule type="cellIs" dxfId="5662" priority="3771" operator="notEqual">
      <formula>0</formula>
    </cfRule>
  </conditionalFormatting>
  <conditionalFormatting sqref="I35">
    <cfRule type="cellIs" dxfId="5661" priority="3769" operator="equal">
      <formula>0</formula>
    </cfRule>
  </conditionalFormatting>
  <conditionalFormatting sqref="J33:J34">
    <cfRule type="cellIs" dxfId="5660" priority="3767" operator="equal">
      <formula>0</formula>
    </cfRule>
    <cfRule type="cellIs" dxfId="5659" priority="3768" operator="notEqual">
      <formula>0</formula>
    </cfRule>
  </conditionalFormatting>
  <conditionalFormatting sqref="J35">
    <cfRule type="cellIs" dxfId="5658" priority="3766" operator="equal">
      <formula>0</formula>
    </cfRule>
  </conditionalFormatting>
  <conditionalFormatting sqref="K33:K34">
    <cfRule type="cellIs" dxfId="5657" priority="3764" operator="equal">
      <formula>0</formula>
    </cfRule>
    <cfRule type="cellIs" dxfId="5656" priority="3765" operator="notEqual">
      <formula>0</formula>
    </cfRule>
  </conditionalFormatting>
  <conditionalFormatting sqref="K35">
    <cfRule type="cellIs" dxfId="5655" priority="3763" operator="equal">
      <formula>0</formula>
    </cfRule>
  </conditionalFormatting>
  <conditionalFormatting sqref="L35">
    <cfRule type="cellIs" dxfId="5654" priority="3762" operator="equal">
      <formula>0</formula>
    </cfRule>
  </conditionalFormatting>
  <conditionalFormatting sqref="M35">
    <cfRule type="cellIs" dxfId="5653" priority="3761" operator="equal">
      <formula>0</formula>
    </cfRule>
  </conditionalFormatting>
  <conditionalFormatting sqref="N35">
    <cfRule type="cellIs" dxfId="5652" priority="3760" operator="equal">
      <formula>0</formula>
    </cfRule>
  </conditionalFormatting>
  <conditionalFormatting sqref="O35">
    <cfRule type="cellIs" dxfId="5651" priority="3759" operator="equal">
      <formula>0</formula>
    </cfRule>
  </conditionalFormatting>
  <conditionalFormatting sqref="P32">
    <cfRule type="cellIs" dxfId="5650" priority="3757" operator="equal">
      <formula>0</formula>
    </cfRule>
    <cfRule type="cellIs" dxfId="5649" priority="3758" operator="notEqual">
      <formula>0</formula>
    </cfRule>
  </conditionalFormatting>
  <conditionalFormatting sqref="P35">
    <cfRule type="cellIs" dxfId="5648" priority="3756" operator="equal">
      <formula>0</formula>
    </cfRule>
  </conditionalFormatting>
  <conditionalFormatting sqref="Q32">
    <cfRule type="cellIs" dxfId="5647" priority="3754" operator="equal">
      <formula>0</formula>
    </cfRule>
    <cfRule type="cellIs" dxfId="5646" priority="3755" operator="notEqual">
      <formula>0</formula>
    </cfRule>
  </conditionalFormatting>
  <conditionalFormatting sqref="Q35">
    <cfRule type="cellIs" dxfId="5645" priority="3753" operator="equal">
      <formula>0</formula>
    </cfRule>
  </conditionalFormatting>
  <conditionalFormatting sqref="R32">
    <cfRule type="cellIs" dxfId="5644" priority="3751" operator="equal">
      <formula>0</formula>
    </cfRule>
    <cfRule type="cellIs" dxfId="5643" priority="3752" operator="notEqual">
      <formula>0</formula>
    </cfRule>
  </conditionalFormatting>
  <conditionalFormatting sqref="R35">
    <cfRule type="cellIs" dxfId="5642" priority="3750" operator="equal">
      <formula>0</formula>
    </cfRule>
  </conditionalFormatting>
  <conditionalFormatting sqref="S32">
    <cfRule type="cellIs" dxfId="5641" priority="3748" operator="equal">
      <formula>0</formula>
    </cfRule>
    <cfRule type="cellIs" dxfId="5640" priority="3749" operator="notEqual">
      <formula>0</formula>
    </cfRule>
  </conditionalFormatting>
  <conditionalFormatting sqref="S35">
    <cfRule type="cellIs" dxfId="5639" priority="3747" operator="equal">
      <formula>0</formula>
    </cfRule>
  </conditionalFormatting>
  <conditionalFormatting sqref="D38:D39">
    <cfRule type="cellIs" dxfId="5638" priority="3745" operator="equal">
      <formula>0</formula>
    </cfRule>
    <cfRule type="cellIs" dxfId="5637" priority="3746" operator="notEqual">
      <formula>0</formula>
    </cfRule>
  </conditionalFormatting>
  <conditionalFormatting sqref="D40:D41 E41:S41">
    <cfRule type="cellIs" dxfId="5636" priority="3744" operator="equal">
      <formula>0</formula>
    </cfRule>
  </conditionalFormatting>
  <conditionalFormatting sqref="E38:E39">
    <cfRule type="cellIs" dxfId="5635" priority="3742" operator="equal">
      <formula>0</formula>
    </cfRule>
    <cfRule type="cellIs" dxfId="5634" priority="3743" operator="notEqual">
      <formula>0</formula>
    </cfRule>
  </conditionalFormatting>
  <conditionalFormatting sqref="E40">
    <cfRule type="cellIs" dxfId="5633" priority="3741" operator="equal">
      <formula>0</formula>
    </cfRule>
  </conditionalFormatting>
  <conditionalFormatting sqref="F38:F39">
    <cfRule type="cellIs" dxfId="5632" priority="3739" operator="equal">
      <formula>0</formula>
    </cfRule>
    <cfRule type="cellIs" dxfId="5631" priority="3740" operator="notEqual">
      <formula>0</formula>
    </cfRule>
  </conditionalFormatting>
  <conditionalFormatting sqref="F40">
    <cfRule type="cellIs" dxfId="5630" priority="3738" operator="equal">
      <formula>0</formula>
    </cfRule>
  </conditionalFormatting>
  <conditionalFormatting sqref="G38:G39">
    <cfRule type="cellIs" dxfId="5629" priority="3736" operator="equal">
      <formula>0</formula>
    </cfRule>
    <cfRule type="cellIs" dxfId="5628" priority="3737" operator="notEqual">
      <formula>0</formula>
    </cfRule>
  </conditionalFormatting>
  <conditionalFormatting sqref="G40">
    <cfRule type="cellIs" dxfId="5627" priority="3735" operator="equal">
      <formula>0</formula>
    </cfRule>
  </conditionalFormatting>
  <conditionalFormatting sqref="H38:H39">
    <cfRule type="cellIs" dxfId="5626" priority="3733" operator="equal">
      <formula>0</formula>
    </cfRule>
    <cfRule type="cellIs" dxfId="5625" priority="3734" operator="notEqual">
      <formula>0</formula>
    </cfRule>
  </conditionalFormatting>
  <conditionalFormatting sqref="H40">
    <cfRule type="cellIs" dxfId="5624" priority="3732" operator="equal">
      <formula>0</formula>
    </cfRule>
  </conditionalFormatting>
  <conditionalFormatting sqref="I38:I39">
    <cfRule type="cellIs" dxfId="5623" priority="3730" operator="equal">
      <formula>0</formula>
    </cfRule>
    <cfRule type="cellIs" dxfId="5622" priority="3731" operator="notEqual">
      <formula>0</formula>
    </cfRule>
  </conditionalFormatting>
  <conditionalFormatting sqref="I40">
    <cfRule type="cellIs" dxfId="5621" priority="3729" operator="equal">
      <formula>0</formula>
    </cfRule>
  </conditionalFormatting>
  <conditionalFormatting sqref="J38:J39">
    <cfRule type="cellIs" dxfId="5620" priority="3727" operator="equal">
      <formula>0</formula>
    </cfRule>
    <cfRule type="cellIs" dxfId="5619" priority="3728" operator="notEqual">
      <formula>0</formula>
    </cfRule>
  </conditionalFormatting>
  <conditionalFormatting sqref="J40">
    <cfRule type="cellIs" dxfId="5618" priority="3726" operator="equal">
      <formula>0</formula>
    </cfRule>
  </conditionalFormatting>
  <conditionalFormatting sqref="K38:K39">
    <cfRule type="cellIs" dxfId="5617" priority="3724" operator="equal">
      <formula>0</formula>
    </cfRule>
    <cfRule type="cellIs" dxfId="5616" priority="3725" operator="notEqual">
      <formula>0</formula>
    </cfRule>
  </conditionalFormatting>
  <conditionalFormatting sqref="K40">
    <cfRule type="cellIs" dxfId="5615" priority="3723" operator="equal">
      <formula>0</formula>
    </cfRule>
  </conditionalFormatting>
  <conditionalFormatting sqref="L40">
    <cfRule type="cellIs" dxfId="5614" priority="3722" operator="equal">
      <formula>0</formula>
    </cfRule>
  </conditionalFormatting>
  <conditionalFormatting sqref="M40">
    <cfRule type="cellIs" dxfId="5613" priority="3721" operator="equal">
      <formula>0</formula>
    </cfRule>
  </conditionalFormatting>
  <conditionalFormatting sqref="N40">
    <cfRule type="cellIs" dxfId="5612" priority="3720" operator="equal">
      <formula>0</formula>
    </cfRule>
  </conditionalFormatting>
  <conditionalFormatting sqref="O40">
    <cfRule type="cellIs" dxfId="5611" priority="3719" operator="equal">
      <formula>0</formula>
    </cfRule>
  </conditionalFormatting>
  <conditionalFormatting sqref="P37">
    <cfRule type="cellIs" dxfId="5610" priority="3717" operator="equal">
      <formula>0</formula>
    </cfRule>
    <cfRule type="cellIs" dxfId="5609" priority="3718" operator="notEqual">
      <formula>0</formula>
    </cfRule>
  </conditionalFormatting>
  <conditionalFormatting sqref="P40">
    <cfRule type="cellIs" dxfId="5608" priority="3716" operator="equal">
      <formula>0</formula>
    </cfRule>
  </conditionalFormatting>
  <conditionalFormatting sqref="Q37">
    <cfRule type="cellIs" dxfId="5607" priority="3714" operator="equal">
      <formula>0</formula>
    </cfRule>
    <cfRule type="cellIs" dxfId="5606" priority="3715" operator="notEqual">
      <formula>0</formula>
    </cfRule>
  </conditionalFormatting>
  <conditionalFormatting sqref="Q40">
    <cfRule type="cellIs" dxfId="5605" priority="3713" operator="equal">
      <formula>0</formula>
    </cfRule>
  </conditionalFormatting>
  <conditionalFormatting sqref="R37">
    <cfRule type="cellIs" dxfId="5604" priority="3711" operator="equal">
      <formula>0</formula>
    </cfRule>
    <cfRule type="cellIs" dxfId="5603" priority="3712" operator="notEqual">
      <formula>0</formula>
    </cfRule>
  </conditionalFormatting>
  <conditionalFormatting sqref="R40">
    <cfRule type="cellIs" dxfId="5602" priority="3710" operator="equal">
      <formula>0</formula>
    </cfRule>
  </conditionalFormatting>
  <conditionalFormatting sqref="S37">
    <cfRule type="cellIs" dxfId="5601" priority="3708" operator="equal">
      <formula>0</formula>
    </cfRule>
    <cfRule type="cellIs" dxfId="5600" priority="3709" operator="notEqual">
      <formula>0</formula>
    </cfRule>
  </conditionalFormatting>
  <conditionalFormatting sqref="S40">
    <cfRule type="cellIs" dxfId="5599" priority="3707" operator="equal">
      <formula>0</formula>
    </cfRule>
  </conditionalFormatting>
  <conditionalFormatting sqref="D43:D44">
    <cfRule type="cellIs" dxfId="5598" priority="3705" operator="equal">
      <formula>0</formula>
    </cfRule>
    <cfRule type="cellIs" dxfId="5597" priority="3706" operator="notEqual">
      <formula>0</formula>
    </cfRule>
  </conditionalFormatting>
  <conditionalFormatting sqref="D45:D46 E46:S46">
    <cfRule type="cellIs" dxfId="5596" priority="3704" operator="equal">
      <formula>0</formula>
    </cfRule>
  </conditionalFormatting>
  <conditionalFormatting sqref="E43:E44">
    <cfRule type="cellIs" dxfId="5595" priority="3702" operator="equal">
      <formula>0</formula>
    </cfRule>
    <cfRule type="cellIs" dxfId="5594" priority="3703" operator="notEqual">
      <formula>0</formula>
    </cfRule>
  </conditionalFormatting>
  <conditionalFormatting sqref="E45">
    <cfRule type="cellIs" dxfId="5593" priority="3701" operator="equal">
      <formula>0</formula>
    </cfRule>
  </conditionalFormatting>
  <conditionalFormatting sqref="F43:F44">
    <cfRule type="cellIs" dxfId="5592" priority="3699" operator="equal">
      <formula>0</formula>
    </cfRule>
    <cfRule type="cellIs" dxfId="5591" priority="3700" operator="notEqual">
      <formula>0</formula>
    </cfRule>
  </conditionalFormatting>
  <conditionalFormatting sqref="F45">
    <cfRule type="cellIs" dxfId="5590" priority="3698" operator="equal">
      <formula>0</formula>
    </cfRule>
  </conditionalFormatting>
  <conditionalFormatting sqref="G43:G44">
    <cfRule type="cellIs" dxfId="5589" priority="3696" operator="equal">
      <formula>0</formula>
    </cfRule>
    <cfRule type="cellIs" dxfId="5588" priority="3697" operator="notEqual">
      <formula>0</formula>
    </cfRule>
  </conditionalFormatting>
  <conditionalFormatting sqref="G45">
    <cfRule type="cellIs" dxfId="5587" priority="3695" operator="equal">
      <formula>0</formula>
    </cfRule>
  </conditionalFormatting>
  <conditionalFormatting sqref="H43:H44">
    <cfRule type="cellIs" dxfId="5586" priority="3693" operator="equal">
      <formula>0</formula>
    </cfRule>
    <cfRule type="cellIs" dxfId="5585" priority="3694" operator="notEqual">
      <formula>0</formula>
    </cfRule>
  </conditionalFormatting>
  <conditionalFormatting sqref="H45">
    <cfRule type="cellIs" dxfId="5584" priority="3692" operator="equal">
      <formula>0</formula>
    </cfRule>
  </conditionalFormatting>
  <conditionalFormatting sqref="I43:I44">
    <cfRule type="cellIs" dxfId="5583" priority="3690" operator="equal">
      <formula>0</formula>
    </cfRule>
    <cfRule type="cellIs" dxfId="5582" priority="3691" operator="notEqual">
      <formula>0</formula>
    </cfRule>
  </conditionalFormatting>
  <conditionalFormatting sqref="I45">
    <cfRule type="cellIs" dxfId="5581" priority="3689" operator="equal">
      <formula>0</formula>
    </cfRule>
  </conditionalFormatting>
  <conditionalFormatting sqref="J43:J44">
    <cfRule type="cellIs" dxfId="5580" priority="3687" operator="equal">
      <formula>0</formula>
    </cfRule>
    <cfRule type="cellIs" dxfId="5579" priority="3688" operator="notEqual">
      <formula>0</formula>
    </cfRule>
  </conditionalFormatting>
  <conditionalFormatting sqref="J45">
    <cfRule type="cellIs" dxfId="5578" priority="3686" operator="equal">
      <formula>0</formula>
    </cfRule>
  </conditionalFormatting>
  <conditionalFormatting sqref="K43:K44">
    <cfRule type="cellIs" dxfId="5577" priority="3684" operator="equal">
      <formula>0</formula>
    </cfRule>
    <cfRule type="cellIs" dxfId="5576" priority="3685" operator="notEqual">
      <formula>0</formula>
    </cfRule>
  </conditionalFormatting>
  <conditionalFormatting sqref="K45">
    <cfRule type="cellIs" dxfId="5575" priority="3683" operator="equal">
      <formula>0</formula>
    </cfRule>
  </conditionalFormatting>
  <conditionalFormatting sqref="L45">
    <cfRule type="cellIs" dxfId="5574" priority="3682" operator="equal">
      <formula>0</formula>
    </cfRule>
  </conditionalFormatting>
  <conditionalFormatting sqref="M45">
    <cfRule type="cellIs" dxfId="5573" priority="3681" operator="equal">
      <formula>0</formula>
    </cfRule>
  </conditionalFormatting>
  <conditionalFormatting sqref="N45">
    <cfRule type="cellIs" dxfId="5572" priority="3680" operator="equal">
      <formula>0</formula>
    </cfRule>
  </conditionalFormatting>
  <conditionalFormatting sqref="O45">
    <cfRule type="cellIs" dxfId="5571" priority="3679" operator="equal">
      <formula>0</formula>
    </cfRule>
  </conditionalFormatting>
  <conditionalFormatting sqref="P42">
    <cfRule type="cellIs" dxfId="5570" priority="3677" operator="equal">
      <formula>0</formula>
    </cfRule>
    <cfRule type="cellIs" dxfId="5569" priority="3678" operator="notEqual">
      <formula>0</formula>
    </cfRule>
  </conditionalFormatting>
  <conditionalFormatting sqref="P45">
    <cfRule type="cellIs" dxfId="5568" priority="3676" operator="equal">
      <formula>0</formula>
    </cfRule>
  </conditionalFormatting>
  <conditionalFormatting sqref="Q42">
    <cfRule type="cellIs" dxfId="5567" priority="3674" operator="equal">
      <formula>0</formula>
    </cfRule>
    <cfRule type="cellIs" dxfId="5566" priority="3675" operator="notEqual">
      <formula>0</formula>
    </cfRule>
  </conditionalFormatting>
  <conditionalFormatting sqref="Q45">
    <cfRule type="cellIs" dxfId="5565" priority="3673" operator="equal">
      <formula>0</formula>
    </cfRule>
  </conditionalFormatting>
  <conditionalFormatting sqref="R42">
    <cfRule type="cellIs" dxfId="5564" priority="3671" operator="equal">
      <formula>0</formula>
    </cfRule>
    <cfRule type="cellIs" dxfId="5563" priority="3672" operator="notEqual">
      <formula>0</formula>
    </cfRule>
  </conditionalFormatting>
  <conditionalFormatting sqref="R45">
    <cfRule type="cellIs" dxfId="5562" priority="3670" operator="equal">
      <formula>0</formula>
    </cfRule>
  </conditionalFormatting>
  <conditionalFormatting sqref="S42">
    <cfRule type="cellIs" dxfId="5561" priority="3668" operator="equal">
      <formula>0</formula>
    </cfRule>
    <cfRule type="cellIs" dxfId="5560" priority="3669" operator="notEqual">
      <formula>0</formula>
    </cfRule>
  </conditionalFormatting>
  <conditionalFormatting sqref="S45">
    <cfRule type="cellIs" dxfId="5559" priority="3667" operator="equal">
      <formula>0</formula>
    </cfRule>
  </conditionalFormatting>
  <conditionalFormatting sqref="D48:D49">
    <cfRule type="cellIs" dxfId="5558" priority="3665" operator="equal">
      <formula>0</formula>
    </cfRule>
    <cfRule type="cellIs" dxfId="5557" priority="3666" operator="notEqual">
      <formula>0</formula>
    </cfRule>
  </conditionalFormatting>
  <conditionalFormatting sqref="D50:D51 E51:S51">
    <cfRule type="cellIs" dxfId="5556" priority="3664" operator="equal">
      <formula>0</formula>
    </cfRule>
  </conditionalFormatting>
  <conditionalFormatting sqref="E48:E49">
    <cfRule type="cellIs" dxfId="5555" priority="3662" operator="equal">
      <formula>0</formula>
    </cfRule>
    <cfRule type="cellIs" dxfId="5554" priority="3663" operator="notEqual">
      <formula>0</formula>
    </cfRule>
  </conditionalFormatting>
  <conditionalFormatting sqref="E50">
    <cfRule type="cellIs" dxfId="5553" priority="3661" operator="equal">
      <formula>0</formula>
    </cfRule>
  </conditionalFormatting>
  <conditionalFormatting sqref="F48:F49">
    <cfRule type="cellIs" dxfId="5552" priority="3659" operator="equal">
      <formula>0</formula>
    </cfRule>
    <cfRule type="cellIs" dxfId="5551" priority="3660" operator="notEqual">
      <formula>0</formula>
    </cfRule>
  </conditionalFormatting>
  <conditionalFormatting sqref="F50">
    <cfRule type="cellIs" dxfId="5550" priority="3658" operator="equal">
      <formula>0</formula>
    </cfRule>
  </conditionalFormatting>
  <conditionalFormatting sqref="G48:G49">
    <cfRule type="cellIs" dxfId="5549" priority="3656" operator="equal">
      <formula>0</formula>
    </cfRule>
    <cfRule type="cellIs" dxfId="5548" priority="3657" operator="notEqual">
      <formula>0</formula>
    </cfRule>
  </conditionalFormatting>
  <conditionalFormatting sqref="G50">
    <cfRule type="cellIs" dxfId="5547" priority="3655" operator="equal">
      <formula>0</formula>
    </cfRule>
  </conditionalFormatting>
  <conditionalFormatting sqref="H48:H49">
    <cfRule type="cellIs" dxfId="5546" priority="3653" operator="equal">
      <formula>0</formula>
    </cfRule>
    <cfRule type="cellIs" dxfId="5545" priority="3654" operator="notEqual">
      <formula>0</formula>
    </cfRule>
  </conditionalFormatting>
  <conditionalFormatting sqref="H50">
    <cfRule type="cellIs" dxfId="5544" priority="3652" operator="equal">
      <formula>0</formula>
    </cfRule>
  </conditionalFormatting>
  <conditionalFormatting sqref="I48:I49">
    <cfRule type="cellIs" dxfId="5543" priority="3650" operator="equal">
      <formula>0</formula>
    </cfRule>
    <cfRule type="cellIs" dxfId="5542" priority="3651" operator="notEqual">
      <formula>0</formula>
    </cfRule>
  </conditionalFormatting>
  <conditionalFormatting sqref="I50">
    <cfRule type="cellIs" dxfId="5541" priority="3649" operator="equal">
      <formula>0</formula>
    </cfRule>
  </conditionalFormatting>
  <conditionalFormatting sqref="J48:J49">
    <cfRule type="cellIs" dxfId="5540" priority="3647" operator="equal">
      <formula>0</formula>
    </cfRule>
    <cfRule type="cellIs" dxfId="5539" priority="3648" operator="notEqual">
      <formula>0</formula>
    </cfRule>
  </conditionalFormatting>
  <conditionalFormatting sqref="J50">
    <cfRule type="cellIs" dxfId="5538" priority="3646" operator="equal">
      <formula>0</formula>
    </cfRule>
  </conditionalFormatting>
  <conditionalFormatting sqref="K48:K49">
    <cfRule type="cellIs" dxfId="5537" priority="3644" operator="equal">
      <formula>0</formula>
    </cfRule>
    <cfRule type="cellIs" dxfId="5536" priority="3645" operator="notEqual">
      <formula>0</formula>
    </cfRule>
  </conditionalFormatting>
  <conditionalFormatting sqref="K50">
    <cfRule type="cellIs" dxfId="5535" priority="3643" operator="equal">
      <formula>0</formula>
    </cfRule>
  </conditionalFormatting>
  <conditionalFormatting sqref="L50">
    <cfRule type="cellIs" dxfId="5534" priority="3642" operator="equal">
      <formula>0</formula>
    </cfRule>
  </conditionalFormatting>
  <conditionalFormatting sqref="M50">
    <cfRule type="cellIs" dxfId="5533" priority="3641" operator="equal">
      <formula>0</formula>
    </cfRule>
  </conditionalFormatting>
  <conditionalFormatting sqref="N50">
    <cfRule type="cellIs" dxfId="5532" priority="3640" operator="equal">
      <formula>0</formula>
    </cfRule>
  </conditionalFormatting>
  <conditionalFormatting sqref="O50">
    <cfRule type="cellIs" dxfId="5531" priority="3639" operator="equal">
      <formula>0</formula>
    </cfRule>
  </conditionalFormatting>
  <conditionalFormatting sqref="P47">
    <cfRule type="cellIs" dxfId="5530" priority="3637" operator="equal">
      <formula>0</formula>
    </cfRule>
    <cfRule type="cellIs" dxfId="5529" priority="3638" operator="notEqual">
      <formula>0</formula>
    </cfRule>
  </conditionalFormatting>
  <conditionalFormatting sqref="P50">
    <cfRule type="cellIs" dxfId="5528" priority="3636" operator="equal">
      <formula>0</formula>
    </cfRule>
  </conditionalFormatting>
  <conditionalFormatting sqref="Q47">
    <cfRule type="cellIs" dxfId="5527" priority="3634" operator="equal">
      <formula>0</formula>
    </cfRule>
    <cfRule type="cellIs" dxfId="5526" priority="3635" operator="notEqual">
      <formula>0</formula>
    </cfRule>
  </conditionalFormatting>
  <conditionalFormatting sqref="Q50">
    <cfRule type="cellIs" dxfId="5525" priority="3633" operator="equal">
      <formula>0</formula>
    </cfRule>
  </conditionalFormatting>
  <conditionalFormatting sqref="R47">
    <cfRule type="cellIs" dxfId="5524" priority="3631" operator="equal">
      <formula>0</formula>
    </cfRule>
    <cfRule type="cellIs" dxfId="5523" priority="3632" operator="notEqual">
      <formula>0</formula>
    </cfRule>
  </conditionalFormatting>
  <conditionalFormatting sqref="R50">
    <cfRule type="cellIs" dxfId="5522" priority="3630" operator="equal">
      <formula>0</formula>
    </cfRule>
  </conditionalFormatting>
  <conditionalFormatting sqref="S47">
    <cfRule type="cellIs" dxfId="5521" priority="3628" operator="equal">
      <formula>0</formula>
    </cfRule>
    <cfRule type="cellIs" dxfId="5520" priority="3629" operator="notEqual">
      <formula>0</formula>
    </cfRule>
  </conditionalFormatting>
  <conditionalFormatting sqref="S50">
    <cfRule type="cellIs" dxfId="5519" priority="3627" operator="equal">
      <formula>0</formula>
    </cfRule>
  </conditionalFormatting>
  <conditionalFormatting sqref="D53:D54">
    <cfRule type="cellIs" dxfId="5518" priority="3625" operator="equal">
      <formula>0</formula>
    </cfRule>
    <cfRule type="cellIs" dxfId="5517" priority="3626" operator="notEqual">
      <formula>0</formula>
    </cfRule>
  </conditionalFormatting>
  <conditionalFormatting sqref="D55:D56 E56:S56">
    <cfRule type="cellIs" dxfId="5516" priority="3624" operator="equal">
      <formula>0</formula>
    </cfRule>
  </conditionalFormatting>
  <conditionalFormatting sqref="E53:E54">
    <cfRule type="cellIs" dxfId="5515" priority="3622" operator="equal">
      <formula>0</formula>
    </cfRule>
    <cfRule type="cellIs" dxfId="5514" priority="3623" operator="notEqual">
      <formula>0</formula>
    </cfRule>
  </conditionalFormatting>
  <conditionalFormatting sqref="E55">
    <cfRule type="cellIs" dxfId="5513" priority="3621" operator="equal">
      <formula>0</formula>
    </cfRule>
  </conditionalFormatting>
  <conditionalFormatting sqref="F53:F54">
    <cfRule type="cellIs" dxfId="5512" priority="3619" operator="equal">
      <formula>0</formula>
    </cfRule>
    <cfRule type="cellIs" dxfId="5511" priority="3620" operator="notEqual">
      <formula>0</formula>
    </cfRule>
  </conditionalFormatting>
  <conditionalFormatting sqref="F55">
    <cfRule type="cellIs" dxfId="5510" priority="3618" operator="equal">
      <formula>0</formula>
    </cfRule>
  </conditionalFormatting>
  <conditionalFormatting sqref="G53:G54">
    <cfRule type="cellIs" dxfId="5509" priority="3616" operator="equal">
      <formula>0</formula>
    </cfRule>
    <cfRule type="cellIs" dxfId="5508" priority="3617" operator="notEqual">
      <formula>0</formula>
    </cfRule>
  </conditionalFormatting>
  <conditionalFormatting sqref="G55">
    <cfRule type="cellIs" dxfId="5507" priority="3615" operator="equal">
      <formula>0</formula>
    </cfRule>
  </conditionalFormatting>
  <conditionalFormatting sqref="H53:H54">
    <cfRule type="cellIs" dxfId="5506" priority="3613" operator="equal">
      <formula>0</formula>
    </cfRule>
    <cfRule type="cellIs" dxfId="5505" priority="3614" operator="notEqual">
      <formula>0</formula>
    </cfRule>
  </conditionalFormatting>
  <conditionalFormatting sqref="H55">
    <cfRule type="cellIs" dxfId="5504" priority="3612" operator="equal">
      <formula>0</formula>
    </cfRule>
  </conditionalFormatting>
  <conditionalFormatting sqref="I53:I54">
    <cfRule type="cellIs" dxfId="5503" priority="3610" operator="equal">
      <formula>0</formula>
    </cfRule>
    <cfRule type="cellIs" dxfId="5502" priority="3611" operator="notEqual">
      <formula>0</formula>
    </cfRule>
  </conditionalFormatting>
  <conditionalFormatting sqref="I55">
    <cfRule type="cellIs" dxfId="5501" priority="3609" operator="equal">
      <formula>0</formula>
    </cfRule>
  </conditionalFormatting>
  <conditionalFormatting sqref="J53:J54">
    <cfRule type="cellIs" dxfId="5500" priority="3607" operator="equal">
      <formula>0</formula>
    </cfRule>
    <cfRule type="cellIs" dxfId="5499" priority="3608" operator="notEqual">
      <formula>0</formula>
    </cfRule>
  </conditionalFormatting>
  <conditionalFormatting sqref="J55">
    <cfRule type="cellIs" dxfId="5498" priority="3606" operator="equal">
      <formula>0</formula>
    </cfRule>
  </conditionalFormatting>
  <conditionalFormatting sqref="K53:K54">
    <cfRule type="cellIs" dxfId="5497" priority="3604" operator="equal">
      <formula>0</formula>
    </cfRule>
    <cfRule type="cellIs" dxfId="5496" priority="3605" operator="notEqual">
      <formula>0</formula>
    </cfRule>
  </conditionalFormatting>
  <conditionalFormatting sqref="K55">
    <cfRule type="cellIs" dxfId="5495" priority="3603" operator="equal">
      <formula>0</formula>
    </cfRule>
  </conditionalFormatting>
  <conditionalFormatting sqref="L55">
    <cfRule type="cellIs" dxfId="5494" priority="3602" operator="equal">
      <formula>0</formula>
    </cfRule>
  </conditionalFormatting>
  <conditionalFormatting sqref="M55">
    <cfRule type="cellIs" dxfId="5493" priority="3601" operator="equal">
      <formula>0</formula>
    </cfRule>
  </conditionalFormatting>
  <conditionalFormatting sqref="N55">
    <cfRule type="cellIs" dxfId="5492" priority="3600" operator="equal">
      <formula>0</formula>
    </cfRule>
  </conditionalFormatting>
  <conditionalFormatting sqref="O55">
    <cfRule type="cellIs" dxfId="5491" priority="3599" operator="equal">
      <formula>0</formula>
    </cfRule>
  </conditionalFormatting>
  <conditionalFormatting sqref="P52">
    <cfRule type="cellIs" dxfId="5490" priority="3597" operator="equal">
      <formula>0</formula>
    </cfRule>
    <cfRule type="cellIs" dxfId="5489" priority="3598" operator="notEqual">
      <formula>0</formula>
    </cfRule>
  </conditionalFormatting>
  <conditionalFormatting sqref="P55">
    <cfRule type="cellIs" dxfId="5488" priority="3596" operator="equal">
      <formula>0</formula>
    </cfRule>
  </conditionalFormatting>
  <conditionalFormatting sqref="Q52">
    <cfRule type="cellIs" dxfId="5487" priority="3594" operator="equal">
      <formula>0</formula>
    </cfRule>
    <cfRule type="cellIs" dxfId="5486" priority="3595" operator="notEqual">
      <formula>0</formula>
    </cfRule>
  </conditionalFormatting>
  <conditionalFormatting sqref="Q55">
    <cfRule type="cellIs" dxfId="5485" priority="3593" operator="equal">
      <formula>0</formula>
    </cfRule>
  </conditionalFormatting>
  <conditionalFormatting sqref="R52">
    <cfRule type="cellIs" dxfId="5484" priority="3591" operator="equal">
      <formula>0</formula>
    </cfRule>
    <cfRule type="cellIs" dxfId="5483" priority="3592" operator="notEqual">
      <formula>0</formula>
    </cfRule>
  </conditionalFormatting>
  <conditionalFormatting sqref="R55">
    <cfRule type="cellIs" dxfId="5482" priority="3590" operator="equal">
      <formula>0</formula>
    </cfRule>
  </conditionalFormatting>
  <conditionalFormatting sqref="S52">
    <cfRule type="cellIs" dxfId="5481" priority="3588" operator="equal">
      <formula>0</formula>
    </cfRule>
    <cfRule type="cellIs" dxfId="5480" priority="3589" operator="notEqual">
      <formula>0</formula>
    </cfRule>
  </conditionalFormatting>
  <conditionalFormatting sqref="S55">
    <cfRule type="cellIs" dxfId="5479" priority="3587" operator="equal">
      <formula>0</formula>
    </cfRule>
  </conditionalFormatting>
  <conditionalFormatting sqref="D58:D59">
    <cfRule type="cellIs" dxfId="5478" priority="3585" operator="equal">
      <formula>0</formula>
    </cfRule>
    <cfRule type="cellIs" dxfId="5477" priority="3586" operator="notEqual">
      <formula>0</formula>
    </cfRule>
  </conditionalFormatting>
  <conditionalFormatting sqref="D60:D61 E61:S61">
    <cfRule type="cellIs" dxfId="5476" priority="3584" operator="equal">
      <formula>0</formula>
    </cfRule>
  </conditionalFormatting>
  <conditionalFormatting sqref="E58:E59">
    <cfRule type="cellIs" dxfId="5475" priority="3582" operator="equal">
      <formula>0</formula>
    </cfRule>
    <cfRule type="cellIs" dxfId="5474" priority="3583" operator="notEqual">
      <formula>0</formula>
    </cfRule>
  </conditionalFormatting>
  <conditionalFormatting sqref="E60">
    <cfRule type="cellIs" dxfId="5473" priority="3581" operator="equal">
      <formula>0</formula>
    </cfRule>
  </conditionalFormatting>
  <conditionalFormatting sqref="F58:F59">
    <cfRule type="cellIs" dxfId="5472" priority="3579" operator="equal">
      <formula>0</formula>
    </cfRule>
    <cfRule type="cellIs" dxfId="5471" priority="3580" operator="notEqual">
      <formula>0</formula>
    </cfRule>
  </conditionalFormatting>
  <conditionalFormatting sqref="F60">
    <cfRule type="cellIs" dxfId="5470" priority="3578" operator="equal">
      <formula>0</formula>
    </cfRule>
  </conditionalFormatting>
  <conditionalFormatting sqref="G58:G59">
    <cfRule type="cellIs" dxfId="5469" priority="3576" operator="equal">
      <formula>0</formula>
    </cfRule>
    <cfRule type="cellIs" dxfId="5468" priority="3577" operator="notEqual">
      <formula>0</formula>
    </cfRule>
  </conditionalFormatting>
  <conditionalFormatting sqref="G60">
    <cfRule type="cellIs" dxfId="5467" priority="3575" operator="equal">
      <formula>0</formula>
    </cfRule>
  </conditionalFormatting>
  <conditionalFormatting sqref="H58:H59">
    <cfRule type="cellIs" dxfId="5466" priority="3573" operator="equal">
      <formula>0</formula>
    </cfRule>
    <cfRule type="cellIs" dxfId="5465" priority="3574" operator="notEqual">
      <formula>0</formula>
    </cfRule>
  </conditionalFormatting>
  <conditionalFormatting sqref="H60">
    <cfRule type="cellIs" dxfId="5464" priority="3572" operator="equal">
      <formula>0</formula>
    </cfRule>
  </conditionalFormatting>
  <conditionalFormatting sqref="I58:I59">
    <cfRule type="cellIs" dxfId="5463" priority="3570" operator="equal">
      <formula>0</formula>
    </cfRule>
    <cfRule type="cellIs" dxfId="5462" priority="3571" operator="notEqual">
      <formula>0</formula>
    </cfRule>
  </conditionalFormatting>
  <conditionalFormatting sqref="I60">
    <cfRule type="cellIs" dxfId="5461" priority="3569" operator="equal">
      <formula>0</formula>
    </cfRule>
  </conditionalFormatting>
  <conditionalFormatting sqref="J58:J59">
    <cfRule type="cellIs" dxfId="5460" priority="3567" operator="equal">
      <formula>0</formula>
    </cfRule>
    <cfRule type="cellIs" dxfId="5459" priority="3568" operator="notEqual">
      <formula>0</formula>
    </cfRule>
  </conditionalFormatting>
  <conditionalFormatting sqref="J60">
    <cfRule type="cellIs" dxfId="5458" priority="3566" operator="equal">
      <formula>0</formula>
    </cfRule>
  </conditionalFormatting>
  <conditionalFormatting sqref="K58:K59">
    <cfRule type="cellIs" dxfId="5457" priority="3564" operator="equal">
      <formula>0</formula>
    </cfRule>
    <cfRule type="cellIs" dxfId="5456" priority="3565" operator="notEqual">
      <formula>0</formula>
    </cfRule>
  </conditionalFormatting>
  <conditionalFormatting sqref="K60">
    <cfRule type="cellIs" dxfId="5455" priority="3563" operator="equal">
      <formula>0</formula>
    </cfRule>
  </conditionalFormatting>
  <conditionalFormatting sqref="L60">
    <cfRule type="cellIs" dxfId="5454" priority="3562" operator="equal">
      <formula>0</formula>
    </cfRule>
  </conditionalFormatting>
  <conditionalFormatting sqref="M60">
    <cfRule type="cellIs" dxfId="5453" priority="3561" operator="equal">
      <formula>0</formula>
    </cfRule>
  </conditionalFormatting>
  <conditionalFormatting sqref="N60">
    <cfRule type="cellIs" dxfId="5452" priority="3560" operator="equal">
      <formula>0</formula>
    </cfRule>
  </conditionalFormatting>
  <conditionalFormatting sqref="O60">
    <cfRule type="cellIs" dxfId="5451" priority="3559" operator="equal">
      <formula>0</formula>
    </cfRule>
  </conditionalFormatting>
  <conditionalFormatting sqref="P57">
    <cfRule type="cellIs" dxfId="5450" priority="3557" operator="equal">
      <formula>0</formula>
    </cfRule>
    <cfRule type="cellIs" dxfId="5449" priority="3558" operator="notEqual">
      <formula>0</formula>
    </cfRule>
  </conditionalFormatting>
  <conditionalFormatting sqref="P60">
    <cfRule type="cellIs" dxfId="5448" priority="3556" operator="equal">
      <formula>0</formula>
    </cfRule>
  </conditionalFormatting>
  <conditionalFormatting sqref="Q57">
    <cfRule type="cellIs" dxfId="5447" priority="3554" operator="equal">
      <formula>0</formula>
    </cfRule>
    <cfRule type="cellIs" dxfId="5446" priority="3555" operator="notEqual">
      <formula>0</formula>
    </cfRule>
  </conditionalFormatting>
  <conditionalFormatting sqref="Q60">
    <cfRule type="cellIs" dxfId="5445" priority="3553" operator="equal">
      <formula>0</formula>
    </cfRule>
  </conditionalFormatting>
  <conditionalFormatting sqref="R57">
    <cfRule type="cellIs" dxfId="5444" priority="3551" operator="equal">
      <formula>0</formula>
    </cfRule>
    <cfRule type="cellIs" dxfId="5443" priority="3552" operator="notEqual">
      <formula>0</formula>
    </cfRule>
  </conditionalFormatting>
  <conditionalFormatting sqref="R60">
    <cfRule type="cellIs" dxfId="5442" priority="3550" operator="equal">
      <formula>0</formula>
    </cfRule>
  </conditionalFormatting>
  <conditionalFormatting sqref="S57">
    <cfRule type="cellIs" dxfId="5441" priority="3548" operator="equal">
      <formula>0</formula>
    </cfRule>
    <cfRule type="cellIs" dxfId="5440" priority="3549" operator="notEqual">
      <formula>0</formula>
    </cfRule>
  </conditionalFormatting>
  <conditionalFormatting sqref="S60">
    <cfRule type="cellIs" dxfId="5439" priority="3547" operator="equal">
      <formula>0</formula>
    </cfRule>
  </conditionalFormatting>
  <conditionalFormatting sqref="D63:D64">
    <cfRule type="cellIs" dxfId="5438" priority="3545" operator="equal">
      <formula>0</formula>
    </cfRule>
    <cfRule type="cellIs" dxfId="5437" priority="3546" operator="notEqual">
      <formula>0</formula>
    </cfRule>
  </conditionalFormatting>
  <conditionalFormatting sqref="D65:D66 E66:S66">
    <cfRule type="cellIs" dxfId="5436" priority="3544" operator="equal">
      <formula>0</formula>
    </cfRule>
  </conditionalFormatting>
  <conditionalFormatting sqref="E63:E64">
    <cfRule type="cellIs" dxfId="5435" priority="3542" operator="equal">
      <formula>0</formula>
    </cfRule>
    <cfRule type="cellIs" dxfId="5434" priority="3543" operator="notEqual">
      <formula>0</formula>
    </cfRule>
  </conditionalFormatting>
  <conditionalFormatting sqref="E65">
    <cfRule type="cellIs" dxfId="5433" priority="3541" operator="equal">
      <formula>0</formula>
    </cfRule>
  </conditionalFormatting>
  <conditionalFormatting sqref="F63:F64">
    <cfRule type="cellIs" dxfId="5432" priority="3539" operator="equal">
      <formula>0</formula>
    </cfRule>
    <cfRule type="cellIs" dxfId="5431" priority="3540" operator="notEqual">
      <formula>0</formula>
    </cfRule>
  </conditionalFormatting>
  <conditionalFormatting sqref="F65">
    <cfRule type="cellIs" dxfId="5430" priority="3538" operator="equal">
      <formula>0</formula>
    </cfRule>
  </conditionalFormatting>
  <conditionalFormatting sqref="G63:G64">
    <cfRule type="cellIs" dxfId="5429" priority="3536" operator="equal">
      <formula>0</formula>
    </cfRule>
    <cfRule type="cellIs" dxfId="5428" priority="3537" operator="notEqual">
      <formula>0</formula>
    </cfRule>
  </conditionalFormatting>
  <conditionalFormatting sqref="G65">
    <cfRule type="cellIs" dxfId="5427" priority="3535" operator="equal">
      <formula>0</formula>
    </cfRule>
  </conditionalFormatting>
  <conditionalFormatting sqref="H63:H64">
    <cfRule type="cellIs" dxfId="5426" priority="3533" operator="equal">
      <formula>0</formula>
    </cfRule>
    <cfRule type="cellIs" dxfId="5425" priority="3534" operator="notEqual">
      <formula>0</formula>
    </cfRule>
  </conditionalFormatting>
  <conditionalFormatting sqref="H65">
    <cfRule type="cellIs" dxfId="5424" priority="3532" operator="equal">
      <formula>0</formula>
    </cfRule>
  </conditionalFormatting>
  <conditionalFormatting sqref="I63:I64">
    <cfRule type="cellIs" dxfId="5423" priority="3530" operator="equal">
      <formula>0</formula>
    </cfRule>
    <cfRule type="cellIs" dxfId="5422" priority="3531" operator="notEqual">
      <formula>0</formula>
    </cfRule>
  </conditionalFormatting>
  <conditionalFormatting sqref="I65">
    <cfRule type="cellIs" dxfId="5421" priority="3529" operator="equal">
      <formula>0</formula>
    </cfRule>
  </conditionalFormatting>
  <conditionalFormatting sqref="J63:J64">
    <cfRule type="cellIs" dxfId="5420" priority="3527" operator="equal">
      <formula>0</formula>
    </cfRule>
    <cfRule type="cellIs" dxfId="5419" priority="3528" operator="notEqual">
      <formula>0</formula>
    </cfRule>
  </conditionalFormatting>
  <conditionalFormatting sqref="J65">
    <cfRule type="cellIs" dxfId="5418" priority="3526" operator="equal">
      <formula>0</formula>
    </cfRule>
  </conditionalFormatting>
  <conditionalFormatting sqref="K63:K64">
    <cfRule type="cellIs" dxfId="5417" priority="3524" operator="equal">
      <formula>0</formula>
    </cfRule>
    <cfRule type="cellIs" dxfId="5416" priority="3525" operator="notEqual">
      <formula>0</formula>
    </cfRule>
  </conditionalFormatting>
  <conditionalFormatting sqref="K65">
    <cfRule type="cellIs" dxfId="5415" priority="3523" operator="equal">
      <formula>0</formula>
    </cfRule>
  </conditionalFormatting>
  <conditionalFormatting sqref="L65">
    <cfRule type="cellIs" dxfId="5414" priority="3522" operator="equal">
      <formula>0</formula>
    </cfRule>
  </conditionalFormatting>
  <conditionalFormatting sqref="M65">
    <cfRule type="cellIs" dxfId="5413" priority="3521" operator="equal">
      <formula>0</formula>
    </cfRule>
  </conditionalFormatting>
  <conditionalFormatting sqref="N65">
    <cfRule type="cellIs" dxfId="5412" priority="3520" operator="equal">
      <formula>0</formula>
    </cfRule>
  </conditionalFormatting>
  <conditionalFormatting sqref="O65">
    <cfRule type="cellIs" dxfId="5411" priority="3519" operator="equal">
      <formula>0</formula>
    </cfRule>
  </conditionalFormatting>
  <conditionalFormatting sqref="P62">
    <cfRule type="cellIs" dxfId="5410" priority="3517" operator="equal">
      <formula>0</formula>
    </cfRule>
    <cfRule type="cellIs" dxfId="5409" priority="3518" operator="notEqual">
      <formula>0</formula>
    </cfRule>
  </conditionalFormatting>
  <conditionalFormatting sqref="P65">
    <cfRule type="cellIs" dxfId="5408" priority="3516" operator="equal">
      <formula>0</formula>
    </cfRule>
  </conditionalFormatting>
  <conditionalFormatting sqref="Q62">
    <cfRule type="cellIs" dxfId="5407" priority="3514" operator="equal">
      <formula>0</formula>
    </cfRule>
    <cfRule type="cellIs" dxfId="5406" priority="3515" operator="notEqual">
      <formula>0</formula>
    </cfRule>
  </conditionalFormatting>
  <conditionalFormatting sqref="Q65">
    <cfRule type="cellIs" dxfId="5405" priority="3513" operator="equal">
      <formula>0</formula>
    </cfRule>
  </conditionalFormatting>
  <conditionalFormatting sqref="R62">
    <cfRule type="cellIs" dxfId="5404" priority="3511" operator="equal">
      <formula>0</formula>
    </cfRule>
    <cfRule type="cellIs" dxfId="5403" priority="3512" operator="notEqual">
      <formula>0</formula>
    </cfRule>
  </conditionalFormatting>
  <conditionalFormatting sqref="R65">
    <cfRule type="cellIs" dxfId="5402" priority="3510" operator="equal">
      <formula>0</formula>
    </cfRule>
  </conditionalFormatting>
  <conditionalFormatting sqref="S62">
    <cfRule type="cellIs" dxfId="5401" priority="3508" operator="equal">
      <formula>0</formula>
    </cfRule>
    <cfRule type="cellIs" dxfId="5400" priority="3509" operator="notEqual">
      <formula>0</formula>
    </cfRule>
  </conditionalFormatting>
  <conditionalFormatting sqref="S65">
    <cfRule type="cellIs" dxfId="5399" priority="3507" operator="equal">
      <formula>0</formula>
    </cfRule>
  </conditionalFormatting>
  <conditionalFormatting sqref="D70:D71 E71:S71">
    <cfRule type="cellIs" dxfId="5398" priority="3506" operator="equal">
      <formula>0</formula>
    </cfRule>
  </conditionalFormatting>
  <conditionalFormatting sqref="E70">
    <cfRule type="cellIs" dxfId="5397" priority="3505" operator="equal">
      <formula>0</formula>
    </cfRule>
  </conditionalFormatting>
  <conditionalFormatting sqref="F70">
    <cfRule type="cellIs" dxfId="5396" priority="3504" operator="equal">
      <formula>0</formula>
    </cfRule>
  </conditionalFormatting>
  <conditionalFormatting sqref="G70">
    <cfRule type="cellIs" dxfId="5395" priority="3503" operator="equal">
      <formula>0</formula>
    </cfRule>
  </conditionalFormatting>
  <conditionalFormatting sqref="H70">
    <cfRule type="cellIs" dxfId="5394" priority="3502" operator="equal">
      <formula>0</formula>
    </cfRule>
  </conditionalFormatting>
  <conditionalFormatting sqref="I70">
    <cfRule type="cellIs" dxfId="5393" priority="3501" operator="equal">
      <formula>0</formula>
    </cfRule>
  </conditionalFormatting>
  <conditionalFormatting sqref="J70">
    <cfRule type="cellIs" dxfId="5392" priority="3500" operator="equal">
      <formula>0</formula>
    </cfRule>
  </conditionalFormatting>
  <conditionalFormatting sqref="K70">
    <cfRule type="cellIs" dxfId="5391" priority="3499" operator="equal">
      <formula>0</formula>
    </cfRule>
  </conditionalFormatting>
  <conditionalFormatting sqref="L70">
    <cfRule type="cellIs" dxfId="5390" priority="3498" operator="equal">
      <formula>0</formula>
    </cfRule>
  </conditionalFormatting>
  <conditionalFormatting sqref="M70">
    <cfRule type="cellIs" dxfId="5389" priority="3497" operator="equal">
      <formula>0</formula>
    </cfRule>
  </conditionalFormatting>
  <conditionalFormatting sqref="N70">
    <cfRule type="cellIs" dxfId="5388" priority="3496" operator="equal">
      <formula>0</formula>
    </cfRule>
  </conditionalFormatting>
  <conditionalFormatting sqref="O70">
    <cfRule type="cellIs" dxfId="5387" priority="3495" operator="equal">
      <formula>0</formula>
    </cfRule>
  </conditionalFormatting>
  <conditionalFormatting sqref="P70">
    <cfRule type="cellIs" dxfId="5386" priority="3494" operator="equal">
      <formula>0</formula>
    </cfRule>
  </conditionalFormatting>
  <conditionalFormatting sqref="Q70">
    <cfRule type="cellIs" dxfId="5385" priority="3493" operator="equal">
      <formula>0</formula>
    </cfRule>
  </conditionalFormatting>
  <conditionalFormatting sqref="R70">
    <cfRule type="cellIs" dxfId="5384" priority="3492" operator="equal">
      <formula>0</formula>
    </cfRule>
  </conditionalFormatting>
  <conditionalFormatting sqref="S70">
    <cfRule type="cellIs" dxfId="5383" priority="3491" operator="equal">
      <formula>0</formula>
    </cfRule>
  </conditionalFormatting>
  <conditionalFormatting sqref="P147">
    <cfRule type="cellIs" dxfId="5382" priority="3225" operator="equal">
      <formula>0</formula>
    </cfRule>
    <cfRule type="cellIs" dxfId="5381" priority="3226" operator="notEqual">
      <formula>0</formula>
    </cfRule>
  </conditionalFormatting>
  <conditionalFormatting sqref="P172 P177 P187 P192">
    <cfRule type="cellIs" dxfId="5380" priority="3223" operator="equal">
      <formula>0</formula>
    </cfRule>
    <cfRule type="cellIs" dxfId="5379" priority="3224" operator="notEqual">
      <formula>0</formula>
    </cfRule>
  </conditionalFormatting>
  <conditionalFormatting sqref="P150 P175 P180 P190 P195 P210">
    <cfRule type="cellIs" dxfId="5378" priority="3222" operator="equal">
      <formula>0</formula>
    </cfRule>
  </conditionalFormatting>
  <conditionalFormatting sqref="P152">
    <cfRule type="cellIs" dxfId="5377" priority="3220" operator="equal">
      <formula>0</formula>
    </cfRule>
    <cfRule type="cellIs" dxfId="5376" priority="3221" operator="notEqual">
      <formula>0</formula>
    </cfRule>
  </conditionalFormatting>
  <conditionalFormatting sqref="P155">
    <cfRule type="cellIs" dxfId="5375" priority="3219" operator="equal">
      <formula>0</formula>
    </cfRule>
  </conditionalFormatting>
  <conditionalFormatting sqref="P157">
    <cfRule type="cellIs" dxfId="5374" priority="3217" operator="equal">
      <formula>0</formula>
    </cfRule>
    <cfRule type="cellIs" dxfId="5373" priority="3218" operator="notEqual">
      <formula>0</formula>
    </cfRule>
  </conditionalFormatting>
  <conditionalFormatting sqref="P160">
    <cfRule type="cellIs" dxfId="5372" priority="3216" operator="equal">
      <formula>0</formula>
    </cfRule>
  </conditionalFormatting>
  <conditionalFormatting sqref="P162">
    <cfRule type="cellIs" dxfId="5371" priority="3214" operator="equal">
      <formula>0</formula>
    </cfRule>
    <cfRule type="cellIs" dxfId="5370" priority="3215" operator="notEqual">
      <formula>0</formula>
    </cfRule>
  </conditionalFormatting>
  <conditionalFormatting sqref="P165">
    <cfRule type="cellIs" dxfId="5369" priority="3213" operator="equal">
      <formula>0</formula>
    </cfRule>
  </conditionalFormatting>
  <conditionalFormatting sqref="P167">
    <cfRule type="cellIs" dxfId="5368" priority="3211" operator="equal">
      <formula>0</formula>
    </cfRule>
    <cfRule type="cellIs" dxfId="5367" priority="3212" operator="notEqual">
      <formula>0</formula>
    </cfRule>
  </conditionalFormatting>
  <conditionalFormatting sqref="P170">
    <cfRule type="cellIs" dxfId="5366" priority="3210" operator="equal">
      <formula>0</formula>
    </cfRule>
  </conditionalFormatting>
  <conditionalFormatting sqref="P200">
    <cfRule type="cellIs" dxfId="5365" priority="3207" operator="equal">
      <formula>0</formula>
    </cfRule>
  </conditionalFormatting>
  <conditionalFormatting sqref="P205">
    <cfRule type="cellIs" dxfId="5364" priority="3204" operator="equal">
      <formula>0</formula>
    </cfRule>
  </conditionalFormatting>
  <conditionalFormatting sqref="P197">
    <cfRule type="cellIs" dxfId="5363" priority="3208" operator="equal">
      <formula>0</formula>
    </cfRule>
    <cfRule type="cellIs" dxfId="5362" priority="3209" operator="notEqual">
      <formula>0</formula>
    </cfRule>
  </conditionalFormatting>
  <conditionalFormatting sqref="P202">
    <cfRule type="cellIs" dxfId="5361" priority="3205" operator="equal">
      <formula>0</formula>
    </cfRule>
    <cfRule type="cellIs" dxfId="5360" priority="3206" operator="notEqual">
      <formula>0</formula>
    </cfRule>
  </conditionalFormatting>
  <conditionalFormatting sqref="P182">
    <cfRule type="cellIs" dxfId="5359" priority="3202" operator="equal">
      <formula>0</formula>
    </cfRule>
    <cfRule type="cellIs" dxfId="5358" priority="3203" operator="notEqual">
      <formula>0</formula>
    </cfRule>
  </conditionalFormatting>
  <conditionalFormatting sqref="P185">
    <cfRule type="cellIs" dxfId="5357" priority="3201" operator="equal">
      <formula>0</formula>
    </cfRule>
  </conditionalFormatting>
  <conditionalFormatting sqref="Q147">
    <cfRule type="cellIs" dxfId="5356" priority="3199" operator="equal">
      <formula>0</formula>
    </cfRule>
    <cfRule type="cellIs" dxfId="5355" priority="3200" operator="notEqual">
      <formula>0</formula>
    </cfRule>
  </conditionalFormatting>
  <conditionalFormatting sqref="Q172 Q177 Q187 Q192">
    <cfRule type="cellIs" dxfId="5354" priority="3197" operator="equal">
      <formula>0</formula>
    </cfRule>
    <cfRule type="cellIs" dxfId="5353" priority="3198" operator="notEqual">
      <formula>0</formula>
    </cfRule>
  </conditionalFormatting>
  <conditionalFormatting sqref="Q150 Q175 Q180 Q190 Q195 Q210">
    <cfRule type="cellIs" dxfId="5352" priority="3196" operator="equal">
      <formula>0</formula>
    </cfRule>
  </conditionalFormatting>
  <conditionalFormatting sqref="Q152">
    <cfRule type="cellIs" dxfId="5351" priority="3194" operator="equal">
      <formula>0</formula>
    </cfRule>
    <cfRule type="cellIs" dxfId="5350" priority="3195" operator="notEqual">
      <formula>0</formula>
    </cfRule>
  </conditionalFormatting>
  <conditionalFormatting sqref="Q155">
    <cfRule type="cellIs" dxfId="5349" priority="3193" operator="equal">
      <formula>0</formula>
    </cfRule>
  </conditionalFormatting>
  <conditionalFormatting sqref="Q157">
    <cfRule type="cellIs" dxfId="5348" priority="3191" operator="equal">
      <formula>0</formula>
    </cfRule>
    <cfRule type="cellIs" dxfId="5347" priority="3192" operator="notEqual">
      <formula>0</formula>
    </cfRule>
  </conditionalFormatting>
  <conditionalFormatting sqref="Q160">
    <cfRule type="cellIs" dxfId="5346" priority="3190" operator="equal">
      <formula>0</formula>
    </cfRule>
  </conditionalFormatting>
  <conditionalFormatting sqref="Q162">
    <cfRule type="cellIs" dxfId="5345" priority="3188" operator="equal">
      <formula>0</formula>
    </cfRule>
    <cfRule type="cellIs" dxfId="5344" priority="3189" operator="notEqual">
      <formula>0</formula>
    </cfRule>
  </conditionalFormatting>
  <conditionalFormatting sqref="Q165">
    <cfRule type="cellIs" dxfId="5343" priority="3187" operator="equal">
      <formula>0</formula>
    </cfRule>
  </conditionalFormatting>
  <conditionalFormatting sqref="Q167">
    <cfRule type="cellIs" dxfId="5342" priority="3185" operator="equal">
      <formula>0</formula>
    </cfRule>
    <cfRule type="cellIs" dxfId="5341" priority="3186" operator="notEqual">
      <formula>0</formula>
    </cfRule>
  </conditionalFormatting>
  <conditionalFormatting sqref="Q170">
    <cfRule type="cellIs" dxfId="5340" priority="3184" operator="equal">
      <formula>0</formula>
    </cfRule>
  </conditionalFormatting>
  <conditionalFormatting sqref="Q200">
    <cfRule type="cellIs" dxfId="5339" priority="3181" operator="equal">
      <formula>0</formula>
    </cfRule>
  </conditionalFormatting>
  <conditionalFormatting sqref="Q205">
    <cfRule type="cellIs" dxfId="5338" priority="3178" operator="equal">
      <formula>0</formula>
    </cfRule>
  </conditionalFormatting>
  <conditionalFormatting sqref="Q197">
    <cfRule type="cellIs" dxfId="5337" priority="3182" operator="equal">
      <formula>0</formula>
    </cfRule>
    <cfRule type="cellIs" dxfId="5336" priority="3183" operator="notEqual">
      <formula>0</formula>
    </cfRule>
  </conditionalFormatting>
  <conditionalFormatting sqref="Q202">
    <cfRule type="cellIs" dxfId="5335" priority="3179" operator="equal">
      <formula>0</formula>
    </cfRule>
    <cfRule type="cellIs" dxfId="5334" priority="3180" operator="notEqual">
      <formula>0</formula>
    </cfRule>
  </conditionalFormatting>
  <conditionalFormatting sqref="Q182">
    <cfRule type="cellIs" dxfId="5333" priority="3176" operator="equal">
      <formula>0</formula>
    </cfRule>
    <cfRule type="cellIs" dxfId="5332" priority="3177" operator="notEqual">
      <formula>0</formula>
    </cfRule>
  </conditionalFormatting>
  <conditionalFormatting sqref="Q185">
    <cfRule type="cellIs" dxfId="5331" priority="3175" operator="equal">
      <formula>0</formula>
    </cfRule>
  </conditionalFormatting>
  <conditionalFormatting sqref="R147">
    <cfRule type="cellIs" dxfId="5330" priority="3173" operator="equal">
      <formula>0</formula>
    </cfRule>
    <cfRule type="cellIs" dxfId="5329" priority="3174" operator="notEqual">
      <formula>0</formula>
    </cfRule>
  </conditionalFormatting>
  <conditionalFormatting sqref="R172 R177 R187 R192">
    <cfRule type="cellIs" dxfId="5328" priority="3171" operator="equal">
      <formula>0</formula>
    </cfRule>
    <cfRule type="cellIs" dxfId="5327" priority="3172" operator="notEqual">
      <formula>0</formula>
    </cfRule>
  </conditionalFormatting>
  <conditionalFormatting sqref="R150 R175 R180 R190 R195 R210">
    <cfRule type="cellIs" dxfId="5326" priority="3170" operator="equal">
      <formula>0</formula>
    </cfRule>
  </conditionalFormatting>
  <conditionalFormatting sqref="R152">
    <cfRule type="cellIs" dxfId="5325" priority="3168" operator="equal">
      <formula>0</formula>
    </cfRule>
    <cfRule type="cellIs" dxfId="5324" priority="3169" operator="notEqual">
      <formula>0</formula>
    </cfRule>
  </conditionalFormatting>
  <conditionalFormatting sqref="R155">
    <cfRule type="cellIs" dxfId="5323" priority="3167" operator="equal">
      <formula>0</formula>
    </cfRule>
  </conditionalFormatting>
  <conditionalFormatting sqref="R157">
    <cfRule type="cellIs" dxfId="5322" priority="3165" operator="equal">
      <formula>0</formula>
    </cfRule>
    <cfRule type="cellIs" dxfId="5321" priority="3166" operator="notEqual">
      <formula>0</formula>
    </cfRule>
  </conditionalFormatting>
  <conditionalFormatting sqref="R160">
    <cfRule type="cellIs" dxfId="5320" priority="3164" operator="equal">
      <formula>0</formula>
    </cfRule>
  </conditionalFormatting>
  <conditionalFormatting sqref="R162">
    <cfRule type="cellIs" dxfId="5319" priority="3162" operator="equal">
      <formula>0</formula>
    </cfRule>
    <cfRule type="cellIs" dxfId="5318" priority="3163" operator="notEqual">
      <formula>0</formula>
    </cfRule>
  </conditionalFormatting>
  <conditionalFormatting sqref="R165">
    <cfRule type="cellIs" dxfId="5317" priority="3161" operator="equal">
      <formula>0</formula>
    </cfRule>
  </conditionalFormatting>
  <conditionalFormatting sqref="R167">
    <cfRule type="cellIs" dxfId="5316" priority="3159" operator="equal">
      <formula>0</formula>
    </cfRule>
    <cfRule type="cellIs" dxfId="5315" priority="3160" operator="notEqual">
      <formula>0</formula>
    </cfRule>
  </conditionalFormatting>
  <conditionalFormatting sqref="R170">
    <cfRule type="cellIs" dxfId="5314" priority="3158" operator="equal">
      <formula>0</formula>
    </cfRule>
  </conditionalFormatting>
  <conditionalFormatting sqref="R200">
    <cfRule type="cellIs" dxfId="5313" priority="3155" operator="equal">
      <formula>0</formula>
    </cfRule>
  </conditionalFormatting>
  <conditionalFormatting sqref="R205">
    <cfRule type="cellIs" dxfId="5312" priority="3152" operator="equal">
      <formula>0</formula>
    </cfRule>
  </conditionalFormatting>
  <conditionalFormatting sqref="R197">
    <cfRule type="cellIs" dxfId="5311" priority="3156" operator="equal">
      <formula>0</formula>
    </cfRule>
    <cfRule type="cellIs" dxfId="5310" priority="3157" operator="notEqual">
      <formula>0</formula>
    </cfRule>
  </conditionalFormatting>
  <conditionalFormatting sqref="R202">
    <cfRule type="cellIs" dxfId="5309" priority="3153" operator="equal">
      <formula>0</formula>
    </cfRule>
    <cfRule type="cellIs" dxfId="5308" priority="3154" operator="notEqual">
      <formula>0</formula>
    </cfRule>
  </conditionalFormatting>
  <conditionalFormatting sqref="R182">
    <cfRule type="cellIs" dxfId="5307" priority="3150" operator="equal">
      <formula>0</formula>
    </cfRule>
    <cfRule type="cellIs" dxfId="5306" priority="3151" operator="notEqual">
      <formula>0</formula>
    </cfRule>
  </conditionalFormatting>
  <conditionalFormatting sqref="R185">
    <cfRule type="cellIs" dxfId="5305" priority="3149" operator="equal">
      <formula>0</formula>
    </cfRule>
  </conditionalFormatting>
  <conditionalFormatting sqref="S147">
    <cfRule type="cellIs" dxfId="5304" priority="3147" operator="equal">
      <formula>0</formula>
    </cfRule>
    <cfRule type="cellIs" dxfId="5303" priority="3148" operator="notEqual">
      <formula>0</formula>
    </cfRule>
  </conditionalFormatting>
  <conditionalFormatting sqref="S172 S177 S187 S192">
    <cfRule type="cellIs" dxfId="5302" priority="3145" operator="equal">
      <formula>0</formula>
    </cfRule>
    <cfRule type="cellIs" dxfId="5301" priority="3146" operator="notEqual">
      <formula>0</formula>
    </cfRule>
  </conditionalFormatting>
  <conditionalFormatting sqref="S150 S175 S180 S190 S195 S210">
    <cfRule type="cellIs" dxfId="5300" priority="3144" operator="equal">
      <formula>0</formula>
    </cfRule>
  </conditionalFormatting>
  <conditionalFormatting sqref="S152">
    <cfRule type="cellIs" dxfId="5299" priority="3142" operator="equal">
      <formula>0</formula>
    </cfRule>
    <cfRule type="cellIs" dxfId="5298" priority="3143" operator="notEqual">
      <formula>0</formula>
    </cfRule>
  </conditionalFormatting>
  <conditionalFormatting sqref="S155">
    <cfRule type="cellIs" dxfId="5297" priority="3141" operator="equal">
      <formula>0</formula>
    </cfRule>
  </conditionalFormatting>
  <conditionalFormatting sqref="S157">
    <cfRule type="cellIs" dxfId="5296" priority="3139" operator="equal">
      <formula>0</formula>
    </cfRule>
    <cfRule type="cellIs" dxfId="5295" priority="3140" operator="notEqual">
      <formula>0</formula>
    </cfRule>
  </conditionalFormatting>
  <conditionalFormatting sqref="S160">
    <cfRule type="cellIs" dxfId="5294" priority="3138" operator="equal">
      <formula>0</formula>
    </cfRule>
  </conditionalFormatting>
  <conditionalFormatting sqref="S162">
    <cfRule type="cellIs" dxfId="5293" priority="3136" operator="equal">
      <formula>0</formula>
    </cfRule>
    <cfRule type="cellIs" dxfId="5292" priority="3137" operator="notEqual">
      <formula>0</formula>
    </cfRule>
  </conditionalFormatting>
  <conditionalFormatting sqref="S165">
    <cfRule type="cellIs" dxfId="5291" priority="3135" operator="equal">
      <formula>0</formula>
    </cfRule>
  </conditionalFormatting>
  <conditionalFormatting sqref="S167">
    <cfRule type="cellIs" dxfId="5290" priority="3133" operator="equal">
      <formula>0</formula>
    </cfRule>
    <cfRule type="cellIs" dxfId="5289" priority="3134" operator="notEqual">
      <formula>0</formula>
    </cfRule>
  </conditionalFormatting>
  <conditionalFormatting sqref="S170">
    <cfRule type="cellIs" dxfId="5288" priority="3132" operator="equal">
      <formula>0</formula>
    </cfRule>
  </conditionalFormatting>
  <conditionalFormatting sqref="S200">
    <cfRule type="cellIs" dxfId="5287" priority="3129" operator="equal">
      <formula>0</formula>
    </cfRule>
  </conditionalFormatting>
  <conditionalFormatting sqref="S205">
    <cfRule type="cellIs" dxfId="5286" priority="3126" operator="equal">
      <formula>0</formula>
    </cfRule>
  </conditionalFormatting>
  <conditionalFormatting sqref="S197">
    <cfRule type="cellIs" dxfId="5285" priority="3130" operator="equal">
      <formula>0</formula>
    </cfRule>
    <cfRule type="cellIs" dxfId="5284" priority="3131" operator="notEqual">
      <formula>0</formula>
    </cfRule>
  </conditionalFormatting>
  <conditionalFormatting sqref="S202">
    <cfRule type="cellIs" dxfId="5283" priority="3127" operator="equal">
      <formula>0</formula>
    </cfRule>
    <cfRule type="cellIs" dxfId="5282" priority="3128" operator="notEqual">
      <formula>0</formula>
    </cfRule>
  </conditionalFormatting>
  <conditionalFormatting sqref="S182">
    <cfRule type="cellIs" dxfId="5281" priority="3124" operator="equal">
      <formula>0</formula>
    </cfRule>
    <cfRule type="cellIs" dxfId="5280" priority="3125" operator="notEqual">
      <formula>0</formula>
    </cfRule>
  </conditionalFormatting>
  <conditionalFormatting sqref="S185">
    <cfRule type="cellIs" dxfId="5279" priority="3123" operator="equal">
      <formula>0</formula>
    </cfRule>
  </conditionalFormatting>
  <conditionalFormatting sqref="D148:D149">
    <cfRule type="cellIs" dxfId="5278" priority="3121" operator="equal">
      <formula>0</formula>
    </cfRule>
    <cfRule type="cellIs" dxfId="5277" priority="3122" operator="notEqual">
      <formula>0</formula>
    </cfRule>
  </conditionalFormatting>
  <conditionalFormatting sqref="D153:D154 D158:D159 D168:D169 D193:D194 D198:D199 D203:D204">
    <cfRule type="cellIs" dxfId="5276" priority="3119" operator="equal">
      <formula>0</formula>
    </cfRule>
    <cfRule type="cellIs" dxfId="5275" priority="3120" operator="notEqual">
      <formula>0</formula>
    </cfRule>
  </conditionalFormatting>
  <conditionalFormatting sqref="D150:D151 E151:S151 D155:D156 E156:S156 D160:D161 E161:S161 D170:D171 E171:S171 D195:D196 E196:S196 D200:D201 E201:S201 D205:D206 E206:S206 D210:D211 E211:S211">
    <cfRule type="cellIs" dxfId="5274" priority="3118" operator="equal">
      <formula>0</formula>
    </cfRule>
  </conditionalFormatting>
  <conditionalFormatting sqref="D175:D176 E176:S176">
    <cfRule type="cellIs" dxfId="5273" priority="3115" operator="equal">
      <formula>0</formula>
    </cfRule>
  </conditionalFormatting>
  <conditionalFormatting sqref="D165:D166 E166:S166">
    <cfRule type="cellIs" dxfId="5272" priority="3112" operator="equal">
      <formula>0</formula>
    </cfRule>
  </conditionalFormatting>
  <conditionalFormatting sqref="D173:D174">
    <cfRule type="cellIs" dxfId="5271" priority="3116" operator="equal">
      <formula>0</formula>
    </cfRule>
    <cfRule type="cellIs" dxfId="5270" priority="3117" operator="notEqual">
      <formula>0</formula>
    </cfRule>
  </conditionalFormatting>
  <conditionalFormatting sqref="D190:D191 E191:S191">
    <cfRule type="cellIs" dxfId="5269" priority="3109" operator="equal">
      <formula>0</formula>
    </cfRule>
  </conditionalFormatting>
  <conditionalFormatting sqref="D163:D164">
    <cfRule type="cellIs" dxfId="5268" priority="3113" operator="equal">
      <formula>0</formula>
    </cfRule>
    <cfRule type="cellIs" dxfId="5267" priority="3114" operator="notEqual">
      <formula>0</formula>
    </cfRule>
  </conditionalFormatting>
  <conditionalFormatting sqref="D180:D181 E181:S181">
    <cfRule type="cellIs" dxfId="5266" priority="3106" operator="equal">
      <formula>0</formula>
    </cfRule>
  </conditionalFormatting>
  <conditionalFormatting sqref="D188:D189">
    <cfRule type="cellIs" dxfId="5265" priority="3110" operator="equal">
      <formula>0</formula>
    </cfRule>
    <cfRule type="cellIs" dxfId="5264" priority="3111" operator="notEqual">
      <formula>0</formula>
    </cfRule>
  </conditionalFormatting>
  <conditionalFormatting sqref="D178:D179">
    <cfRule type="cellIs" dxfId="5263" priority="3107" operator="equal">
      <formula>0</formula>
    </cfRule>
    <cfRule type="cellIs" dxfId="5262" priority="3108" operator="notEqual">
      <formula>0</formula>
    </cfRule>
  </conditionalFormatting>
  <conditionalFormatting sqref="D185:D186 E186:S186">
    <cfRule type="cellIs" dxfId="5261" priority="3103" operator="equal">
      <formula>0</formula>
    </cfRule>
  </conditionalFormatting>
  <conditionalFormatting sqref="D183:D184">
    <cfRule type="cellIs" dxfId="5260" priority="3104" operator="equal">
      <formula>0</formula>
    </cfRule>
    <cfRule type="cellIs" dxfId="5259" priority="3105" operator="notEqual">
      <formula>0</formula>
    </cfRule>
  </conditionalFormatting>
  <conditionalFormatting sqref="E148:E149">
    <cfRule type="cellIs" dxfId="5258" priority="3101" operator="equal">
      <formula>0</formula>
    </cfRule>
    <cfRule type="cellIs" dxfId="5257" priority="3102" operator="notEqual">
      <formula>0</formula>
    </cfRule>
  </conditionalFormatting>
  <conditionalFormatting sqref="E153:E154 E158:E159 E168:E169 E193:E194 E198:E199 E203:E204">
    <cfRule type="cellIs" dxfId="5256" priority="3099" operator="equal">
      <formula>0</formula>
    </cfRule>
    <cfRule type="cellIs" dxfId="5255" priority="3100" operator="notEqual">
      <formula>0</formula>
    </cfRule>
  </conditionalFormatting>
  <conditionalFormatting sqref="E150 E155 E160 E170 E195 E200 E205 E210">
    <cfRule type="cellIs" dxfId="5254" priority="3098" operator="equal">
      <formula>0</formula>
    </cfRule>
  </conditionalFormatting>
  <conditionalFormatting sqref="E175">
    <cfRule type="cellIs" dxfId="5253" priority="3095" operator="equal">
      <formula>0</formula>
    </cfRule>
  </conditionalFormatting>
  <conditionalFormatting sqref="E165">
    <cfRule type="cellIs" dxfId="5252" priority="3092" operator="equal">
      <formula>0</formula>
    </cfRule>
  </conditionalFormatting>
  <conditionalFormatting sqref="E173:E174">
    <cfRule type="cellIs" dxfId="5251" priority="3096" operator="equal">
      <formula>0</formula>
    </cfRule>
    <cfRule type="cellIs" dxfId="5250" priority="3097" operator="notEqual">
      <formula>0</formula>
    </cfRule>
  </conditionalFormatting>
  <conditionalFormatting sqref="E190">
    <cfRule type="cellIs" dxfId="5249" priority="3089" operator="equal">
      <formula>0</formula>
    </cfRule>
  </conditionalFormatting>
  <conditionalFormatting sqref="E163:E164">
    <cfRule type="cellIs" dxfId="5248" priority="3093" operator="equal">
      <formula>0</formula>
    </cfRule>
    <cfRule type="cellIs" dxfId="5247" priority="3094" operator="notEqual">
      <formula>0</formula>
    </cfRule>
  </conditionalFormatting>
  <conditionalFormatting sqref="E180">
    <cfRule type="cellIs" dxfId="5246" priority="3086" operator="equal">
      <formula>0</formula>
    </cfRule>
  </conditionalFormatting>
  <conditionalFormatting sqref="E188:E189">
    <cfRule type="cellIs" dxfId="5245" priority="3090" operator="equal">
      <formula>0</formula>
    </cfRule>
    <cfRule type="cellIs" dxfId="5244" priority="3091" operator="notEqual">
      <formula>0</formula>
    </cfRule>
  </conditionalFormatting>
  <conditionalFormatting sqref="E178:E179">
    <cfRule type="cellIs" dxfId="5243" priority="3087" operator="equal">
      <formula>0</formula>
    </cfRule>
    <cfRule type="cellIs" dxfId="5242" priority="3088" operator="notEqual">
      <formula>0</formula>
    </cfRule>
  </conditionalFormatting>
  <conditionalFormatting sqref="E185">
    <cfRule type="cellIs" dxfId="5241" priority="3083" operator="equal">
      <formula>0</formula>
    </cfRule>
  </conditionalFormatting>
  <conditionalFormatting sqref="E183:E184">
    <cfRule type="cellIs" dxfId="5240" priority="3084" operator="equal">
      <formula>0</formula>
    </cfRule>
    <cfRule type="cellIs" dxfId="5239" priority="3085" operator="notEqual">
      <formula>0</formula>
    </cfRule>
  </conditionalFormatting>
  <conditionalFormatting sqref="F148:F149">
    <cfRule type="cellIs" dxfId="5238" priority="3081" operator="equal">
      <formula>0</formula>
    </cfRule>
    <cfRule type="cellIs" dxfId="5237" priority="3082" operator="notEqual">
      <formula>0</formula>
    </cfRule>
  </conditionalFormatting>
  <conditionalFormatting sqref="F153:F154 F158:F159 F168:F169 F193:F194 F198:F199 F203:F204">
    <cfRule type="cellIs" dxfId="5236" priority="3079" operator="equal">
      <formula>0</formula>
    </cfRule>
    <cfRule type="cellIs" dxfId="5235" priority="3080" operator="notEqual">
      <formula>0</formula>
    </cfRule>
  </conditionalFormatting>
  <conditionalFormatting sqref="F150 F155 F160 F170 F195 F200 F205 F210">
    <cfRule type="cellIs" dxfId="5234" priority="3078" operator="equal">
      <formula>0</formula>
    </cfRule>
  </conditionalFormatting>
  <conditionalFormatting sqref="F175">
    <cfRule type="cellIs" dxfId="5233" priority="3075" operator="equal">
      <formula>0</formula>
    </cfRule>
  </conditionalFormatting>
  <conditionalFormatting sqref="F165">
    <cfRule type="cellIs" dxfId="5232" priority="3072" operator="equal">
      <formula>0</formula>
    </cfRule>
  </conditionalFormatting>
  <conditionalFormatting sqref="F173:F174">
    <cfRule type="cellIs" dxfId="5231" priority="3076" operator="equal">
      <formula>0</formula>
    </cfRule>
    <cfRule type="cellIs" dxfId="5230" priority="3077" operator="notEqual">
      <formula>0</formula>
    </cfRule>
  </conditionalFormatting>
  <conditionalFormatting sqref="F190">
    <cfRule type="cellIs" dxfId="5229" priority="3069" operator="equal">
      <formula>0</formula>
    </cfRule>
  </conditionalFormatting>
  <conditionalFormatting sqref="F163:F164">
    <cfRule type="cellIs" dxfId="5228" priority="3073" operator="equal">
      <formula>0</formula>
    </cfRule>
    <cfRule type="cellIs" dxfId="5227" priority="3074" operator="notEqual">
      <formula>0</formula>
    </cfRule>
  </conditionalFormatting>
  <conditionalFormatting sqref="F180">
    <cfRule type="cellIs" dxfId="5226" priority="3066" operator="equal">
      <formula>0</formula>
    </cfRule>
  </conditionalFormatting>
  <conditionalFormatting sqref="F188:F189">
    <cfRule type="cellIs" dxfId="5225" priority="3070" operator="equal">
      <formula>0</formula>
    </cfRule>
    <cfRule type="cellIs" dxfId="5224" priority="3071" operator="notEqual">
      <formula>0</formula>
    </cfRule>
  </conditionalFormatting>
  <conditionalFormatting sqref="F178:F179">
    <cfRule type="cellIs" dxfId="5223" priority="3067" operator="equal">
      <formula>0</formula>
    </cfRule>
    <cfRule type="cellIs" dxfId="5222" priority="3068" operator="notEqual">
      <formula>0</formula>
    </cfRule>
  </conditionalFormatting>
  <conditionalFormatting sqref="F185">
    <cfRule type="cellIs" dxfId="5221" priority="3063" operator="equal">
      <formula>0</formula>
    </cfRule>
  </conditionalFormatting>
  <conditionalFormatting sqref="F183:F184">
    <cfRule type="cellIs" dxfId="5220" priority="3064" operator="equal">
      <formula>0</formula>
    </cfRule>
    <cfRule type="cellIs" dxfId="5219" priority="3065" operator="notEqual">
      <formula>0</formula>
    </cfRule>
  </conditionalFormatting>
  <conditionalFormatting sqref="G148:G149">
    <cfRule type="cellIs" dxfId="5218" priority="3061" operator="equal">
      <formula>0</formula>
    </cfRule>
    <cfRule type="cellIs" dxfId="5217" priority="3062" operator="notEqual">
      <formula>0</formula>
    </cfRule>
  </conditionalFormatting>
  <conditionalFormatting sqref="G153:G154 G158:G159 G168:G169 G193:G194 G198:G199 G203:G204">
    <cfRule type="cellIs" dxfId="5216" priority="3059" operator="equal">
      <formula>0</formula>
    </cfRule>
    <cfRule type="cellIs" dxfId="5215" priority="3060" operator="notEqual">
      <formula>0</formula>
    </cfRule>
  </conditionalFormatting>
  <conditionalFormatting sqref="G150 G155 G160 G170 G195 G200 G205 G210">
    <cfRule type="cellIs" dxfId="5214" priority="3058" operator="equal">
      <formula>0</formula>
    </cfRule>
  </conditionalFormatting>
  <conditionalFormatting sqref="G175">
    <cfRule type="cellIs" dxfId="5213" priority="3055" operator="equal">
      <formula>0</formula>
    </cfRule>
  </conditionalFormatting>
  <conditionalFormatting sqref="G165">
    <cfRule type="cellIs" dxfId="5212" priority="3052" operator="equal">
      <formula>0</formula>
    </cfRule>
  </conditionalFormatting>
  <conditionalFormatting sqref="G173:G174">
    <cfRule type="cellIs" dxfId="5211" priority="3056" operator="equal">
      <formula>0</formula>
    </cfRule>
    <cfRule type="cellIs" dxfId="5210" priority="3057" operator="notEqual">
      <formula>0</formula>
    </cfRule>
  </conditionalFormatting>
  <conditionalFormatting sqref="G190">
    <cfRule type="cellIs" dxfId="5209" priority="3049" operator="equal">
      <formula>0</formula>
    </cfRule>
  </conditionalFormatting>
  <conditionalFormatting sqref="G163:G164">
    <cfRule type="cellIs" dxfId="5208" priority="3053" operator="equal">
      <formula>0</formula>
    </cfRule>
    <cfRule type="cellIs" dxfId="5207" priority="3054" operator="notEqual">
      <formula>0</formula>
    </cfRule>
  </conditionalFormatting>
  <conditionalFormatting sqref="G180">
    <cfRule type="cellIs" dxfId="5206" priority="3046" operator="equal">
      <formula>0</formula>
    </cfRule>
  </conditionalFormatting>
  <conditionalFormatting sqref="G188:G189">
    <cfRule type="cellIs" dxfId="5205" priority="3050" operator="equal">
      <formula>0</formula>
    </cfRule>
    <cfRule type="cellIs" dxfId="5204" priority="3051" operator="notEqual">
      <formula>0</formula>
    </cfRule>
  </conditionalFormatting>
  <conditionalFormatting sqref="G178:G179">
    <cfRule type="cellIs" dxfId="5203" priority="3047" operator="equal">
      <formula>0</formula>
    </cfRule>
    <cfRule type="cellIs" dxfId="5202" priority="3048" operator="notEqual">
      <formula>0</formula>
    </cfRule>
  </conditionalFormatting>
  <conditionalFormatting sqref="G185">
    <cfRule type="cellIs" dxfId="5201" priority="3043" operator="equal">
      <formula>0</formula>
    </cfRule>
  </conditionalFormatting>
  <conditionalFormatting sqref="G183:G184">
    <cfRule type="cellIs" dxfId="5200" priority="3044" operator="equal">
      <formula>0</formula>
    </cfRule>
    <cfRule type="cellIs" dxfId="5199" priority="3045" operator="notEqual">
      <formula>0</formula>
    </cfRule>
  </conditionalFormatting>
  <conditionalFormatting sqref="H148:H149">
    <cfRule type="cellIs" dxfId="5198" priority="3041" operator="equal">
      <formula>0</formula>
    </cfRule>
    <cfRule type="cellIs" dxfId="5197" priority="3042" operator="notEqual">
      <formula>0</formula>
    </cfRule>
  </conditionalFormatting>
  <conditionalFormatting sqref="H153:H154 H158:H159 H168:H169 H193:H194 H198:H199 H203:H204">
    <cfRule type="cellIs" dxfId="5196" priority="3039" operator="equal">
      <formula>0</formula>
    </cfRule>
    <cfRule type="cellIs" dxfId="5195" priority="3040" operator="notEqual">
      <formula>0</formula>
    </cfRule>
  </conditionalFormatting>
  <conditionalFormatting sqref="H150 H155 H160 H170 H195 H200 H205 H210">
    <cfRule type="cellIs" dxfId="5194" priority="3038" operator="equal">
      <formula>0</formula>
    </cfRule>
  </conditionalFormatting>
  <conditionalFormatting sqref="H175">
    <cfRule type="cellIs" dxfId="5193" priority="3035" operator="equal">
      <formula>0</formula>
    </cfRule>
  </conditionalFormatting>
  <conditionalFormatting sqref="H165">
    <cfRule type="cellIs" dxfId="5192" priority="3032" operator="equal">
      <formula>0</formula>
    </cfRule>
  </conditionalFormatting>
  <conditionalFormatting sqref="H173:H174">
    <cfRule type="cellIs" dxfId="5191" priority="3036" operator="equal">
      <formula>0</formula>
    </cfRule>
    <cfRule type="cellIs" dxfId="5190" priority="3037" operator="notEqual">
      <formula>0</formula>
    </cfRule>
  </conditionalFormatting>
  <conditionalFormatting sqref="H190">
    <cfRule type="cellIs" dxfId="5189" priority="3029" operator="equal">
      <formula>0</formula>
    </cfRule>
  </conditionalFormatting>
  <conditionalFormatting sqref="H163:H164">
    <cfRule type="cellIs" dxfId="5188" priority="3033" operator="equal">
      <formula>0</formula>
    </cfRule>
    <cfRule type="cellIs" dxfId="5187" priority="3034" operator="notEqual">
      <formula>0</formula>
    </cfRule>
  </conditionalFormatting>
  <conditionalFormatting sqref="H180">
    <cfRule type="cellIs" dxfId="5186" priority="3026" operator="equal">
      <formula>0</formula>
    </cfRule>
  </conditionalFormatting>
  <conditionalFormatting sqref="H188:H189">
    <cfRule type="cellIs" dxfId="5185" priority="3030" operator="equal">
      <formula>0</formula>
    </cfRule>
    <cfRule type="cellIs" dxfId="5184" priority="3031" operator="notEqual">
      <formula>0</formula>
    </cfRule>
  </conditionalFormatting>
  <conditionalFormatting sqref="H178:H179">
    <cfRule type="cellIs" dxfId="5183" priority="3027" operator="equal">
      <formula>0</formula>
    </cfRule>
    <cfRule type="cellIs" dxfId="5182" priority="3028" operator="notEqual">
      <formula>0</formula>
    </cfRule>
  </conditionalFormatting>
  <conditionalFormatting sqref="H185">
    <cfRule type="cellIs" dxfId="5181" priority="3023" operator="equal">
      <formula>0</formula>
    </cfRule>
  </conditionalFormatting>
  <conditionalFormatting sqref="H183:H184">
    <cfRule type="cellIs" dxfId="5180" priority="3024" operator="equal">
      <formula>0</formula>
    </cfRule>
    <cfRule type="cellIs" dxfId="5179" priority="3025" operator="notEqual">
      <formula>0</formula>
    </cfRule>
  </conditionalFormatting>
  <conditionalFormatting sqref="I148:I149">
    <cfRule type="cellIs" dxfId="5178" priority="3021" operator="equal">
      <formula>0</formula>
    </cfRule>
    <cfRule type="cellIs" dxfId="5177" priority="3022" operator="notEqual">
      <formula>0</formula>
    </cfRule>
  </conditionalFormatting>
  <conditionalFormatting sqref="I153:I154 I158:I159 I168:I169 I193:I194 I198:I199 I203:I204">
    <cfRule type="cellIs" dxfId="5176" priority="3019" operator="equal">
      <formula>0</formula>
    </cfRule>
    <cfRule type="cellIs" dxfId="5175" priority="3020" operator="notEqual">
      <formula>0</formula>
    </cfRule>
  </conditionalFormatting>
  <conditionalFormatting sqref="I150 I155 I160 I170 I195 I200 I205 I210">
    <cfRule type="cellIs" dxfId="5174" priority="3018" operator="equal">
      <formula>0</formula>
    </cfRule>
  </conditionalFormatting>
  <conditionalFormatting sqref="I175">
    <cfRule type="cellIs" dxfId="5173" priority="3015" operator="equal">
      <formula>0</formula>
    </cfRule>
  </conditionalFormatting>
  <conditionalFormatting sqref="I165">
    <cfRule type="cellIs" dxfId="5172" priority="3012" operator="equal">
      <formula>0</formula>
    </cfRule>
  </conditionalFormatting>
  <conditionalFormatting sqref="I173:I174">
    <cfRule type="cellIs" dxfId="5171" priority="3016" operator="equal">
      <formula>0</formula>
    </cfRule>
    <cfRule type="cellIs" dxfId="5170" priority="3017" operator="notEqual">
      <formula>0</formula>
    </cfRule>
  </conditionalFormatting>
  <conditionalFormatting sqref="I190">
    <cfRule type="cellIs" dxfId="5169" priority="3009" operator="equal">
      <formula>0</formula>
    </cfRule>
  </conditionalFormatting>
  <conditionalFormatting sqref="I163:I164">
    <cfRule type="cellIs" dxfId="5168" priority="3013" operator="equal">
      <formula>0</formula>
    </cfRule>
    <cfRule type="cellIs" dxfId="5167" priority="3014" operator="notEqual">
      <formula>0</formula>
    </cfRule>
  </conditionalFormatting>
  <conditionalFormatting sqref="I180">
    <cfRule type="cellIs" dxfId="5166" priority="3006" operator="equal">
      <formula>0</formula>
    </cfRule>
  </conditionalFormatting>
  <conditionalFormatting sqref="I188:I189">
    <cfRule type="cellIs" dxfId="5165" priority="3010" operator="equal">
      <formula>0</formula>
    </cfRule>
    <cfRule type="cellIs" dxfId="5164" priority="3011" operator="notEqual">
      <formula>0</formula>
    </cfRule>
  </conditionalFormatting>
  <conditionalFormatting sqref="I178:I179">
    <cfRule type="cellIs" dxfId="5163" priority="3007" operator="equal">
      <formula>0</formula>
    </cfRule>
    <cfRule type="cellIs" dxfId="5162" priority="3008" operator="notEqual">
      <formula>0</formula>
    </cfRule>
  </conditionalFormatting>
  <conditionalFormatting sqref="I185">
    <cfRule type="cellIs" dxfId="5161" priority="3003" operator="equal">
      <formula>0</formula>
    </cfRule>
  </conditionalFormatting>
  <conditionalFormatting sqref="I183:I184">
    <cfRule type="cellIs" dxfId="5160" priority="3004" operator="equal">
      <formula>0</formula>
    </cfRule>
    <cfRule type="cellIs" dxfId="5159" priority="3005" operator="notEqual">
      <formula>0</formula>
    </cfRule>
  </conditionalFormatting>
  <conditionalFormatting sqref="J148:J149">
    <cfRule type="cellIs" dxfId="5158" priority="3001" operator="equal">
      <formula>0</formula>
    </cfRule>
    <cfRule type="cellIs" dxfId="5157" priority="3002" operator="notEqual">
      <formula>0</formula>
    </cfRule>
  </conditionalFormatting>
  <conditionalFormatting sqref="J153:J154 J158:J159 J168:J169 J193:J194 J198:J199 J203:J204">
    <cfRule type="cellIs" dxfId="5156" priority="2999" operator="equal">
      <formula>0</formula>
    </cfRule>
    <cfRule type="cellIs" dxfId="5155" priority="3000" operator="notEqual">
      <formula>0</formula>
    </cfRule>
  </conditionalFormatting>
  <conditionalFormatting sqref="J150 J155 J160 J170 J195 J200 J205 J210">
    <cfRule type="cellIs" dxfId="5154" priority="2998" operator="equal">
      <formula>0</formula>
    </cfRule>
  </conditionalFormatting>
  <conditionalFormatting sqref="J175">
    <cfRule type="cellIs" dxfId="5153" priority="2995" operator="equal">
      <formula>0</formula>
    </cfRule>
  </conditionalFormatting>
  <conditionalFormatting sqref="J165">
    <cfRule type="cellIs" dxfId="5152" priority="2992" operator="equal">
      <formula>0</formula>
    </cfRule>
  </conditionalFormatting>
  <conditionalFormatting sqref="J173:J174">
    <cfRule type="cellIs" dxfId="5151" priority="2996" operator="equal">
      <formula>0</formula>
    </cfRule>
    <cfRule type="cellIs" dxfId="5150" priority="2997" operator="notEqual">
      <formula>0</formula>
    </cfRule>
  </conditionalFormatting>
  <conditionalFormatting sqref="J190">
    <cfRule type="cellIs" dxfId="5149" priority="2989" operator="equal">
      <formula>0</formula>
    </cfRule>
  </conditionalFormatting>
  <conditionalFormatting sqref="J163:J164">
    <cfRule type="cellIs" dxfId="5148" priority="2993" operator="equal">
      <formula>0</formula>
    </cfRule>
    <cfRule type="cellIs" dxfId="5147" priority="2994" operator="notEqual">
      <formula>0</formula>
    </cfRule>
  </conditionalFormatting>
  <conditionalFormatting sqref="J180">
    <cfRule type="cellIs" dxfId="5146" priority="2986" operator="equal">
      <formula>0</formula>
    </cfRule>
  </conditionalFormatting>
  <conditionalFormatting sqref="J188:J189">
    <cfRule type="cellIs" dxfId="5145" priority="2990" operator="equal">
      <formula>0</formula>
    </cfRule>
    <cfRule type="cellIs" dxfId="5144" priority="2991" operator="notEqual">
      <formula>0</formula>
    </cfRule>
  </conditionalFormatting>
  <conditionalFormatting sqref="J178:J179">
    <cfRule type="cellIs" dxfId="5143" priority="2987" operator="equal">
      <formula>0</formula>
    </cfRule>
    <cfRule type="cellIs" dxfId="5142" priority="2988" operator="notEqual">
      <formula>0</formula>
    </cfRule>
  </conditionalFormatting>
  <conditionalFormatting sqref="J185">
    <cfRule type="cellIs" dxfId="5141" priority="2983" operator="equal">
      <formula>0</formula>
    </cfRule>
  </conditionalFormatting>
  <conditionalFormatting sqref="J183:J184">
    <cfRule type="cellIs" dxfId="5140" priority="2984" operator="equal">
      <formula>0</formula>
    </cfRule>
    <cfRule type="cellIs" dxfId="5139" priority="2985" operator="notEqual">
      <formula>0</formula>
    </cfRule>
  </conditionalFormatting>
  <conditionalFormatting sqref="K148:K149">
    <cfRule type="cellIs" dxfId="5138" priority="2981" operator="equal">
      <formula>0</formula>
    </cfRule>
    <cfRule type="cellIs" dxfId="5137" priority="2982" operator="notEqual">
      <formula>0</formula>
    </cfRule>
  </conditionalFormatting>
  <conditionalFormatting sqref="K153:K154 K158:K159 K168:K169 K193:K194 K198:K199 K203:K204">
    <cfRule type="cellIs" dxfId="5136" priority="2979" operator="equal">
      <formula>0</formula>
    </cfRule>
    <cfRule type="cellIs" dxfId="5135" priority="2980" operator="notEqual">
      <formula>0</formula>
    </cfRule>
  </conditionalFormatting>
  <conditionalFormatting sqref="K150 K155 K160 K170 K195 K200 K205 K210">
    <cfRule type="cellIs" dxfId="5134" priority="2978" operator="equal">
      <formula>0</formula>
    </cfRule>
  </conditionalFormatting>
  <conditionalFormatting sqref="K175">
    <cfRule type="cellIs" dxfId="5133" priority="2975" operator="equal">
      <formula>0</formula>
    </cfRule>
  </conditionalFormatting>
  <conditionalFormatting sqref="K165">
    <cfRule type="cellIs" dxfId="5132" priority="2972" operator="equal">
      <formula>0</formula>
    </cfRule>
  </conditionalFormatting>
  <conditionalFormatting sqref="K173:K174">
    <cfRule type="cellIs" dxfId="5131" priority="2976" operator="equal">
      <formula>0</formula>
    </cfRule>
    <cfRule type="cellIs" dxfId="5130" priority="2977" operator="notEqual">
      <formula>0</formula>
    </cfRule>
  </conditionalFormatting>
  <conditionalFormatting sqref="K190">
    <cfRule type="cellIs" dxfId="5129" priority="2969" operator="equal">
      <formula>0</formula>
    </cfRule>
  </conditionalFormatting>
  <conditionalFormatting sqref="K163:K164">
    <cfRule type="cellIs" dxfId="5128" priority="2973" operator="equal">
      <formula>0</formula>
    </cfRule>
    <cfRule type="cellIs" dxfId="5127" priority="2974" operator="notEqual">
      <formula>0</formula>
    </cfRule>
  </conditionalFormatting>
  <conditionalFormatting sqref="K180">
    <cfRule type="cellIs" dxfId="5126" priority="2966" operator="equal">
      <formula>0</formula>
    </cfRule>
  </conditionalFormatting>
  <conditionalFormatting sqref="K188:K189">
    <cfRule type="cellIs" dxfId="5125" priority="2970" operator="equal">
      <formula>0</formula>
    </cfRule>
    <cfRule type="cellIs" dxfId="5124" priority="2971" operator="notEqual">
      <formula>0</formula>
    </cfRule>
  </conditionalFormatting>
  <conditionalFormatting sqref="K178:K179">
    <cfRule type="cellIs" dxfId="5123" priority="2967" operator="equal">
      <formula>0</formula>
    </cfRule>
    <cfRule type="cellIs" dxfId="5122" priority="2968" operator="notEqual">
      <formula>0</formula>
    </cfRule>
  </conditionalFormatting>
  <conditionalFormatting sqref="K185">
    <cfRule type="cellIs" dxfId="5121" priority="2963" operator="equal">
      <formula>0</formula>
    </cfRule>
  </conditionalFormatting>
  <conditionalFormatting sqref="K183:K184">
    <cfRule type="cellIs" dxfId="5120" priority="2964" operator="equal">
      <formula>0</formula>
    </cfRule>
    <cfRule type="cellIs" dxfId="5119" priority="2965" operator="notEqual">
      <formula>0</formula>
    </cfRule>
  </conditionalFormatting>
  <conditionalFormatting sqref="L150 L155 L160 L170 L195 L200 L205 L210">
    <cfRule type="cellIs" dxfId="5118" priority="2962" operator="equal">
      <formula>0</formula>
    </cfRule>
  </conditionalFormatting>
  <conditionalFormatting sqref="L175">
    <cfRule type="cellIs" dxfId="5117" priority="2961" operator="equal">
      <formula>0</formula>
    </cfRule>
  </conditionalFormatting>
  <conditionalFormatting sqref="L165">
    <cfRule type="cellIs" dxfId="5116" priority="2960" operator="equal">
      <formula>0</formula>
    </cfRule>
  </conditionalFormatting>
  <conditionalFormatting sqref="L190">
    <cfRule type="cellIs" dxfId="5115" priority="2959" operator="equal">
      <formula>0</formula>
    </cfRule>
  </conditionalFormatting>
  <conditionalFormatting sqref="L180">
    <cfRule type="cellIs" dxfId="5114" priority="2958" operator="equal">
      <formula>0</formula>
    </cfRule>
  </conditionalFormatting>
  <conditionalFormatting sqref="L185">
    <cfRule type="cellIs" dxfId="5113" priority="2957" operator="equal">
      <formula>0</formula>
    </cfRule>
  </conditionalFormatting>
  <conditionalFormatting sqref="M150 M155 M160 M170 M195 M200 M205 M210">
    <cfRule type="cellIs" dxfId="5112" priority="2956" operator="equal">
      <formula>0</formula>
    </cfRule>
  </conditionalFormatting>
  <conditionalFormatting sqref="M175">
    <cfRule type="cellIs" dxfId="5111" priority="2955" operator="equal">
      <formula>0</formula>
    </cfRule>
  </conditionalFormatting>
  <conditionalFormatting sqref="M165">
    <cfRule type="cellIs" dxfId="5110" priority="2954" operator="equal">
      <formula>0</formula>
    </cfRule>
  </conditionalFormatting>
  <conditionalFormatting sqref="M190">
    <cfRule type="cellIs" dxfId="5109" priority="2953" operator="equal">
      <formula>0</formula>
    </cfRule>
  </conditionalFormatting>
  <conditionalFormatting sqref="M180">
    <cfRule type="cellIs" dxfId="5108" priority="2952" operator="equal">
      <formula>0</formula>
    </cfRule>
  </conditionalFormatting>
  <conditionalFormatting sqref="M185">
    <cfRule type="cellIs" dxfId="5107" priority="2951" operator="equal">
      <formula>0</formula>
    </cfRule>
  </conditionalFormatting>
  <conditionalFormatting sqref="N150 N155 N160 N170 N195 N200 N205 N210">
    <cfRule type="cellIs" dxfId="5106" priority="2950" operator="equal">
      <formula>0</formula>
    </cfRule>
  </conditionalFormatting>
  <conditionalFormatting sqref="N175">
    <cfRule type="cellIs" dxfId="5105" priority="2949" operator="equal">
      <formula>0</formula>
    </cfRule>
  </conditionalFormatting>
  <conditionalFormatting sqref="N165">
    <cfRule type="cellIs" dxfId="5104" priority="2948" operator="equal">
      <formula>0</formula>
    </cfRule>
  </conditionalFormatting>
  <conditionalFormatting sqref="N190">
    <cfRule type="cellIs" dxfId="5103" priority="2947" operator="equal">
      <formula>0</formula>
    </cfRule>
  </conditionalFormatting>
  <conditionalFormatting sqref="N180">
    <cfRule type="cellIs" dxfId="5102" priority="2946" operator="equal">
      <formula>0</formula>
    </cfRule>
  </conditionalFormatting>
  <conditionalFormatting sqref="N185">
    <cfRule type="cellIs" dxfId="5101" priority="2945" operator="equal">
      <formula>0</formula>
    </cfRule>
  </conditionalFormatting>
  <conditionalFormatting sqref="O150 O155 O160 O170 O195 O200 O205 O210">
    <cfRule type="cellIs" dxfId="5100" priority="2944" operator="equal">
      <formula>0</formula>
    </cfRule>
  </conditionalFormatting>
  <conditionalFormatting sqref="O175">
    <cfRule type="cellIs" dxfId="5099" priority="2943" operator="equal">
      <formula>0</formula>
    </cfRule>
  </conditionalFormatting>
  <conditionalFormatting sqref="O165">
    <cfRule type="cellIs" dxfId="5098" priority="2942" operator="equal">
      <formula>0</formula>
    </cfRule>
  </conditionalFormatting>
  <conditionalFormatting sqref="O190">
    <cfRule type="cellIs" dxfId="5097" priority="2941" operator="equal">
      <formula>0</formula>
    </cfRule>
  </conditionalFormatting>
  <conditionalFormatting sqref="O180">
    <cfRule type="cellIs" dxfId="5096" priority="2940" operator="equal">
      <formula>0</formula>
    </cfRule>
  </conditionalFormatting>
  <conditionalFormatting sqref="O185">
    <cfRule type="cellIs" dxfId="5095" priority="2939" operator="equal">
      <formula>0</formula>
    </cfRule>
  </conditionalFormatting>
  <conditionalFormatting sqref="P77">
    <cfRule type="cellIs" dxfId="5094" priority="2937" operator="equal">
      <formula>0</formula>
    </cfRule>
    <cfRule type="cellIs" dxfId="5093" priority="2938" operator="notEqual">
      <formula>0</formula>
    </cfRule>
  </conditionalFormatting>
  <conditionalFormatting sqref="P102">
    <cfRule type="cellIs" dxfId="5092" priority="2935" operator="equal">
      <formula>0</formula>
    </cfRule>
    <cfRule type="cellIs" dxfId="5091" priority="2936" operator="notEqual">
      <formula>0</formula>
    </cfRule>
  </conditionalFormatting>
  <conditionalFormatting sqref="P80 P105 P110">
    <cfRule type="cellIs" dxfId="5090" priority="2934" operator="equal">
      <formula>0</formula>
    </cfRule>
  </conditionalFormatting>
  <conditionalFormatting sqref="P82">
    <cfRule type="cellIs" dxfId="5089" priority="2932" operator="equal">
      <formula>0</formula>
    </cfRule>
    <cfRule type="cellIs" dxfId="5088" priority="2933" operator="notEqual">
      <formula>0</formula>
    </cfRule>
  </conditionalFormatting>
  <conditionalFormatting sqref="P85">
    <cfRule type="cellIs" dxfId="5087" priority="2931" operator="equal">
      <formula>0</formula>
    </cfRule>
  </conditionalFormatting>
  <conditionalFormatting sqref="P87">
    <cfRule type="cellIs" dxfId="5086" priority="2929" operator="equal">
      <formula>0</formula>
    </cfRule>
    <cfRule type="cellIs" dxfId="5085" priority="2930" operator="notEqual">
      <formula>0</formula>
    </cfRule>
  </conditionalFormatting>
  <conditionalFormatting sqref="P90">
    <cfRule type="cellIs" dxfId="5084" priority="2928" operator="equal">
      <formula>0</formula>
    </cfRule>
  </conditionalFormatting>
  <conditionalFormatting sqref="P92">
    <cfRule type="cellIs" dxfId="5083" priority="2926" operator="equal">
      <formula>0</formula>
    </cfRule>
    <cfRule type="cellIs" dxfId="5082" priority="2927" operator="notEqual">
      <formula>0</formula>
    </cfRule>
  </conditionalFormatting>
  <conditionalFormatting sqref="P95">
    <cfRule type="cellIs" dxfId="5081" priority="2925" operator="equal">
      <formula>0</formula>
    </cfRule>
  </conditionalFormatting>
  <conditionalFormatting sqref="P97">
    <cfRule type="cellIs" dxfId="5080" priority="2923" operator="equal">
      <formula>0</formula>
    </cfRule>
    <cfRule type="cellIs" dxfId="5079" priority="2924" operator="notEqual">
      <formula>0</formula>
    </cfRule>
  </conditionalFormatting>
  <conditionalFormatting sqref="P100">
    <cfRule type="cellIs" dxfId="5078" priority="2922" operator="equal">
      <formula>0</formula>
    </cfRule>
  </conditionalFormatting>
  <conditionalFormatting sqref="P135">
    <cfRule type="cellIs" dxfId="5077" priority="2916" operator="equal">
      <formula>0</formula>
    </cfRule>
  </conditionalFormatting>
  <conditionalFormatting sqref="P132">
    <cfRule type="cellIs" dxfId="5076" priority="2917" operator="equal">
      <formula>0</formula>
    </cfRule>
    <cfRule type="cellIs" dxfId="5075" priority="2918" operator="notEqual">
      <formula>0</formula>
    </cfRule>
  </conditionalFormatting>
  <conditionalFormatting sqref="Q77">
    <cfRule type="cellIs" dxfId="5074" priority="2911" operator="equal">
      <formula>0</formula>
    </cfRule>
    <cfRule type="cellIs" dxfId="5073" priority="2912" operator="notEqual">
      <formula>0</formula>
    </cfRule>
  </conditionalFormatting>
  <conditionalFormatting sqref="Q102">
    <cfRule type="cellIs" dxfId="5072" priority="2909" operator="equal">
      <formula>0</formula>
    </cfRule>
    <cfRule type="cellIs" dxfId="5071" priority="2910" operator="notEqual">
      <formula>0</formula>
    </cfRule>
  </conditionalFormatting>
  <conditionalFormatting sqref="Q80 Q105 Q110">
    <cfRule type="cellIs" dxfId="5070" priority="2908" operator="equal">
      <formula>0</formula>
    </cfRule>
  </conditionalFormatting>
  <conditionalFormatting sqref="Q82">
    <cfRule type="cellIs" dxfId="5069" priority="2906" operator="equal">
      <formula>0</formula>
    </cfRule>
    <cfRule type="cellIs" dxfId="5068" priority="2907" operator="notEqual">
      <formula>0</formula>
    </cfRule>
  </conditionalFormatting>
  <conditionalFormatting sqref="Q85">
    <cfRule type="cellIs" dxfId="5067" priority="2905" operator="equal">
      <formula>0</formula>
    </cfRule>
  </conditionalFormatting>
  <conditionalFormatting sqref="Q87">
    <cfRule type="cellIs" dxfId="5066" priority="2903" operator="equal">
      <formula>0</formula>
    </cfRule>
    <cfRule type="cellIs" dxfId="5065" priority="2904" operator="notEqual">
      <formula>0</formula>
    </cfRule>
  </conditionalFormatting>
  <conditionalFormatting sqref="Q90">
    <cfRule type="cellIs" dxfId="5064" priority="2902" operator="equal">
      <formula>0</formula>
    </cfRule>
  </conditionalFormatting>
  <conditionalFormatting sqref="Q92">
    <cfRule type="cellIs" dxfId="5063" priority="2900" operator="equal">
      <formula>0</formula>
    </cfRule>
    <cfRule type="cellIs" dxfId="5062" priority="2901" operator="notEqual">
      <formula>0</formula>
    </cfRule>
  </conditionalFormatting>
  <conditionalFormatting sqref="Q95">
    <cfRule type="cellIs" dxfId="5061" priority="2899" operator="equal">
      <formula>0</formula>
    </cfRule>
  </conditionalFormatting>
  <conditionalFormatting sqref="Q97">
    <cfRule type="cellIs" dxfId="5060" priority="2897" operator="equal">
      <formula>0</formula>
    </cfRule>
    <cfRule type="cellIs" dxfId="5059" priority="2898" operator="notEqual">
      <formula>0</formula>
    </cfRule>
  </conditionalFormatting>
  <conditionalFormatting sqref="Q100">
    <cfRule type="cellIs" dxfId="5058" priority="2896" operator="equal">
      <formula>0</formula>
    </cfRule>
  </conditionalFormatting>
  <conditionalFormatting sqref="Q135">
    <cfRule type="cellIs" dxfId="5057" priority="2890" operator="equal">
      <formula>0</formula>
    </cfRule>
  </conditionalFormatting>
  <conditionalFormatting sqref="Q132">
    <cfRule type="cellIs" dxfId="5056" priority="2891" operator="equal">
      <formula>0</formula>
    </cfRule>
    <cfRule type="cellIs" dxfId="5055" priority="2892" operator="notEqual">
      <formula>0</formula>
    </cfRule>
  </conditionalFormatting>
  <conditionalFormatting sqref="R77">
    <cfRule type="cellIs" dxfId="5054" priority="2885" operator="equal">
      <formula>0</formula>
    </cfRule>
    <cfRule type="cellIs" dxfId="5053" priority="2886" operator="notEqual">
      <formula>0</formula>
    </cfRule>
  </conditionalFormatting>
  <conditionalFormatting sqref="R102">
    <cfRule type="cellIs" dxfId="5052" priority="2883" operator="equal">
      <formula>0</formula>
    </cfRule>
    <cfRule type="cellIs" dxfId="5051" priority="2884" operator="notEqual">
      <formula>0</formula>
    </cfRule>
  </conditionalFormatting>
  <conditionalFormatting sqref="R80 R105 R110">
    <cfRule type="cellIs" dxfId="5050" priority="2882" operator="equal">
      <formula>0</formula>
    </cfRule>
  </conditionalFormatting>
  <conditionalFormatting sqref="R82">
    <cfRule type="cellIs" dxfId="5049" priority="2880" operator="equal">
      <formula>0</formula>
    </cfRule>
    <cfRule type="cellIs" dxfId="5048" priority="2881" operator="notEqual">
      <formula>0</formula>
    </cfRule>
  </conditionalFormatting>
  <conditionalFormatting sqref="R85">
    <cfRule type="cellIs" dxfId="5047" priority="2879" operator="equal">
      <formula>0</formula>
    </cfRule>
  </conditionalFormatting>
  <conditionalFormatting sqref="R87">
    <cfRule type="cellIs" dxfId="5046" priority="2877" operator="equal">
      <formula>0</formula>
    </cfRule>
    <cfRule type="cellIs" dxfId="5045" priority="2878" operator="notEqual">
      <formula>0</formula>
    </cfRule>
  </conditionalFormatting>
  <conditionalFormatting sqref="R90">
    <cfRule type="cellIs" dxfId="5044" priority="2876" operator="equal">
      <formula>0</formula>
    </cfRule>
  </conditionalFormatting>
  <conditionalFormatting sqref="R92">
    <cfRule type="cellIs" dxfId="5043" priority="2874" operator="equal">
      <formula>0</formula>
    </cfRule>
    <cfRule type="cellIs" dxfId="5042" priority="2875" operator="notEqual">
      <formula>0</formula>
    </cfRule>
  </conditionalFormatting>
  <conditionalFormatting sqref="R95">
    <cfRule type="cellIs" dxfId="5041" priority="2873" operator="equal">
      <formula>0</formula>
    </cfRule>
  </conditionalFormatting>
  <conditionalFormatting sqref="R97">
    <cfRule type="cellIs" dxfId="5040" priority="2871" operator="equal">
      <formula>0</formula>
    </cfRule>
    <cfRule type="cellIs" dxfId="5039" priority="2872" operator="notEqual">
      <formula>0</formula>
    </cfRule>
  </conditionalFormatting>
  <conditionalFormatting sqref="R100">
    <cfRule type="cellIs" dxfId="5038" priority="2870" operator="equal">
      <formula>0</formula>
    </cfRule>
  </conditionalFormatting>
  <conditionalFormatting sqref="R135">
    <cfRule type="cellIs" dxfId="5037" priority="2864" operator="equal">
      <formula>0</formula>
    </cfRule>
  </conditionalFormatting>
  <conditionalFormatting sqref="R132">
    <cfRule type="cellIs" dxfId="5036" priority="2865" operator="equal">
      <formula>0</formula>
    </cfRule>
    <cfRule type="cellIs" dxfId="5035" priority="2866" operator="notEqual">
      <formula>0</formula>
    </cfRule>
  </conditionalFormatting>
  <conditionalFormatting sqref="S77">
    <cfRule type="cellIs" dxfId="5034" priority="2859" operator="equal">
      <formula>0</formula>
    </cfRule>
    <cfRule type="cellIs" dxfId="5033" priority="2860" operator="notEqual">
      <formula>0</formula>
    </cfRule>
  </conditionalFormatting>
  <conditionalFormatting sqref="S102">
    <cfRule type="cellIs" dxfId="5032" priority="2857" operator="equal">
      <formula>0</formula>
    </cfRule>
    <cfRule type="cellIs" dxfId="5031" priority="2858" operator="notEqual">
      <formula>0</formula>
    </cfRule>
  </conditionalFormatting>
  <conditionalFormatting sqref="S80 S105 S110">
    <cfRule type="cellIs" dxfId="5030" priority="2856" operator="equal">
      <formula>0</formula>
    </cfRule>
  </conditionalFormatting>
  <conditionalFormatting sqref="S82">
    <cfRule type="cellIs" dxfId="5029" priority="2854" operator="equal">
      <formula>0</formula>
    </cfRule>
    <cfRule type="cellIs" dxfId="5028" priority="2855" operator="notEqual">
      <formula>0</formula>
    </cfRule>
  </conditionalFormatting>
  <conditionalFormatting sqref="S85">
    <cfRule type="cellIs" dxfId="5027" priority="2853" operator="equal">
      <formula>0</formula>
    </cfRule>
  </conditionalFormatting>
  <conditionalFormatting sqref="S87">
    <cfRule type="cellIs" dxfId="5026" priority="2851" operator="equal">
      <formula>0</formula>
    </cfRule>
    <cfRule type="cellIs" dxfId="5025" priority="2852" operator="notEqual">
      <formula>0</formula>
    </cfRule>
  </conditionalFormatting>
  <conditionalFormatting sqref="S90">
    <cfRule type="cellIs" dxfId="5024" priority="2850" operator="equal">
      <formula>0</formula>
    </cfRule>
  </conditionalFormatting>
  <conditionalFormatting sqref="S92">
    <cfRule type="cellIs" dxfId="5023" priority="2848" operator="equal">
      <formula>0</formula>
    </cfRule>
    <cfRule type="cellIs" dxfId="5022" priority="2849" operator="notEqual">
      <formula>0</formula>
    </cfRule>
  </conditionalFormatting>
  <conditionalFormatting sqref="S95">
    <cfRule type="cellIs" dxfId="5021" priority="2847" operator="equal">
      <formula>0</formula>
    </cfRule>
  </conditionalFormatting>
  <conditionalFormatting sqref="S97">
    <cfRule type="cellIs" dxfId="5020" priority="2845" operator="equal">
      <formula>0</formula>
    </cfRule>
    <cfRule type="cellIs" dxfId="5019" priority="2846" operator="notEqual">
      <formula>0</formula>
    </cfRule>
  </conditionalFormatting>
  <conditionalFormatting sqref="S100">
    <cfRule type="cellIs" dxfId="5018" priority="2844" operator="equal">
      <formula>0</formula>
    </cfRule>
  </conditionalFormatting>
  <conditionalFormatting sqref="S135">
    <cfRule type="cellIs" dxfId="5017" priority="2838" operator="equal">
      <formula>0</formula>
    </cfRule>
  </conditionalFormatting>
  <conditionalFormatting sqref="S132">
    <cfRule type="cellIs" dxfId="5016" priority="2839" operator="equal">
      <formula>0</formula>
    </cfRule>
    <cfRule type="cellIs" dxfId="5015" priority="2840" operator="notEqual">
      <formula>0</formula>
    </cfRule>
  </conditionalFormatting>
  <conditionalFormatting sqref="J103:J104">
    <cfRule type="cellIs" dxfId="5014" priority="2708" operator="equal">
      <formula>0</formula>
    </cfRule>
    <cfRule type="cellIs" dxfId="5013" priority="2709" operator="notEqual">
      <formula>0</formula>
    </cfRule>
  </conditionalFormatting>
  <conditionalFormatting sqref="J105">
    <cfRule type="cellIs" dxfId="5012" priority="2707" operator="equal">
      <formula>0</formula>
    </cfRule>
  </conditionalFormatting>
  <conditionalFormatting sqref="D78:D79">
    <cfRule type="cellIs" dxfId="5011" priority="2833" operator="equal">
      <formula>0</formula>
    </cfRule>
    <cfRule type="cellIs" dxfId="5010" priority="2834" operator="notEqual">
      <formula>0</formula>
    </cfRule>
  </conditionalFormatting>
  <conditionalFormatting sqref="D83:D84 D88:D89 D98:D99 D133:D134">
    <cfRule type="cellIs" dxfId="5009" priority="2831" operator="equal">
      <formula>0</formula>
    </cfRule>
    <cfRule type="cellIs" dxfId="5008" priority="2832" operator="notEqual">
      <formula>0</formula>
    </cfRule>
  </conditionalFormatting>
  <conditionalFormatting sqref="D80:D81 E81:S81 D85:D86 E86:S86 D90:D91 E91:S91 D100:D101 E101:S101 D135:D136 E136:S136">
    <cfRule type="cellIs" dxfId="5007" priority="2830" operator="equal">
      <formula>0</formula>
    </cfRule>
  </conditionalFormatting>
  <conditionalFormatting sqref="D105:D106 E106:S106">
    <cfRule type="cellIs" dxfId="5006" priority="2827" operator="equal">
      <formula>0</formula>
    </cfRule>
  </conditionalFormatting>
  <conditionalFormatting sqref="D95:D96 E96:S96">
    <cfRule type="cellIs" dxfId="5005" priority="2824" operator="equal">
      <formula>0</formula>
    </cfRule>
  </conditionalFormatting>
  <conditionalFormatting sqref="D103:D104">
    <cfRule type="cellIs" dxfId="5004" priority="2828" operator="equal">
      <formula>0</formula>
    </cfRule>
    <cfRule type="cellIs" dxfId="5003" priority="2829" operator="notEqual">
      <formula>0</formula>
    </cfRule>
  </conditionalFormatting>
  <conditionalFormatting sqref="D93:D94">
    <cfRule type="cellIs" dxfId="5002" priority="2825" operator="equal">
      <formula>0</formula>
    </cfRule>
    <cfRule type="cellIs" dxfId="5001" priority="2826" operator="notEqual">
      <formula>0</formula>
    </cfRule>
  </conditionalFormatting>
  <conditionalFormatting sqref="D110">
    <cfRule type="cellIs" dxfId="5000" priority="2818" operator="equal">
      <formula>0</formula>
    </cfRule>
  </conditionalFormatting>
  <conditionalFormatting sqref="D108:D109">
    <cfRule type="cellIs" dxfId="4999" priority="2819" operator="equal">
      <formula>0</formula>
    </cfRule>
    <cfRule type="cellIs" dxfId="4998" priority="2820" operator="notEqual">
      <formula>0</formula>
    </cfRule>
  </conditionalFormatting>
  <conditionalFormatting sqref="K105">
    <cfRule type="cellIs" dxfId="4997" priority="2687" operator="equal">
      <formula>0</formula>
    </cfRule>
  </conditionalFormatting>
  <conditionalFormatting sqref="K103:K104">
    <cfRule type="cellIs" dxfId="4996" priority="2688" operator="equal">
      <formula>0</formula>
    </cfRule>
    <cfRule type="cellIs" dxfId="4995" priority="2689" operator="notEqual">
      <formula>0</formula>
    </cfRule>
  </conditionalFormatting>
  <conditionalFormatting sqref="E78:E79">
    <cfRule type="cellIs" dxfId="4994" priority="2813" operator="equal">
      <formula>0</formula>
    </cfRule>
    <cfRule type="cellIs" dxfId="4993" priority="2814" operator="notEqual">
      <formula>0</formula>
    </cfRule>
  </conditionalFormatting>
  <conditionalFormatting sqref="E83:E84 E88:E89 E98:E99 E133:E134">
    <cfRule type="cellIs" dxfId="4992" priority="2811" operator="equal">
      <formula>0</formula>
    </cfRule>
    <cfRule type="cellIs" dxfId="4991" priority="2812" operator="notEqual">
      <formula>0</formula>
    </cfRule>
  </conditionalFormatting>
  <conditionalFormatting sqref="E80 E85 E90 E100 E135">
    <cfRule type="cellIs" dxfId="4990" priority="2810" operator="equal">
      <formula>0</formula>
    </cfRule>
  </conditionalFormatting>
  <conditionalFormatting sqref="E105">
    <cfRule type="cellIs" dxfId="4989" priority="2807" operator="equal">
      <formula>0</formula>
    </cfRule>
  </conditionalFormatting>
  <conditionalFormatting sqref="E95">
    <cfRule type="cellIs" dxfId="4988" priority="2804" operator="equal">
      <formula>0</formula>
    </cfRule>
  </conditionalFormatting>
  <conditionalFormatting sqref="E103:E104">
    <cfRule type="cellIs" dxfId="4987" priority="2808" operator="equal">
      <formula>0</formula>
    </cfRule>
    <cfRule type="cellIs" dxfId="4986" priority="2809" operator="notEqual">
      <formula>0</formula>
    </cfRule>
  </conditionalFormatting>
  <conditionalFormatting sqref="E93:E94">
    <cfRule type="cellIs" dxfId="4985" priority="2805" operator="equal">
      <formula>0</formula>
    </cfRule>
    <cfRule type="cellIs" dxfId="4984" priority="2806" operator="notEqual">
      <formula>0</formula>
    </cfRule>
  </conditionalFormatting>
  <conditionalFormatting sqref="E110">
    <cfRule type="cellIs" dxfId="4983" priority="2798" operator="equal">
      <formula>0</formula>
    </cfRule>
  </conditionalFormatting>
  <conditionalFormatting sqref="E108:E109">
    <cfRule type="cellIs" dxfId="4982" priority="2799" operator="equal">
      <formula>0</formula>
    </cfRule>
    <cfRule type="cellIs" dxfId="4981" priority="2800" operator="notEqual">
      <formula>0</formula>
    </cfRule>
  </conditionalFormatting>
  <conditionalFormatting sqref="M105">
    <cfRule type="cellIs" dxfId="4980" priority="2667" operator="equal">
      <formula>0</formula>
    </cfRule>
  </conditionalFormatting>
  <conditionalFormatting sqref="F78:F79">
    <cfRule type="cellIs" dxfId="4979" priority="2793" operator="equal">
      <formula>0</formula>
    </cfRule>
    <cfRule type="cellIs" dxfId="4978" priority="2794" operator="notEqual">
      <formula>0</formula>
    </cfRule>
  </conditionalFormatting>
  <conditionalFormatting sqref="F83:F84 F88:F89 F98:F99 F133:F134">
    <cfRule type="cellIs" dxfId="4977" priority="2791" operator="equal">
      <formula>0</formula>
    </cfRule>
    <cfRule type="cellIs" dxfId="4976" priority="2792" operator="notEqual">
      <formula>0</formula>
    </cfRule>
  </conditionalFormatting>
  <conditionalFormatting sqref="F80 F85 F90 F100 F135">
    <cfRule type="cellIs" dxfId="4975" priority="2790" operator="equal">
      <formula>0</formula>
    </cfRule>
  </conditionalFormatting>
  <conditionalFormatting sqref="F105">
    <cfRule type="cellIs" dxfId="4974" priority="2787" operator="equal">
      <formula>0</formula>
    </cfRule>
  </conditionalFormatting>
  <conditionalFormatting sqref="F95">
    <cfRule type="cellIs" dxfId="4973" priority="2784" operator="equal">
      <formula>0</formula>
    </cfRule>
  </conditionalFormatting>
  <conditionalFormatting sqref="F103:F104">
    <cfRule type="cellIs" dxfId="4972" priority="2788" operator="equal">
      <formula>0</formula>
    </cfRule>
    <cfRule type="cellIs" dxfId="4971" priority="2789" operator="notEqual">
      <formula>0</formula>
    </cfRule>
  </conditionalFormatting>
  <conditionalFormatting sqref="F93:F94">
    <cfRule type="cellIs" dxfId="4970" priority="2785" operator="equal">
      <formula>0</formula>
    </cfRule>
    <cfRule type="cellIs" dxfId="4969" priority="2786" operator="notEqual">
      <formula>0</formula>
    </cfRule>
  </conditionalFormatting>
  <conditionalFormatting sqref="F110">
    <cfRule type="cellIs" dxfId="4968" priority="2778" operator="equal">
      <formula>0</formula>
    </cfRule>
  </conditionalFormatting>
  <conditionalFormatting sqref="F108:F109">
    <cfRule type="cellIs" dxfId="4967" priority="2779" operator="equal">
      <formula>0</formula>
    </cfRule>
    <cfRule type="cellIs" dxfId="4966" priority="2780" operator="notEqual">
      <formula>0</formula>
    </cfRule>
  </conditionalFormatting>
  <conditionalFormatting sqref="G78:G79">
    <cfRule type="cellIs" dxfId="4965" priority="2773" operator="equal">
      <formula>0</formula>
    </cfRule>
    <cfRule type="cellIs" dxfId="4964" priority="2774" operator="notEqual">
      <formula>0</formula>
    </cfRule>
  </conditionalFormatting>
  <conditionalFormatting sqref="G83:G84 G88:G89 G98:G99 G133:G134">
    <cfRule type="cellIs" dxfId="4963" priority="2771" operator="equal">
      <formula>0</formula>
    </cfRule>
    <cfRule type="cellIs" dxfId="4962" priority="2772" operator="notEqual">
      <formula>0</formula>
    </cfRule>
  </conditionalFormatting>
  <conditionalFormatting sqref="G80 G85 G90 G100 G135">
    <cfRule type="cellIs" dxfId="4961" priority="2770" operator="equal">
      <formula>0</formula>
    </cfRule>
  </conditionalFormatting>
  <conditionalFormatting sqref="G105">
    <cfRule type="cellIs" dxfId="4960" priority="2767" operator="equal">
      <formula>0</formula>
    </cfRule>
  </conditionalFormatting>
  <conditionalFormatting sqref="G95">
    <cfRule type="cellIs" dxfId="4959" priority="2764" operator="equal">
      <formula>0</formula>
    </cfRule>
  </conditionalFormatting>
  <conditionalFormatting sqref="G103:G104">
    <cfRule type="cellIs" dxfId="4958" priority="2768" operator="equal">
      <formula>0</formula>
    </cfRule>
    <cfRule type="cellIs" dxfId="4957" priority="2769" operator="notEqual">
      <formula>0</formula>
    </cfRule>
  </conditionalFormatting>
  <conditionalFormatting sqref="G93:G94">
    <cfRule type="cellIs" dxfId="4956" priority="2765" operator="equal">
      <formula>0</formula>
    </cfRule>
    <cfRule type="cellIs" dxfId="4955" priority="2766" operator="notEqual">
      <formula>0</formula>
    </cfRule>
  </conditionalFormatting>
  <conditionalFormatting sqref="G110">
    <cfRule type="cellIs" dxfId="4954" priority="2758" operator="equal">
      <formula>0</formula>
    </cfRule>
  </conditionalFormatting>
  <conditionalFormatting sqref="G108:G109">
    <cfRule type="cellIs" dxfId="4953" priority="2759" operator="equal">
      <formula>0</formula>
    </cfRule>
    <cfRule type="cellIs" dxfId="4952" priority="2760" operator="notEqual">
      <formula>0</formula>
    </cfRule>
  </conditionalFormatting>
  <conditionalFormatting sqref="H78:H79">
    <cfRule type="cellIs" dxfId="4951" priority="2753" operator="equal">
      <formula>0</formula>
    </cfRule>
    <cfRule type="cellIs" dxfId="4950" priority="2754" operator="notEqual">
      <formula>0</formula>
    </cfRule>
  </conditionalFormatting>
  <conditionalFormatting sqref="H83:H84 H88:H89 H98:H99 H133:H134">
    <cfRule type="cellIs" dxfId="4949" priority="2751" operator="equal">
      <formula>0</formula>
    </cfRule>
    <cfRule type="cellIs" dxfId="4948" priority="2752" operator="notEqual">
      <formula>0</formula>
    </cfRule>
  </conditionalFormatting>
  <conditionalFormatting sqref="H80 H85 H90 H100 H135">
    <cfRule type="cellIs" dxfId="4947" priority="2750" operator="equal">
      <formula>0</formula>
    </cfRule>
  </conditionalFormatting>
  <conditionalFormatting sqref="H105">
    <cfRule type="cellIs" dxfId="4946" priority="2747" operator="equal">
      <formula>0</formula>
    </cfRule>
  </conditionalFormatting>
  <conditionalFormatting sqref="H95">
    <cfRule type="cellIs" dxfId="4945" priority="2744" operator="equal">
      <formula>0</formula>
    </cfRule>
  </conditionalFormatting>
  <conditionalFormatting sqref="H103:H104">
    <cfRule type="cellIs" dxfId="4944" priority="2748" operator="equal">
      <formula>0</formula>
    </cfRule>
    <cfRule type="cellIs" dxfId="4943" priority="2749" operator="notEqual">
      <formula>0</formula>
    </cfRule>
  </conditionalFormatting>
  <conditionalFormatting sqref="H93:H94">
    <cfRule type="cellIs" dxfId="4942" priority="2745" operator="equal">
      <formula>0</formula>
    </cfRule>
    <cfRule type="cellIs" dxfId="4941" priority="2746" operator="notEqual">
      <formula>0</formula>
    </cfRule>
  </conditionalFormatting>
  <conditionalFormatting sqref="H107:H111 D111:G111 I111:S111 I107:S107 D107:G107">
    <cfRule type="cellIs" dxfId="4940" priority="2739" operator="equal">
      <formula>0</formula>
    </cfRule>
    <cfRule type="cellIs" dxfId="4939" priority="2740" operator="notEqual">
      <formula>0</formula>
    </cfRule>
  </conditionalFormatting>
  <conditionalFormatting sqref="I78:I79">
    <cfRule type="cellIs" dxfId="4938" priority="2733" operator="equal">
      <formula>0</formula>
    </cfRule>
    <cfRule type="cellIs" dxfId="4937" priority="2734" operator="notEqual">
      <formula>0</formula>
    </cfRule>
  </conditionalFormatting>
  <conditionalFormatting sqref="I83:I84 I88:I89 I98:I99 I133:I134">
    <cfRule type="cellIs" dxfId="4936" priority="2731" operator="equal">
      <formula>0</formula>
    </cfRule>
    <cfRule type="cellIs" dxfId="4935" priority="2732" operator="notEqual">
      <formula>0</formula>
    </cfRule>
  </conditionalFormatting>
  <conditionalFormatting sqref="I80 I85 I90 I100 I135">
    <cfRule type="cellIs" dxfId="4934" priority="2730" operator="equal">
      <formula>0</formula>
    </cfRule>
  </conditionalFormatting>
  <conditionalFormatting sqref="I105">
    <cfRule type="cellIs" dxfId="4933" priority="2727" operator="equal">
      <formula>0</formula>
    </cfRule>
  </conditionalFormatting>
  <conditionalFormatting sqref="I95">
    <cfRule type="cellIs" dxfId="4932" priority="2724" operator="equal">
      <formula>0</formula>
    </cfRule>
  </conditionalFormatting>
  <conditionalFormatting sqref="I103:I104">
    <cfRule type="cellIs" dxfId="4931" priority="2728" operator="equal">
      <formula>0</formula>
    </cfRule>
    <cfRule type="cellIs" dxfId="4930" priority="2729" operator="notEqual">
      <formula>0</formula>
    </cfRule>
  </conditionalFormatting>
  <conditionalFormatting sqref="I93:I94">
    <cfRule type="cellIs" dxfId="4929" priority="2725" operator="equal">
      <formula>0</formula>
    </cfRule>
    <cfRule type="cellIs" dxfId="4928" priority="2726" operator="notEqual">
      <formula>0</formula>
    </cfRule>
  </conditionalFormatting>
  <conditionalFormatting sqref="I110">
    <cfRule type="cellIs" dxfId="4927" priority="2718" operator="equal">
      <formula>0</formula>
    </cfRule>
  </conditionalFormatting>
  <conditionalFormatting sqref="I108:I109">
    <cfRule type="cellIs" dxfId="4926" priority="2719" operator="equal">
      <formula>0</formula>
    </cfRule>
    <cfRule type="cellIs" dxfId="4925" priority="2720" operator="notEqual">
      <formula>0</formula>
    </cfRule>
  </conditionalFormatting>
  <conditionalFormatting sqref="J78:J79">
    <cfRule type="cellIs" dxfId="4924" priority="2713" operator="equal">
      <formula>0</formula>
    </cfRule>
    <cfRule type="cellIs" dxfId="4923" priority="2714" operator="notEqual">
      <formula>0</formula>
    </cfRule>
  </conditionalFormatting>
  <conditionalFormatting sqref="J83:J84 J88:J89 J98:J99 J133:J134">
    <cfRule type="cellIs" dxfId="4922" priority="2711" operator="equal">
      <formula>0</formula>
    </cfRule>
    <cfRule type="cellIs" dxfId="4921" priority="2712" operator="notEqual">
      <formula>0</formula>
    </cfRule>
  </conditionalFormatting>
  <conditionalFormatting sqref="J80 J85 J90 J100 J135">
    <cfRule type="cellIs" dxfId="4920" priority="2710" operator="equal">
      <formula>0</formula>
    </cfRule>
  </conditionalFormatting>
  <conditionalFormatting sqref="J95">
    <cfRule type="cellIs" dxfId="4919" priority="2704" operator="equal">
      <formula>0</formula>
    </cfRule>
  </conditionalFormatting>
  <conditionalFormatting sqref="J93:J94">
    <cfRule type="cellIs" dxfId="4918" priority="2705" operator="equal">
      <formula>0</formula>
    </cfRule>
    <cfRule type="cellIs" dxfId="4917" priority="2706" operator="notEqual">
      <formula>0</formula>
    </cfRule>
  </conditionalFormatting>
  <conditionalFormatting sqref="J110">
    <cfRule type="cellIs" dxfId="4916" priority="2698" operator="equal">
      <formula>0</formula>
    </cfRule>
  </conditionalFormatting>
  <conditionalFormatting sqref="J108:J109">
    <cfRule type="cellIs" dxfId="4915" priority="2699" operator="equal">
      <formula>0</formula>
    </cfRule>
    <cfRule type="cellIs" dxfId="4914" priority="2700" operator="notEqual">
      <formula>0</formula>
    </cfRule>
  </conditionalFormatting>
  <conditionalFormatting sqref="K78:K79">
    <cfRule type="cellIs" dxfId="4913" priority="2693" operator="equal">
      <formula>0</formula>
    </cfRule>
    <cfRule type="cellIs" dxfId="4912" priority="2694" operator="notEqual">
      <formula>0</formula>
    </cfRule>
  </conditionalFormatting>
  <conditionalFormatting sqref="K83:K84 K88:K89 K98:K99 K133:K134">
    <cfRule type="cellIs" dxfId="4911" priority="2691" operator="equal">
      <formula>0</formula>
    </cfRule>
    <cfRule type="cellIs" dxfId="4910" priority="2692" operator="notEqual">
      <formula>0</formula>
    </cfRule>
  </conditionalFormatting>
  <conditionalFormatting sqref="K80 K85 K90 K100 K135">
    <cfRule type="cellIs" dxfId="4909" priority="2690" operator="equal">
      <formula>0</formula>
    </cfRule>
  </conditionalFormatting>
  <conditionalFormatting sqref="K95">
    <cfRule type="cellIs" dxfId="4908" priority="2684" operator="equal">
      <formula>0</formula>
    </cfRule>
  </conditionalFormatting>
  <conditionalFormatting sqref="K93:K94">
    <cfRule type="cellIs" dxfId="4907" priority="2685" operator="equal">
      <formula>0</formula>
    </cfRule>
    <cfRule type="cellIs" dxfId="4906" priority="2686" operator="notEqual">
      <formula>0</formula>
    </cfRule>
  </conditionalFormatting>
  <conditionalFormatting sqref="K110">
    <cfRule type="cellIs" dxfId="4905" priority="2678" operator="equal">
      <formula>0</formula>
    </cfRule>
  </conditionalFormatting>
  <conditionalFormatting sqref="K108:K109">
    <cfRule type="cellIs" dxfId="4904" priority="2679" operator="equal">
      <formula>0</formula>
    </cfRule>
    <cfRule type="cellIs" dxfId="4903" priority="2680" operator="notEqual">
      <formula>0</formula>
    </cfRule>
  </conditionalFormatting>
  <conditionalFormatting sqref="L80 L85 L90 L100 L135">
    <cfRule type="cellIs" dxfId="4902" priority="2674" operator="equal">
      <formula>0</formula>
    </cfRule>
  </conditionalFormatting>
  <conditionalFormatting sqref="L105">
    <cfRule type="cellIs" dxfId="4901" priority="2673" operator="equal">
      <formula>0</formula>
    </cfRule>
  </conditionalFormatting>
  <conditionalFormatting sqref="L95">
    <cfRule type="cellIs" dxfId="4900" priority="2672" operator="equal">
      <formula>0</formula>
    </cfRule>
  </conditionalFormatting>
  <conditionalFormatting sqref="L110">
    <cfRule type="cellIs" dxfId="4899" priority="2670" operator="equal">
      <formula>0</formula>
    </cfRule>
  </conditionalFormatting>
  <conditionalFormatting sqref="M80 M85 M90 M100 M135">
    <cfRule type="cellIs" dxfId="4898" priority="2668" operator="equal">
      <formula>0</formula>
    </cfRule>
  </conditionalFormatting>
  <conditionalFormatting sqref="M95">
    <cfRule type="cellIs" dxfId="4897" priority="2666" operator="equal">
      <formula>0</formula>
    </cfRule>
  </conditionalFormatting>
  <conditionalFormatting sqref="M110">
    <cfRule type="cellIs" dxfId="4896" priority="2664" operator="equal">
      <formula>0</formula>
    </cfRule>
  </conditionalFormatting>
  <conditionalFormatting sqref="N80 N85 N90 N100 N135">
    <cfRule type="cellIs" dxfId="4895" priority="2662" operator="equal">
      <formula>0</formula>
    </cfRule>
  </conditionalFormatting>
  <conditionalFormatting sqref="N105">
    <cfRule type="cellIs" dxfId="4894" priority="2661" operator="equal">
      <formula>0</formula>
    </cfRule>
  </conditionalFormatting>
  <conditionalFormatting sqref="N95">
    <cfRule type="cellIs" dxfId="4893" priority="2660" operator="equal">
      <formula>0</formula>
    </cfRule>
  </conditionalFormatting>
  <conditionalFormatting sqref="N110">
    <cfRule type="cellIs" dxfId="4892" priority="2658" operator="equal">
      <formula>0</formula>
    </cfRule>
  </conditionalFormatting>
  <conditionalFormatting sqref="O80 O85 O90 O100 O135">
    <cfRule type="cellIs" dxfId="4891" priority="2656" operator="equal">
      <formula>0</formula>
    </cfRule>
  </conditionalFormatting>
  <conditionalFormatting sqref="O105">
    <cfRule type="cellIs" dxfId="4890" priority="2655" operator="equal">
      <formula>0</formula>
    </cfRule>
  </conditionalFormatting>
  <conditionalFormatting sqref="O95">
    <cfRule type="cellIs" dxfId="4889" priority="2654" operator="equal">
      <formula>0</formula>
    </cfRule>
  </conditionalFormatting>
  <conditionalFormatting sqref="O110">
    <cfRule type="cellIs" dxfId="4888" priority="2652" operator="equal">
      <formula>0</formula>
    </cfRule>
  </conditionalFormatting>
  <conditionalFormatting sqref="Y182:AO186">
    <cfRule type="cellIs" dxfId="4887" priority="2240" operator="equal">
      <formula>0</formula>
    </cfRule>
  </conditionalFormatting>
  <conditionalFormatting sqref="T11">
    <cfRule type="cellIs" dxfId="4886" priority="367" operator="equal">
      <formula>0</formula>
    </cfRule>
  </conditionalFormatting>
  <conditionalFormatting sqref="D11">
    <cfRule type="cellIs" dxfId="4885" priority="366" operator="equal">
      <formula>0</formula>
    </cfRule>
  </conditionalFormatting>
  <conditionalFormatting sqref="E11">
    <cfRule type="cellIs" dxfId="4884" priority="365" operator="equal">
      <formula>0</formula>
    </cfRule>
  </conditionalFormatting>
  <conditionalFormatting sqref="F11">
    <cfRule type="cellIs" dxfId="4883" priority="364" operator="equal">
      <formula>0</formula>
    </cfRule>
  </conditionalFormatting>
  <conditionalFormatting sqref="G11">
    <cfRule type="cellIs" dxfId="4882" priority="363" operator="equal">
      <formula>0</formula>
    </cfRule>
  </conditionalFormatting>
  <conditionalFormatting sqref="H11">
    <cfRule type="cellIs" dxfId="4881" priority="362" operator="equal">
      <formula>0</formula>
    </cfRule>
  </conditionalFormatting>
  <conditionalFormatting sqref="I11">
    <cfRule type="cellIs" dxfId="4880" priority="361" operator="equal">
      <formula>0</formula>
    </cfRule>
  </conditionalFormatting>
  <conditionalFormatting sqref="J11">
    <cfRule type="cellIs" dxfId="4879" priority="360" operator="equal">
      <formula>0</formula>
    </cfRule>
  </conditionalFormatting>
  <conditionalFormatting sqref="K11">
    <cfRule type="cellIs" dxfId="4878" priority="359" operator="equal">
      <formula>0</formula>
    </cfRule>
  </conditionalFormatting>
  <conditionalFormatting sqref="L11">
    <cfRule type="cellIs" dxfId="4877" priority="358" operator="equal">
      <formula>0</formula>
    </cfRule>
  </conditionalFormatting>
  <conditionalFormatting sqref="M11">
    <cfRule type="cellIs" dxfId="4876" priority="357" operator="equal">
      <formula>0</formula>
    </cfRule>
  </conditionalFormatting>
  <conditionalFormatting sqref="N11">
    <cfRule type="cellIs" dxfId="4875" priority="356" operator="equal">
      <formula>0</formula>
    </cfRule>
  </conditionalFormatting>
  <conditionalFormatting sqref="O11">
    <cfRule type="cellIs" dxfId="4874" priority="355" operator="equal">
      <formula>0</formula>
    </cfRule>
  </conditionalFormatting>
  <conditionalFormatting sqref="P11">
    <cfRule type="cellIs" dxfId="4873" priority="354" operator="equal">
      <formula>0</formula>
    </cfRule>
  </conditionalFormatting>
  <conditionalFormatting sqref="Q11">
    <cfRule type="cellIs" dxfId="4872" priority="353" operator="equal">
      <formula>0</formula>
    </cfRule>
  </conditionalFormatting>
  <conditionalFormatting sqref="R11">
    <cfRule type="cellIs" dxfId="4871" priority="352" operator="equal">
      <formula>0</formula>
    </cfRule>
  </conditionalFormatting>
  <conditionalFormatting sqref="S11">
    <cfRule type="cellIs" dxfId="4870" priority="351" operator="equal">
      <formula>0</formula>
    </cfRule>
  </conditionalFormatting>
  <conditionalFormatting sqref="G130">
    <cfRule type="cellIs" dxfId="4869" priority="75" operator="equal">
      <formula>0</formula>
    </cfRule>
  </conditionalFormatting>
  <conditionalFormatting sqref="I130">
    <cfRule type="cellIs" dxfId="4868" priority="70" operator="equal">
      <formula>0</formula>
    </cfRule>
  </conditionalFormatting>
  <conditionalFormatting sqref="J130">
    <cfRule type="cellIs" dxfId="4867" priority="67" operator="equal">
      <formula>0</formula>
    </cfRule>
  </conditionalFormatting>
  <conditionalFormatting sqref="O130">
    <cfRule type="cellIs" dxfId="4866" priority="60" operator="equal">
      <formula>0</formula>
    </cfRule>
  </conditionalFormatting>
  <conditionalFormatting sqref="D77">
    <cfRule type="cellIs" dxfId="4865" priority="188" operator="equal">
      <formula>0</formula>
    </cfRule>
    <cfRule type="cellIs" dxfId="4864" priority="189" operator="notEqual">
      <formula>0</formula>
    </cfRule>
  </conditionalFormatting>
  <conditionalFormatting sqref="T115:T116">
    <cfRule type="cellIs" dxfId="4863" priority="187" operator="equal">
      <formula>0</formula>
    </cfRule>
  </conditionalFormatting>
  <conditionalFormatting sqref="P115">
    <cfRule type="cellIs" dxfId="4862" priority="186" operator="equal">
      <formula>0</formula>
    </cfRule>
  </conditionalFormatting>
  <conditionalFormatting sqref="Q115">
    <cfRule type="cellIs" dxfId="4861" priority="185" operator="equal">
      <formula>0</formula>
    </cfRule>
  </conditionalFormatting>
  <conditionalFormatting sqref="R115">
    <cfRule type="cellIs" dxfId="4860" priority="184" operator="equal">
      <formula>0</formula>
    </cfRule>
  </conditionalFormatting>
  <conditionalFormatting sqref="S115">
    <cfRule type="cellIs" dxfId="4859" priority="183" operator="equal">
      <formula>0</formula>
    </cfRule>
  </conditionalFormatting>
  <conditionalFormatting sqref="D115">
    <cfRule type="cellIs" dxfId="4858" priority="180" operator="equal">
      <formula>0</formula>
    </cfRule>
  </conditionalFormatting>
  <conditionalFormatting sqref="D113:D114">
    <cfRule type="cellIs" dxfId="4857" priority="181" operator="equal">
      <formula>0</formula>
    </cfRule>
    <cfRule type="cellIs" dxfId="4856" priority="182" operator="notEqual">
      <formula>0</formula>
    </cfRule>
  </conditionalFormatting>
  <conditionalFormatting sqref="E115">
    <cfRule type="cellIs" dxfId="4855" priority="177" operator="equal">
      <formula>0</formula>
    </cfRule>
  </conditionalFormatting>
  <conditionalFormatting sqref="E113:E114">
    <cfRule type="cellIs" dxfId="4854" priority="178" operator="equal">
      <formula>0</formula>
    </cfRule>
    <cfRule type="cellIs" dxfId="4853" priority="179" operator="notEqual">
      <formula>0</formula>
    </cfRule>
  </conditionalFormatting>
  <conditionalFormatting sqref="F115">
    <cfRule type="cellIs" dxfId="4852" priority="174" operator="equal">
      <formula>0</formula>
    </cfRule>
  </conditionalFormatting>
  <conditionalFormatting sqref="F113:F114">
    <cfRule type="cellIs" dxfId="4851" priority="175" operator="equal">
      <formula>0</formula>
    </cfRule>
    <cfRule type="cellIs" dxfId="4850" priority="176" operator="notEqual">
      <formula>0</formula>
    </cfRule>
  </conditionalFormatting>
  <conditionalFormatting sqref="G115">
    <cfRule type="cellIs" dxfId="4849" priority="171" operator="equal">
      <formula>0</formula>
    </cfRule>
  </conditionalFormatting>
  <conditionalFormatting sqref="G113:G114">
    <cfRule type="cellIs" dxfId="4848" priority="172" operator="equal">
      <formula>0</formula>
    </cfRule>
    <cfRule type="cellIs" dxfId="4847" priority="173" operator="notEqual">
      <formula>0</formula>
    </cfRule>
  </conditionalFormatting>
  <conditionalFormatting sqref="H112:H116 D116:G116 I116:S116 I112:S112 D112:G112">
    <cfRule type="cellIs" dxfId="4846" priority="169" operator="equal">
      <formula>0</formula>
    </cfRule>
    <cfRule type="cellIs" dxfId="4845" priority="170" operator="notEqual">
      <formula>0</formula>
    </cfRule>
  </conditionalFormatting>
  <conditionalFormatting sqref="I115">
    <cfRule type="cellIs" dxfId="4844" priority="166" operator="equal">
      <formula>0</formula>
    </cfRule>
  </conditionalFormatting>
  <conditionalFormatting sqref="I113:I114">
    <cfRule type="cellIs" dxfId="4843" priority="167" operator="equal">
      <formula>0</formula>
    </cfRule>
    <cfRule type="cellIs" dxfId="4842" priority="168" operator="notEqual">
      <formula>0</formula>
    </cfRule>
  </conditionalFormatting>
  <conditionalFormatting sqref="J115">
    <cfRule type="cellIs" dxfId="4841" priority="163" operator="equal">
      <formula>0</formula>
    </cfRule>
  </conditionalFormatting>
  <conditionalFormatting sqref="J113:J114">
    <cfRule type="cellIs" dxfId="4840" priority="164" operator="equal">
      <formula>0</formula>
    </cfRule>
    <cfRule type="cellIs" dxfId="4839" priority="165" operator="notEqual">
      <formula>0</formula>
    </cfRule>
  </conditionalFormatting>
  <conditionalFormatting sqref="K115">
    <cfRule type="cellIs" dxfId="4838" priority="160" operator="equal">
      <formula>0</formula>
    </cfRule>
  </conditionalFormatting>
  <conditionalFormatting sqref="K113:K114">
    <cfRule type="cellIs" dxfId="4837" priority="161" operator="equal">
      <formula>0</formula>
    </cfRule>
    <cfRule type="cellIs" dxfId="4836" priority="162" operator="notEqual">
      <formula>0</formula>
    </cfRule>
  </conditionalFormatting>
  <conditionalFormatting sqref="L115">
    <cfRule type="cellIs" dxfId="4835" priority="159" operator="equal">
      <formula>0</formula>
    </cfRule>
  </conditionalFormatting>
  <conditionalFormatting sqref="M115">
    <cfRule type="cellIs" dxfId="4834" priority="158" operator="equal">
      <formula>0</formula>
    </cfRule>
  </conditionalFormatting>
  <conditionalFormatting sqref="N115">
    <cfRule type="cellIs" dxfId="4833" priority="157" operator="equal">
      <formula>0</formula>
    </cfRule>
  </conditionalFormatting>
  <conditionalFormatting sqref="O115">
    <cfRule type="cellIs" dxfId="4832" priority="156" operator="equal">
      <formula>0</formula>
    </cfRule>
  </conditionalFormatting>
  <conditionalFormatting sqref="T120:T121">
    <cfRule type="cellIs" dxfId="4831" priority="155" operator="equal">
      <formula>0</formula>
    </cfRule>
  </conditionalFormatting>
  <conditionalFormatting sqref="P120">
    <cfRule type="cellIs" dxfId="4830" priority="154" operator="equal">
      <formula>0</formula>
    </cfRule>
  </conditionalFormatting>
  <conditionalFormatting sqref="Q120">
    <cfRule type="cellIs" dxfId="4829" priority="153" operator="equal">
      <formula>0</formula>
    </cfRule>
  </conditionalFormatting>
  <conditionalFormatting sqref="R120">
    <cfRule type="cellIs" dxfId="4828" priority="152" operator="equal">
      <formula>0</formula>
    </cfRule>
  </conditionalFormatting>
  <conditionalFormatting sqref="S120">
    <cfRule type="cellIs" dxfId="4827" priority="151" operator="equal">
      <formula>0</formula>
    </cfRule>
  </conditionalFormatting>
  <conditionalFormatting sqref="D120">
    <cfRule type="cellIs" dxfId="4826" priority="148" operator="equal">
      <formula>0</formula>
    </cfRule>
  </conditionalFormatting>
  <conditionalFormatting sqref="D118:D119">
    <cfRule type="cellIs" dxfId="4825" priority="149" operator="equal">
      <formula>0</formula>
    </cfRule>
    <cfRule type="cellIs" dxfId="4824" priority="150" operator="notEqual">
      <formula>0</formula>
    </cfRule>
  </conditionalFormatting>
  <conditionalFormatting sqref="E120">
    <cfRule type="cellIs" dxfId="4823" priority="145" operator="equal">
      <formula>0</formula>
    </cfRule>
  </conditionalFormatting>
  <conditionalFormatting sqref="E118:E119">
    <cfRule type="cellIs" dxfId="4822" priority="146" operator="equal">
      <formula>0</formula>
    </cfRule>
    <cfRule type="cellIs" dxfId="4821" priority="147" operator="notEqual">
      <formula>0</formula>
    </cfRule>
  </conditionalFormatting>
  <conditionalFormatting sqref="F120">
    <cfRule type="cellIs" dxfId="4820" priority="142" operator="equal">
      <formula>0</formula>
    </cfRule>
  </conditionalFormatting>
  <conditionalFormatting sqref="F118:F119">
    <cfRule type="cellIs" dxfId="4819" priority="143" operator="equal">
      <formula>0</formula>
    </cfRule>
    <cfRule type="cellIs" dxfId="4818" priority="144" operator="notEqual">
      <formula>0</formula>
    </cfRule>
  </conditionalFormatting>
  <conditionalFormatting sqref="G120">
    <cfRule type="cellIs" dxfId="4817" priority="139" operator="equal">
      <formula>0</formula>
    </cfRule>
  </conditionalFormatting>
  <conditionalFormatting sqref="G118:G119">
    <cfRule type="cellIs" dxfId="4816" priority="140" operator="equal">
      <formula>0</formula>
    </cfRule>
    <cfRule type="cellIs" dxfId="4815" priority="141" operator="notEqual">
      <formula>0</formula>
    </cfRule>
  </conditionalFormatting>
  <conditionalFormatting sqref="H117:H121 D121:G121 I121:S121 I117:S117 D117:G117">
    <cfRule type="cellIs" dxfId="4814" priority="137" operator="equal">
      <formula>0</formula>
    </cfRule>
    <cfRule type="cellIs" dxfId="4813" priority="138" operator="notEqual">
      <formula>0</formula>
    </cfRule>
  </conditionalFormatting>
  <conditionalFormatting sqref="I120">
    <cfRule type="cellIs" dxfId="4812" priority="134" operator="equal">
      <formula>0</formula>
    </cfRule>
  </conditionalFormatting>
  <conditionalFormatting sqref="I118:I119">
    <cfRule type="cellIs" dxfId="4811" priority="135" operator="equal">
      <formula>0</formula>
    </cfRule>
    <cfRule type="cellIs" dxfId="4810" priority="136" operator="notEqual">
      <formula>0</formula>
    </cfRule>
  </conditionalFormatting>
  <conditionalFormatting sqref="J120">
    <cfRule type="cellIs" dxfId="4809" priority="131" operator="equal">
      <formula>0</formula>
    </cfRule>
  </conditionalFormatting>
  <conditionalFormatting sqref="J118:J119">
    <cfRule type="cellIs" dxfId="4808" priority="132" operator="equal">
      <formula>0</formula>
    </cfRule>
    <cfRule type="cellIs" dxfId="4807" priority="133" operator="notEqual">
      <formula>0</formula>
    </cfRule>
  </conditionalFormatting>
  <conditionalFormatting sqref="K120">
    <cfRule type="cellIs" dxfId="4806" priority="128" operator="equal">
      <formula>0</formula>
    </cfRule>
  </conditionalFormatting>
  <conditionalFormatting sqref="K118:K119">
    <cfRule type="cellIs" dxfId="4805" priority="129" operator="equal">
      <formula>0</formula>
    </cfRule>
    <cfRule type="cellIs" dxfId="4804" priority="130" operator="notEqual">
      <formula>0</formula>
    </cfRule>
  </conditionalFormatting>
  <conditionalFormatting sqref="L120">
    <cfRule type="cellIs" dxfId="4803" priority="127" operator="equal">
      <formula>0</formula>
    </cfRule>
  </conditionalFormatting>
  <conditionalFormatting sqref="M120">
    <cfRule type="cellIs" dxfId="4802" priority="126" operator="equal">
      <formula>0</formula>
    </cfRule>
  </conditionalFormatting>
  <conditionalFormatting sqref="N120">
    <cfRule type="cellIs" dxfId="4801" priority="125" operator="equal">
      <formula>0</formula>
    </cfRule>
  </conditionalFormatting>
  <conditionalFormatting sqref="O120">
    <cfRule type="cellIs" dxfId="4800" priority="124" operator="equal">
      <formula>0</formula>
    </cfRule>
  </conditionalFormatting>
  <conditionalFormatting sqref="T125:T126">
    <cfRule type="cellIs" dxfId="4799" priority="123" operator="equal">
      <formula>0</formula>
    </cfRule>
  </conditionalFormatting>
  <conditionalFormatting sqref="P125">
    <cfRule type="cellIs" dxfId="4798" priority="122" operator="equal">
      <formula>0</formula>
    </cfRule>
  </conditionalFormatting>
  <conditionalFormatting sqref="Q125">
    <cfRule type="cellIs" dxfId="4797" priority="121" operator="equal">
      <formula>0</formula>
    </cfRule>
  </conditionalFormatting>
  <conditionalFormatting sqref="R125">
    <cfRule type="cellIs" dxfId="4796" priority="120" operator="equal">
      <formula>0</formula>
    </cfRule>
  </conditionalFormatting>
  <conditionalFormatting sqref="S125">
    <cfRule type="cellIs" dxfId="4795" priority="119" operator="equal">
      <formula>0</formula>
    </cfRule>
  </conditionalFormatting>
  <conditionalFormatting sqref="D125">
    <cfRule type="cellIs" dxfId="4794" priority="116" operator="equal">
      <formula>0</formula>
    </cfRule>
  </conditionalFormatting>
  <conditionalFormatting sqref="D123:D124">
    <cfRule type="cellIs" dxfId="4793" priority="117" operator="equal">
      <formula>0</formula>
    </cfRule>
    <cfRule type="cellIs" dxfId="4792" priority="118" operator="notEqual">
      <formula>0</formula>
    </cfRule>
  </conditionalFormatting>
  <conditionalFormatting sqref="E125">
    <cfRule type="cellIs" dxfId="4791" priority="113" operator="equal">
      <formula>0</formula>
    </cfRule>
  </conditionalFormatting>
  <conditionalFormatting sqref="E123:E124">
    <cfRule type="cellIs" dxfId="4790" priority="114" operator="equal">
      <formula>0</formula>
    </cfRule>
    <cfRule type="cellIs" dxfId="4789" priority="115" operator="notEqual">
      <formula>0</formula>
    </cfRule>
  </conditionalFormatting>
  <conditionalFormatting sqref="F125">
    <cfRule type="cellIs" dxfId="4788" priority="110" operator="equal">
      <formula>0</formula>
    </cfRule>
  </conditionalFormatting>
  <conditionalFormatting sqref="F123:F124">
    <cfRule type="cellIs" dxfId="4787" priority="111" operator="equal">
      <formula>0</formula>
    </cfRule>
    <cfRule type="cellIs" dxfId="4786" priority="112" operator="notEqual">
      <formula>0</formula>
    </cfRule>
  </conditionalFormatting>
  <conditionalFormatting sqref="G125">
    <cfRule type="cellIs" dxfId="4785" priority="107" operator="equal">
      <formula>0</formula>
    </cfRule>
  </conditionalFormatting>
  <conditionalFormatting sqref="G123:G124">
    <cfRule type="cellIs" dxfId="4784" priority="108" operator="equal">
      <formula>0</formula>
    </cfRule>
    <cfRule type="cellIs" dxfId="4783" priority="109" operator="notEqual">
      <formula>0</formula>
    </cfRule>
  </conditionalFormatting>
  <conditionalFormatting sqref="H122:H126 D126:G126 I126:S126 I122:S122 D122:G122">
    <cfRule type="cellIs" dxfId="4782" priority="105" operator="equal">
      <formula>0</formula>
    </cfRule>
    <cfRule type="cellIs" dxfId="4781" priority="106" operator="notEqual">
      <formula>0</formula>
    </cfRule>
  </conditionalFormatting>
  <conditionalFormatting sqref="I125">
    <cfRule type="cellIs" dxfId="4780" priority="102" operator="equal">
      <formula>0</formula>
    </cfRule>
  </conditionalFormatting>
  <conditionalFormatting sqref="I123:I124">
    <cfRule type="cellIs" dxfId="4779" priority="103" operator="equal">
      <formula>0</formula>
    </cfRule>
    <cfRule type="cellIs" dxfId="4778" priority="104" operator="notEqual">
      <formula>0</formula>
    </cfRule>
  </conditionalFormatting>
  <conditionalFormatting sqref="J125">
    <cfRule type="cellIs" dxfId="4777" priority="99" operator="equal">
      <formula>0</formula>
    </cfRule>
  </conditionalFormatting>
  <conditionalFormatting sqref="J123:J124">
    <cfRule type="cellIs" dxfId="4776" priority="100" operator="equal">
      <formula>0</formula>
    </cfRule>
    <cfRule type="cellIs" dxfId="4775" priority="101" operator="notEqual">
      <formula>0</formula>
    </cfRule>
  </conditionalFormatting>
  <conditionalFormatting sqref="K125">
    <cfRule type="cellIs" dxfId="4774" priority="96" operator="equal">
      <formula>0</formula>
    </cfRule>
  </conditionalFormatting>
  <conditionalFormatting sqref="K123:K124">
    <cfRule type="cellIs" dxfId="4773" priority="97" operator="equal">
      <formula>0</formula>
    </cfRule>
    <cfRule type="cellIs" dxfId="4772" priority="98" operator="notEqual">
      <formula>0</formula>
    </cfRule>
  </conditionalFormatting>
  <conditionalFormatting sqref="L125">
    <cfRule type="cellIs" dxfId="4771" priority="95" operator="equal">
      <formula>0</formula>
    </cfRule>
  </conditionalFormatting>
  <conditionalFormatting sqref="M125">
    <cfRule type="cellIs" dxfId="4770" priority="94" operator="equal">
      <formula>0</formula>
    </cfRule>
  </conditionalFormatting>
  <conditionalFormatting sqref="N125">
    <cfRule type="cellIs" dxfId="4769" priority="93" operator="equal">
      <formula>0</formula>
    </cfRule>
  </conditionalFormatting>
  <conditionalFormatting sqref="O125">
    <cfRule type="cellIs" dxfId="4768" priority="92" operator="equal">
      <formula>0</formula>
    </cfRule>
  </conditionalFormatting>
  <conditionalFormatting sqref="T130:T131">
    <cfRule type="cellIs" dxfId="4767" priority="91" operator="equal">
      <formula>0</formula>
    </cfRule>
  </conditionalFormatting>
  <conditionalFormatting sqref="P130">
    <cfRule type="cellIs" dxfId="4766" priority="90" operator="equal">
      <formula>0</formula>
    </cfRule>
  </conditionalFormatting>
  <conditionalFormatting sqref="Q130">
    <cfRule type="cellIs" dxfId="4765" priority="89" operator="equal">
      <formula>0</formula>
    </cfRule>
  </conditionalFormatting>
  <conditionalFormatting sqref="R130">
    <cfRule type="cellIs" dxfId="4764" priority="88" operator="equal">
      <formula>0</formula>
    </cfRule>
  </conditionalFormatting>
  <conditionalFormatting sqref="S130">
    <cfRule type="cellIs" dxfId="4763" priority="87" operator="equal">
      <formula>0</formula>
    </cfRule>
  </conditionalFormatting>
  <conditionalFormatting sqref="D130">
    <cfRule type="cellIs" dxfId="4762" priority="84" operator="equal">
      <formula>0</formula>
    </cfRule>
  </conditionalFormatting>
  <conditionalFormatting sqref="D128:D129">
    <cfRule type="cellIs" dxfId="4761" priority="85" operator="equal">
      <formula>0</formula>
    </cfRule>
    <cfRule type="cellIs" dxfId="4760" priority="86" operator="notEqual">
      <formula>0</formula>
    </cfRule>
  </conditionalFormatting>
  <conditionalFormatting sqref="E130">
    <cfRule type="cellIs" dxfId="4759" priority="81" operator="equal">
      <formula>0</formula>
    </cfRule>
  </conditionalFormatting>
  <conditionalFormatting sqref="E128:E129">
    <cfRule type="cellIs" dxfId="4758" priority="82" operator="equal">
      <formula>0</formula>
    </cfRule>
    <cfRule type="cellIs" dxfId="4757" priority="83" operator="notEqual">
      <formula>0</formula>
    </cfRule>
  </conditionalFormatting>
  <conditionalFormatting sqref="F130">
    <cfRule type="cellIs" dxfId="4756" priority="78" operator="equal">
      <formula>0</formula>
    </cfRule>
  </conditionalFormatting>
  <conditionalFormatting sqref="F128:F129">
    <cfRule type="cellIs" dxfId="4755" priority="79" operator="equal">
      <formula>0</formula>
    </cfRule>
    <cfRule type="cellIs" dxfId="4754" priority="80" operator="notEqual">
      <formula>0</formula>
    </cfRule>
  </conditionalFormatting>
  <conditionalFormatting sqref="G128:G129">
    <cfRule type="cellIs" dxfId="4753" priority="76" operator="equal">
      <formula>0</formula>
    </cfRule>
    <cfRule type="cellIs" dxfId="4752" priority="77" operator="notEqual">
      <formula>0</formula>
    </cfRule>
  </conditionalFormatting>
  <conditionalFormatting sqref="H127:H131 D131:G131 I131:S131 I127:S127 D127:G127">
    <cfRule type="cellIs" dxfId="4751" priority="73" operator="equal">
      <formula>0</formula>
    </cfRule>
    <cfRule type="cellIs" dxfId="4750" priority="74" operator="notEqual">
      <formula>0</formula>
    </cfRule>
  </conditionalFormatting>
  <conditionalFormatting sqref="I128:I129">
    <cfRule type="cellIs" dxfId="4749" priority="71" operator="equal">
      <formula>0</formula>
    </cfRule>
    <cfRule type="cellIs" dxfId="4748" priority="72" operator="notEqual">
      <formula>0</formula>
    </cfRule>
  </conditionalFormatting>
  <conditionalFormatting sqref="J128:J129">
    <cfRule type="cellIs" dxfId="4747" priority="68" operator="equal">
      <formula>0</formula>
    </cfRule>
    <cfRule type="cellIs" dxfId="4746" priority="69" operator="notEqual">
      <formula>0</formula>
    </cfRule>
  </conditionalFormatting>
  <conditionalFormatting sqref="K130">
    <cfRule type="cellIs" dxfId="4745" priority="64" operator="equal">
      <formula>0</formula>
    </cfRule>
  </conditionalFormatting>
  <conditionalFormatting sqref="K128:K129">
    <cfRule type="cellIs" dxfId="4744" priority="65" operator="equal">
      <formula>0</formula>
    </cfRule>
    <cfRule type="cellIs" dxfId="4743" priority="66" operator="notEqual">
      <formula>0</formula>
    </cfRule>
  </conditionalFormatting>
  <conditionalFormatting sqref="L130">
    <cfRule type="cellIs" dxfId="4742" priority="63" operator="equal">
      <formula>0</formula>
    </cfRule>
  </conditionalFormatting>
  <conditionalFormatting sqref="M130">
    <cfRule type="cellIs" dxfId="4741" priority="62" operator="equal">
      <formula>0</formula>
    </cfRule>
  </conditionalFormatting>
  <conditionalFormatting sqref="N130">
    <cfRule type="cellIs" dxfId="4740" priority="61" operator="equal">
      <formula>0</formula>
    </cfRule>
  </conditionalFormatting>
  <conditionalFormatting sqref="Y177:AO181">
    <cfRule type="cellIs" dxfId="4739" priority="38" operator="equal">
      <formula>0</formula>
    </cfRule>
  </conditionalFormatting>
  <conditionalFormatting sqref="Y172:AO176">
    <cfRule type="cellIs" dxfId="4738" priority="37" operator="equal">
      <formula>0</formula>
    </cfRule>
  </conditionalFormatting>
  <conditionalFormatting sqref="Y167:AO171">
    <cfRule type="cellIs" dxfId="4737" priority="36" operator="equal">
      <formula>0</formula>
    </cfRule>
  </conditionalFormatting>
  <conditionalFormatting sqref="Y162:AO166">
    <cfRule type="cellIs" dxfId="4736" priority="35" operator="equal">
      <formula>0</formula>
    </cfRule>
  </conditionalFormatting>
  <conditionalFormatting sqref="Y157:AO161">
    <cfRule type="cellIs" dxfId="4735" priority="34" operator="equal">
      <formula>0</formula>
    </cfRule>
  </conditionalFormatting>
  <conditionalFormatting sqref="Y152:AO156">
    <cfRule type="cellIs" dxfId="4734" priority="33" operator="equal">
      <formula>0</formula>
    </cfRule>
  </conditionalFormatting>
  <conditionalFormatting sqref="Y147:AO151">
    <cfRule type="cellIs" dxfId="4733" priority="32" operator="equal">
      <formula>0</formula>
    </cfRule>
  </conditionalFormatting>
  <conditionalFormatting sqref="Y187:AO191">
    <cfRule type="cellIs" dxfId="4732" priority="31" operator="equal">
      <formula>0</formula>
    </cfRule>
  </conditionalFormatting>
  <conditionalFormatting sqref="Y192:AO196">
    <cfRule type="cellIs" dxfId="4731" priority="30" operator="equal">
      <formula>0</formula>
    </cfRule>
  </conditionalFormatting>
  <conditionalFormatting sqref="Y197:AO201">
    <cfRule type="cellIs" dxfId="4730" priority="29" operator="equal">
      <formula>0</formula>
    </cfRule>
  </conditionalFormatting>
  <conditionalFormatting sqref="Y202:AO206">
    <cfRule type="cellIs" dxfId="4729" priority="28" operator="equal">
      <formula>0</formula>
    </cfRule>
  </conditionalFormatting>
  <conditionalFormatting sqref="Y207:AO211">
    <cfRule type="cellIs" dxfId="4728" priority="27" operator="equal">
      <formula>0</formula>
    </cfRule>
  </conditionalFormatting>
  <conditionalFormatting sqref="Y112:AO116">
    <cfRule type="cellIs" dxfId="4727" priority="26" operator="equal">
      <formula>0</formula>
    </cfRule>
  </conditionalFormatting>
  <conditionalFormatting sqref="Y107:AO111">
    <cfRule type="cellIs" dxfId="4726" priority="25" operator="equal">
      <formula>0</formula>
    </cfRule>
  </conditionalFormatting>
  <conditionalFormatting sqref="Y102:AO106">
    <cfRule type="cellIs" dxfId="4725" priority="24" operator="equal">
      <formula>0</formula>
    </cfRule>
  </conditionalFormatting>
  <conditionalFormatting sqref="Y97:AO101">
    <cfRule type="cellIs" dxfId="4724" priority="23" operator="equal">
      <formula>0</formula>
    </cfRule>
  </conditionalFormatting>
  <conditionalFormatting sqref="Y92:AO96">
    <cfRule type="cellIs" dxfId="4723" priority="22" operator="equal">
      <formula>0</formula>
    </cfRule>
  </conditionalFormatting>
  <conditionalFormatting sqref="Y87:AO91">
    <cfRule type="cellIs" dxfId="4722" priority="21" operator="equal">
      <formula>0</formula>
    </cfRule>
  </conditionalFormatting>
  <conditionalFormatting sqref="Y82:AO86">
    <cfRule type="cellIs" dxfId="4721" priority="20" operator="equal">
      <formula>0</formula>
    </cfRule>
  </conditionalFormatting>
  <conditionalFormatting sqref="Y77:AO81">
    <cfRule type="cellIs" dxfId="4720" priority="19" operator="equal">
      <formula>0</formula>
    </cfRule>
  </conditionalFormatting>
  <conditionalFormatting sqref="Y117:AO121">
    <cfRule type="cellIs" dxfId="4719" priority="18" operator="equal">
      <formula>0</formula>
    </cfRule>
  </conditionalFormatting>
  <conditionalFormatting sqref="Y122:AO126">
    <cfRule type="cellIs" dxfId="4718" priority="17" operator="equal">
      <formula>0</formula>
    </cfRule>
  </conditionalFormatting>
  <conditionalFormatting sqref="Y127:AO131">
    <cfRule type="cellIs" dxfId="4717" priority="16" operator="equal">
      <formula>0</formula>
    </cfRule>
  </conditionalFormatting>
  <conditionalFormatting sqref="Y132:AO136">
    <cfRule type="cellIs" dxfId="4716" priority="15" operator="equal">
      <formula>0</formula>
    </cfRule>
  </conditionalFormatting>
  <conditionalFormatting sqref="Y137:AO141">
    <cfRule type="cellIs" dxfId="4715" priority="14" operator="equal">
      <formula>0</formula>
    </cfRule>
  </conditionalFormatting>
  <conditionalFormatting sqref="Y42:AO46">
    <cfRule type="cellIs" dxfId="4714" priority="13" operator="equal">
      <formula>0</formula>
    </cfRule>
  </conditionalFormatting>
  <conditionalFormatting sqref="Y37:AO41">
    <cfRule type="cellIs" dxfId="4713" priority="12" operator="equal">
      <formula>0</formula>
    </cfRule>
  </conditionalFormatting>
  <conditionalFormatting sqref="Y32:AO36">
    <cfRule type="cellIs" dxfId="4712" priority="11" operator="equal">
      <formula>0</formula>
    </cfRule>
  </conditionalFormatting>
  <conditionalFormatting sqref="Y27:AO31">
    <cfRule type="cellIs" dxfId="4711" priority="10" operator="equal">
      <formula>0</formula>
    </cfRule>
  </conditionalFormatting>
  <conditionalFormatting sqref="Y22:AO26">
    <cfRule type="cellIs" dxfId="4710" priority="9" operator="equal">
      <formula>0</formula>
    </cfRule>
  </conditionalFormatting>
  <conditionalFormatting sqref="Y17:AO21">
    <cfRule type="cellIs" dxfId="4709" priority="8" operator="equal">
      <formula>0</formula>
    </cfRule>
  </conditionalFormatting>
  <conditionalFormatting sqref="Y12:AO16">
    <cfRule type="cellIs" dxfId="4708" priority="7" operator="equal">
      <formula>0</formula>
    </cfRule>
  </conditionalFormatting>
  <conditionalFormatting sqref="Y7:AO11">
    <cfRule type="cellIs" dxfId="4707" priority="6" operator="equal">
      <formula>0</formula>
    </cfRule>
  </conditionalFormatting>
  <conditionalFormatting sqref="Y47:AO51">
    <cfRule type="cellIs" dxfId="4706" priority="5" operator="equal">
      <formula>0</formula>
    </cfRule>
  </conditionalFormatting>
  <conditionalFormatting sqref="Y52:AO56">
    <cfRule type="cellIs" dxfId="4705" priority="4" operator="equal">
      <formula>0</formula>
    </cfRule>
  </conditionalFormatting>
  <conditionalFormatting sqref="Y57:AO61">
    <cfRule type="cellIs" dxfId="4704" priority="3" operator="equal">
      <formula>0</formula>
    </cfRule>
  </conditionalFormatting>
  <conditionalFormatting sqref="Y62:AO66">
    <cfRule type="cellIs" dxfId="4703" priority="2" operator="equal">
      <formula>0</formula>
    </cfRule>
  </conditionalFormatting>
  <conditionalFormatting sqref="Y67:AO71">
    <cfRule type="cellIs" dxfId="4702" priority="1" operator="equal">
      <formula>0</formula>
    </cfRule>
  </conditionalFormatting>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N68"/>
  <sheetViews>
    <sheetView showGridLines="0" zoomScale="85" zoomScaleNormal="85" workbookViewId="0">
      <selection activeCell="Q62" sqref="Q62"/>
    </sheetView>
  </sheetViews>
  <sheetFormatPr baseColWidth="10" defaultColWidth="8.83203125" defaultRowHeight="14" x14ac:dyDescent="0.15"/>
  <cols>
    <col min="2" max="2" width="35" bestFit="1" customWidth="1"/>
    <col min="3" max="18" width="8.83203125" style="3"/>
    <col min="19" max="19" width="12.83203125" style="3" customWidth="1"/>
    <col min="20" max="20" width="8.83203125" style="3"/>
    <col min="21" max="21" width="35" style="3" bestFit="1" customWidth="1"/>
    <col min="22" max="22" width="11.5" style="3" bestFit="1" customWidth="1"/>
    <col min="23" max="28" width="10.1640625" style="3" bestFit="1" customWidth="1"/>
    <col min="29" max="38" width="8.83203125" style="3"/>
  </cols>
  <sheetData>
    <row r="1" spans="1:40" ht="65.25" customHeight="1" x14ac:dyDescent="0.15">
      <c r="A1" s="482" t="s">
        <v>1081</v>
      </c>
      <c r="B1" s="482"/>
      <c r="C1" s="482"/>
      <c r="D1" s="482"/>
      <c r="E1" s="482"/>
      <c r="F1" s="482"/>
      <c r="G1" s="482"/>
      <c r="H1" s="482"/>
      <c r="I1" s="482"/>
      <c r="J1" s="482"/>
      <c r="K1" s="482"/>
      <c r="L1" s="482"/>
      <c r="M1" s="482"/>
      <c r="N1" s="482"/>
      <c r="O1" s="482"/>
      <c r="P1" s="482"/>
      <c r="Q1" s="482"/>
      <c r="R1" s="482"/>
      <c r="S1" s="482"/>
      <c r="T1" s="482"/>
      <c r="U1" s="482"/>
      <c r="V1" s="482"/>
      <c r="W1" s="482"/>
      <c r="X1" s="482"/>
      <c r="Y1" s="482"/>
      <c r="Z1" s="482"/>
      <c r="AA1" s="482"/>
      <c r="AB1" s="483"/>
      <c r="AC1" s="483"/>
      <c r="AD1" s="483"/>
      <c r="AE1" s="483"/>
      <c r="AF1" s="483"/>
      <c r="AG1" s="483"/>
      <c r="AH1" s="483"/>
      <c r="AI1" s="483"/>
      <c r="AJ1" s="483"/>
      <c r="AK1" s="483"/>
      <c r="AL1" s="483"/>
      <c r="AM1" s="483"/>
      <c r="AN1" s="256"/>
    </row>
    <row r="2" spans="1:40" ht="42.75" customHeight="1" x14ac:dyDescent="0.15">
      <c r="A2" s="487"/>
      <c r="B2" s="487"/>
      <c r="C2" s="487"/>
      <c r="D2" s="487"/>
      <c r="E2" s="487"/>
      <c r="F2" s="487"/>
      <c r="G2" s="487"/>
      <c r="H2" s="487"/>
      <c r="I2" s="487"/>
      <c r="J2" s="487"/>
      <c r="K2" s="487"/>
      <c r="L2" s="487"/>
      <c r="M2" s="487"/>
      <c r="N2" s="487"/>
      <c r="O2" s="487"/>
      <c r="P2" s="487"/>
      <c r="Q2" s="487"/>
      <c r="R2" s="487"/>
      <c r="S2" s="487"/>
      <c r="T2" s="487"/>
      <c r="U2" s="487"/>
      <c r="V2" s="487"/>
      <c r="W2" s="487"/>
      <c r="X2" s="487"/>
      <c r="Y2" s="487"/>
      <c r="Z2" s="487"/>
      <c r="AA2" s="487"/>
      <c r="AB2" s="487"/>
      <c r="AC2" s="487"/>
      <c r="AD2" s="487"/>
      <c r="AE2" s="487"/>
      <c r="AF2" s="487"/>
      <c r="AG2" s="487"/>
      <c r="AH2" s="487"/>
      <c r="AI2" s="487"/>
      <c r="AJ2" s="487"/>
      <c r="AK2" s="487"/>
      <c r="AL2" s="487"/>
      <c r="AM2" s="487"/>
      <c r="AN2" s="487"/>
    </row>
    <row r="3" spans="1:40" s="48" customFormat="1" ht="39.75" customHeight="1" x14ac:dyDescent="0.15">
      <c r="A3" s="61"/>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row>
    <row r="4" spans="1:40" ht="24.75" customHeight="1" x14ac:dyDescent="0.2">
      <c r="C4" s="503" t="s">
        <v>1310</v>
      </c>
      <c r="D4" s="504"/>
      <c r="E4" s="504"/>
      <c r="F4" s="504"/>
      <c r="G4" s="504"/>
      <c r="H4" s="504"/>
      <c r="I4" s="504"/>
      <c r="J4" s="504"/>
      <c r="K4" s="504"/>
      <c r="L4" s="504"/>
      <c r="M4" s="504"/>
      <c r="N4" s="504"/>
      <c r="O4" s="504"/>
      <c r="P4" s="504"/>
      <c r="Q4" s="504"/>
      <c r="R4" s="504"/>
      <c r="S4" s="508"/>
      <c r="T4" s="1"/>
      <c r="U4" s="1"/>
      <c r="V4" s="503" t="s">
        <v>1082</v>
      </c>
      <c r="W4" s="504"/>
      <c r="X4" s="504"/>
      <c r="Y4" s="504"/>
      <c r="Z4" s="504"/>
      <c r="AA4" s="504"/>
      <c r="AB4" s="504"/>
      <c r="AC4" s="504"/>
      <c r="AD4" s="504"/>
      <c r="AE4" s="504"/>
      <c r="AF4" s="504"/>
      <c r="AG4" s="504"/>
      <c r="AH4" s="504"/>
      <c r="AI4" s="504"/>
      <c r="AJ4" s="504"/>
      <c r="AK4" s="504"/>
    </row>
    <row r="5" spans="1:40" x14ac:dyDescent="0.15">
      <c r="B5" s="139"/>
      <c r="C5" s="38" t="s">
        <v>864</v>
      </c>
      <c r="D5" s="38" t="s">
        <v>865</v>
      </c>
      <c r="E5" s="38" t="s">
        <v>866</v>
      </c>
      <c r="F5" s="38" t="s">
        <v>867</v>
      </c>
      <c r="G5" s="38" t="s">
        <v>868</v>
      </c>
      <c r="H5" s="38" t="s">
        <v>869</v>
      </c>
      <c r="I5" s="38" t="s">
        <v>870</v>
      </c>
      <c r="J5" s="38" t="s">
        <v>871</v>
      </c>
      <c r="K5" s="38" t="s">
        <v>872</v>
      </c>
      <c r="L5" s="38" t="s">
        <v>873</v>
      </c>
      <c r="M5" s="38" t="s">
        <v>874</v>
      </c>
      <c r="N5" s="38" t="s">
        <v>875</v>
      </c>
      <c r="O5" s="38" t="s">
        <v>876</v>
      </c>
      <c r="P5" s="38" t="s">
        <v>877</v>
      </c>
      <c r="Q5" s="38" t="s">
        <v>878</v>
      </c>
      <c r="R5" s="38" t="s">
        <v>879</v>
      </c>
      <c r="S5" s="39" t="s">
        <v>881</v>
      </c>
      <c r="T5" s="91"/>
      <c r="U5" s="231"/>
      <c r="V5" s="38" t="s">
        <v>864</v>
      </c>
      <c r="W5" s="38" t="s">
        <v>865</v>
      </c>
      <c r="X5" s="38" t="s">
        <v>866</v>
      </c>
      <c r="Y5" s="38" t="s">
        <v>867</v>
      </c>
      <c r="Z5" s="38" t="s">
        <v>868</v>
      </c>
      <c r="AA5" s="38" t="s">
        <v>869</v>
      </c>
      <c r="AB5" s="38" t="s">
        <v>870</v>
      </c>
      <c r="AC5" s="38" t="s">
        <v>871</v>
      </c>
      <c r="AD5" s="38" t="s">
        <v>872</v>
      </c>
      <c r="AE5" s="38" t="s">
        <v>873</v>
      </c>
      <c r="AF5" s="38" t="s">
        <v>874</v>
      </c>
      <c r="AG5" s="38" t="s">
        <v>875</v>
      </c>
      <c r="AH5" s="38" t="s">
        <v>876</v>
      </c>
      <c r="AI5" s="38" t="s">
        <v>877</v>
      </c>
      <c r="AJ5" s="38" t="s">
        <v>878</v>
      </c>
      <c r="AK5" s="38" t="s">
        <v>879</v>
      </c>
    </row>
    <row r="6" spans="1:40" x14ac:dyDescent="0.15">
      <c r="B6" s="141" t="s">
        <v>17</v>
      </c>
      <c r="C6" s="75">
        <f>SUMIF('caseload data'!$A:$A,"East Midlands Region",'caseload data'!E:E)</f>
        <v>0</v>
      </c>
      <c r="D6" s="75">
        <f>SUMIF('caseload data'!$A:$A,"East Midlands Region",'caseload data'!F:F)</f>
        <v>0</v>
      </c>
      <c r="E6" s="75">
        <f>SUMIF('caseload data'!$A:$A,"East Midlands Region",'caseload data'!G:G)</f>
        <v>0</v>
      </c>
      <c r="F6" s="75">
        <f>SUMIF('caseload data'!$A:$A,"East Midlands Region",'caseload data'!H:H)</f>
        <v>0</v>
      </c>
      <c r="G6" s="75">
        <f>SUMIF('caseload data'!$A:$A,"East Midlands Region",'caseload data'!I:I)</f>
        <v>0</v>
      </c>
      <c r="H6" s="75">
        <f>SUMIF('caseload data'!$A:$A,"East Midlands Region",'caseload data'!J:J)</f>
        <v>0</v>
      </c>
      <c r="I6" s="75">
        <f>SUMIF('caseload data'!$A:$A,"East Midlands Region",'caseload data'!K:K)</f>
        <v>0</v>
      </c>
      <c r="J6" s="75">
        <f>SUMIF('caseload data'!$A:$A,"East Midlands Region",'caseload data'!L:L)</f>
        <v>0</v>
      </c>
      <c r="K6" s="75">
        <f>SUMIF('caseload data'!$A:$A,"East Midlands Region",'caseload data'!M:M)</f>
        <v>0</v>
      </c>
      <c r="L6" s="75">
        <f>SUMIF('caseload data'!$A:$A,"East Midlands Region",'caseload data'!N:N)</f>
        <v>0</v>
      </c>
      <c r="M6" s="75">
        <f>SUMIF('caseload data'!$A:$A,"East Midlands Region",'caseload data'!O:O)</f>
        <v>0</v>
      </c>
      <c r="N6" s="75">
        <f>SUMIF('caseload data'!$A:$A,"East Midlands Region",'caseload data'!P:P)</f>
        <v>0</v>
      </c>
      <c r="O6" s="75">
        <f>SUMIF('caseload data'!$A:$A,"East Midlands Region",'caseload data'!Q:Q)</f>
        <v>0</v>
      </c>
      <c r="P6" s="75">
        <f>SUMIF('caseload data'!$A:$A,"East Midlands Region",'caseload data'!R:R)</f>
        <v>0</v>
      </c>
      <c r="Q6" s="75">
        <f>SUMIF('caseload data'!$A:$A,"East Midlands Region",'caseload data'!S:S)</f>
        <v>0</v>
      </c>
      <c r="R6" s="75">
        <f>SUMIF('caseload data'!$A:$A,"East Midlands Region",'caseload data'!T:T)</f>
        <v>0</v>
      </c>
      <c r="S6" s="75">
        <f>SUMIF('caseload data'!A:A,"East Midlands Region",'caseload data'!V:V)</f>
        <v>0</v>
      </c>
      <c r="T6" s="91"/>
      <c r="U6" s="141" t="s">
        <v>17</v>
      </c>
      <c r="V6" s="66" t="e">
        <f>C6/$S$6</f>
        <v>#DIV/0!</v>
      </c>
      <c r="W6" s="66" t="e">
        <f t="shared" ref="W6:AK6" si="0">D6/$S$6</f>
        <v>#DIV/0!</v>
      </c>
      <c r="X6" s="66" t="e">
        <f t="shared" si="0"/>
        <v>#DIV/0!</v>
      </c>
      <c r="Y6" s="66" t="e">
        <f t="shared" si="0"/>
        <v>#DIV/0!</v>
      </c>
      <c r="Z6" s="66" t="e">
        <f t="shared" si="0"/>
        <v>#DIV/0!</v>
      </c>
      <c r="AA6" s="66" t="e">
        <f t="shared" si="0"/>
        <v>#DIV/0!</v>
      </c>
      <c r="AB6" s="66" t="e">
        <f t="shared" si="0"/>
        <v>#DIV/0!</v>
      </c>
      <c r="AC6" s="66" t="e">
        <f t="shared" si="0"/>
        <v>#DIV/0!</v>
      </c>
      <c r="AD6" s="66" t="e">
        <f t="shared" si="0"/>
        <v>#DIV/0!</v>
      </c>
      <c r="AE6" s="66" t="e">
        <f t="shared" si="0"/>
        <v>#DIV/0!</v>
      </c>
      <c r="AF6" s="66" t="e">
        <f t="shared" si="0"/>
        <v>#DIV/0!</v>
      </c>
      <c r="AG6" s="66" t="e">
        <f t="shared" si="0"/>
        <v>#DIV/0!</v>
      </c>
      <c r="AH6" s="66" t="e">
        <f t="shared" si="0"/>
        <v>#DIV/0!</v>
      </c>
      <c r="AI6" s="66" t="e">
        <f t="shared" si="0"/>
        <v>#DIV/0!</v>
      </c>
      <c r="AJ6" s="66" t="e">
        <f t="shared" si="0"/>
        <v>#DIV/0!</v>
      </c>
      <c r="AK6" s="66" t="e">
        <f t="shared" si="0"/>
        <v>#DIV/0!</v>
      </c>
    </row>
    <row r="7" spans="1:40" x14ac:dyDescent="0.15">
      <c r="B7" s="141" t="s">
        <v>18</v>
      </c>
      <c r="C7" s="75">
        <f>SUMIF('caseload data'!$A:$A,"East of England",'caseload data'!E:E)</f>
        <v>0</v>
      </c>
      <c r="D7" s="75">
        <f>SUMIF('caseload data'!$A:$A,"East of England",'caseload data'!F:F)</f>
        <v>0</v>
      </c>
      <c r="E7" s="75">
        <f>SUMIF('caseload data'!$A:$A,"East of England",'caseload data'!G:G)</f>
        <v>0</v>
      </c>
      <c r="F7" s="75">
        <f>SUMIF('caseload data'!$A:$A,"East of England",'caseload data'!H:H)</f>
        <v>0</v>
      </c>
      <c r="G7" s="75">
        <f>SUMIF('caseload data'!$A:$A,"East of England",'caseload data'!I:I)</f>
        <v>0</v>
      </c>
      <c r="H7" s="75">
        <f>SUMIF('caseload data'!$A:$A,"East of England",'caseload data'!J:J)</f>
        <v>0</v>
      </c>
      <c r="I7" s="75">
        <f>SUMIF('caseload data'!$A:$A,"East of England",'caseload data'!K:K)</f>
        <v>0</v>
      </c>
      <c r="J7" s="75">
        <f>SUMIF('caseload data'!$A:$A,"East of England",'caseload data'!L:L)</f>
        <v>0</v>
      </c>
      <c r="K7" s="75">
        <f>SUMIF('caseload data'!$A:$A,"East of England",'caseload data'!M:M)</f>
        <v>0</v>
      </c>
      <c r="L7" s="75">
        <f>SUMIF('caseload data'!$A:$A,"East of England",'caseload data'!N:N)</f>
        <v>0</v>
      </c>
      <c r="M7" s="75">
        <f>SUMIF('caseload data'!$A:$A,"East of England",'caseload data'!O:O)</f>
        <v>0</v>
      </c>
      <c r="N7" s="75">
        <f>SUMIF('caseload data'!$A:$A,"East of England",'caseload data'!P:P)</f>
        <v>0</v>
      </c>
      <c r="O7" s="75">
        <f>SUMIF('caseload data'!$A:$A,"East of England",'caseload data'!Q:Q)</f>
        <v>0</v>
      </c>
      <c r="P7" s="75">
        <f>SUMIF('caseload data'!$A:$A,"East of England",'caseload data'!R:R)</f>
        <v>0</v>
      </c>
      <c r="Q7" s="75">
        <f>SUMIF('caseload data'!$A:$A,"East of England",'caseload data'!S:S)</f>
        <v>0</v>
      </c>
      <c r="R7" s="75">
        <f>SUMIF('caseload data'!$A:$A,"East of England",'caseload data'!T:T)</f>
        <v>0</v>
      </c>
      <c r="S7" s="75">
        <f>SUMIF('caseload data'!A:A,"East of England",'caseload data'!V:V)</f>
        <v>0</v>
      </c>
      <c r="T7" s="91"/>
      <c r="U7" s="141" t="s">
        <v>18</v>
      </c>
      <c r="V7" s="66" t="e">
        <f>C7/$S$7</f>
        <v>#DIV/0!</v>
      </c>
      <c r="W7" s="66" t="e">
        <f>D7/$S$7</f>
        <v>#DIV/0!</v>
      </c>
      <c r="X7" s="66" t="e">
        <f t="shared" ref="X7:AA7" si="1">E7/$S$7</f>
        <v>#DIV/0!</v>
      </c>
      <c r="Y7" s="66" t="e">
        <f t="shared" si="1"/>
        <v>#DIV/0!</v>
      </c>
      <c r="Z7" s="66" t="e">
        <f t="shared" si="1"/>
        <v>#DIV/0!</v>
      </c>
      <c r="AA7" s="66" t="e">
        <f t="shared" si="1"/>
        <v>#DIV/0!</v>
      </c>
      <c r="AB7" s="66" t="e">
        <f>I7/$S$7</f>
        <v>#DIV/0!</v>
      </c>
      <c r="AC7" s="66" t="e">
        <f t="shared" ref="AC7:AD7" si="2">J7/$S$7</f>
        <v>#DIV/0!</v>
      </c>
      <c r="AD7" s="66" t="e">
        <f t="shared" si="2"/>
        <v>#DIV/0!</v>
      </c>
      <c r="AE7" s="66" t="e">
        <f t="shared" ref="AE7" si="3">L7/$S$7</f>
        <v>#DIV/0!</v>
      </c>
      <c r="AF7" s="66" t="e">
        <f t="shared" ref="AF7" si="4">M7/$S$7</f>
        <v>#DIV/0!</v>
      </c>
      <c r="AG7" s="66" t="e">
        <f t="shared" ref="AG7" si="5">N7/$S$7</f>
        <v>#DIV/0!</v>
      </c>
      <c r="AH7" s="66" t="e">
        <f t="shared" ref="AH7:AK7" si="6">O7/$S$7</f>
        <v>#DIV/0!</v>
      </c>
      <c r="AI7" s="66" t="e">
        <f t="shared" si="6"/>
        <v>#DIV/0!</v>
      </c>
      <c r="AJ7" s="66" t="e">
        <f t="shared" si="6"/>
        <v>#DIV/0!</v>
      </c>
      <c r="AK7" s="66" t="e">
        <f t="shared" si="6"/>
        <v>#DIV/0!</v>
      </c>
    </row>
    <row r="8" spans="1:40" x14ac:dyDescent="0.15">
      <c r="B8" s="141" t="s">
        <v>19</v>
      </c>
      <c r="C8" s="75">
        <f>SUMIF('caseload data'!$A:$A,"Greater Manchester",'caseload data'!E:E)</f>
        <v>0</v>
      </c>
      <c r="D8" s="75">
        <f>SUMIF('caseload data'!$A:$A,"Greater Manchester",'caseload data'!F:F)</f>
        <v>0</v>
      </c>
      <c r="E8" s="75">
        <f>SUMIF('caseload data'!$A:$A,"Greater Manchester",'caseload data'!G:G)</f>
        <v>0</v>
      </c>
      <c r="F8" s="75">
        <f>SUMIF('caseload data'!$A:$A,"Greater Manchester",'caseload data'!H:H)</f>
        <v>0</v>
      </c>
      <c r="G8" s="75">
        <f>SUMIF('caseload data'!$A:$A,"Greater Manchester",'caseload data'!I:I)</f>
        <v>0</v>
      </c>
      <c r="H8" s="75">
        <f>SUMIF('caseload data'!$A:$A,"Greater Manchester",'caseload data'!J:J)</f>
        <v>0</v>
      </c>
      <c r="I8" s="75">
        <f>SUMIF('caseload data'!$A:$A,"Greater Manchester",'caseload data'!K:K)</f>
        <v>0</v>
      </c>
      <c r="J8" s="75">
        <f>SUMIF('caseload data'!$A:$A,"Greater Manchester",'caseload data'!L:L)</f>
        <v>0</v>
      </c>
      <c r="K8" s="75">
        <f>SUMIF('caseload data'!$A:$A,"Greater Manchester",'caseload data'!M:M)</f>
        <v>0</v>
      </c>
      <c r="L8" s="75">
        <f>SUMIF('caseload data'!$A:$A,"Greater Manchester",'caseload data'!N:N)</f>
        <v>0</v>
      </c>
      <c r="M8" s="75">
        <f>SUMIF('caseload data'!$A:$A,"Greater Manchester",'caseload data'!O:O)</f>
        <v>0</v>
      </c>
      <c r="N8" s="75">
        <f>SUMIF('caseload data'!$A:$A,"Greater Manchester",'caseload data'!P:P)</f>
        <v>0</v>
      </c>
      <c r="O8" s="75">
        <f>SUMIF('caseload data'!$A:$A,"Greater Manchester",'caseload data'!Q:Q)</f>
        <v>0</v>
      </c>
      <c r="P8" s="75">
        <f>SUMIF('caseload data'!$A:$A,"Greater Manchester",'caseload data'!R:R)</f>
        <v>0</v>
      </c>
      <c r="Q8" s="75">
        <f>SUMIF('caseload data'!$A:$A,"Greater Manchester",'caseload data'!S:S)</f>
        <v>0</v>
      </c>
      <c r="R8" s="75">
        <f>SUMIF('caseload data'!$A:$A,"Greater Manchester",'caseload data'!T:T)</f>
        <v>0</v>
      </c>
      <c r="S8" s="75">
        <f>SUMIF('caseload data'!A:A,"Greater Manchester",'caseload data'!V:V)</f>
        <v>0</v>
      </c>
      <c r="T8" s="91"/>
      <c r="U8" s="141" t="s">
        <v>19</v>
      </c>
      <c r="V8" s="66" t="e">
        <f>C8/$S$8</f>
        <v>#DIV/0!</v>
      </c>
      <c r="W8" s="66" t="e">
        <f t="shared" ref="W8:AC8" si="7">D8/$S$8</f>
        <v>#DIV/0!</v>
      </c>
      <c r="X8" s="66" t="e">
        <f t="shared" si="7"/>
        <v>#DIV/0!</v>
      </c>
      <c r="Y8" s="66" t="e">
        <f t="shared" si="7"/>
        <v>#DIV/0!</v>
      </c>
      <c r="Z8" s="66" t="e">
        <f t="shared" si="7"/>
        <v>#DIV/0!</v>
      </c>
      <c r="AA8" s="66" t="e">
        <f t="shared" si="7"/>
        <v>#DIV/0!</v>
      </c>
      <c r="AB8" s="66" t="e">
        <f t="shared" si="7"/>
        <v>#DIV/0!</v>
      </c>
      <c r="AC8" s="66" t="e">
        <f t="shared" si="7"/>
        <v>#DIV/0!</v>
      </c>
      <c r="AD8" s="66" t="e">
        <f t="shared" ref="AD8" si="8">K8/$S$8</f>
        <v>#DIV/0!</v>
      </c>
      <c r="AE8" s="66" t="e">
        <f t="shared" ref="AE8" si="9">L8/$S$8</f>
        <v>#DIV/0!</v>
      </c>
      <c r="AF8" s="66" t="e">
        <f t="shared" ref="AF8" si="10">M8/$S$8</f>
        <v>#DIV/0!</v>
      </c>
      <c r="AG8" s="66" t="e">
        <f t="shared" ref="AG8" si="11">N8/$S$8</f>
        <v>#DIV/0!</v>
      </c>
      <c r="AH8" s="66" t="e">
        <f t="shared" ref="AH8" si="12">O8/$S$8</f>
        <v>#DIV/0!</v>
      </c>
      <c r="AI8" s="66" t="e">
        <f t="shared" ref="AI8:AJ8" si="13">P8/$S$8</f>
        <v>#DIV/0!</v>
      </c>
      <c r="AJ8" s="66" t="e">
        <f t="shared" si="13"/>
        <v>#DIV/0!</v>
      </c>
      <c r="AK8" s="66" t="e">
        <f t="shared" ref="AK8" si="14">R8/$S$8</f>
        <v>#DIV/0!</v>
      </c>
    </row>
    <row r="9" spans="1:40" x14ac:dyDescent="0.15">
      <c r="B9" s="141" t="s">
        <v>20</v>
      </c>
      <c r="C9" s="75">
        <f>SUMIF('caseload data'!$A:$A,"Kent Surrey Sussex Region",'caseload data'!E:E)</f>
        <v>0</v>
      </c>
      <c r="D9" s="75">
        <f>SUMIF('caseload data'!$A:$A,"Kent Surrey Sussex Region",'caseload data'!F:F)</f>
        <v>0</v>
      </c>
      <c r="E9" s="75">
        <f>SUMIF('caseload data'!$A:$A,"Kent Surrey Sussex Region",'caseload data'!G:G)</f>
        <v>0</v>
      </c>
      <c r="F9" s="75">
        <f>SUMIF('caseload data'!$A:$A,"Kent Surrey Sussex Region",'caseload data'!H:H)</f>
        <v>0</v>
      </c>
      <c r="G9" s="75">
        <f>SUMIF('caseload data'!$A:$A,"Kent Surrey Sussex Region",'caseload data'!I:I)</f>
        <v>0</v>
      </c>
      <c r="H9" s="75">
        <f>SUMIF('caseload data'!$A:$A,"Kent Surrey Sussex Region",'caseload data'!J:J)</f>
        <v>0</v>
      </c>
      <c r="I9" s="75">
        <f>SUMIF('caseload data'!$A:$A,"Kent Surrey Sussex Region",'caseload data'!K:K)</f>
        <v>0</v>
      </c>
      <c r="J9" s="75">
        <f>SUMIF('caseload data'!$A:$A,"Kent Surrey Sussex Region",'caseload data'!L:L)</f>
        <v>0</v>
      </c>
      <c r="K9" s="75">
        <f>SUMIF('caseload data'!$A:$A,"Kent Surrey Sussex Region",'caseload data'!M:M)</f>
        <v>0</v>
      </c>
      <c r="L9" s="75">
        <f>SUMIF('caseload data'!$A:$A,"Kent Surrey Sussex Region",'caseload data'!N:N)</f>
        <v>0</v>
      </c>
      <c r="M9" s="75">
        <f>SUMIF('caseload data'!$A:$A,"Kent Surrey Sussex Region",'caseload data'!O:O)</f>
        <v>0</v>
      </c>
      <c r="N9" s="75">
        <f>SUMIF('caseload data'!$A:$A,"Kent Surrey Sussex Region",'caseload data'!P:P)</f>
        <v>0</v>
      </c>
      <c r="O9" s="75">
        <f>SUMIF('caseload data'!$A:$A,"Kent Surrey Sussex Region",'caseload data'!Q:Q)</f>
        <v>0</v>
      </c>
      <c r="P9" s="75">
        <f>SUMIF('caseload data'!$A:$A,"Kent Surrey Sussex Region",'caseload data'!R:R)</f>
        <v>0</v>
      </c>
      <c r="Q9" s="75">
        <f>SUMIF('caseload data'!$A:$A,"Kent Surrey Sussex Region",'caseload data'!S:S)</f>
        <v>0</v>
      </c>
      <c r="R9" s="75">
        <f>SUMIF('caseload data'!$A:$A,"Kent Surrey Sussex Region",'caseload data'!T:T)</f>
        <v>0</v>
      </c>
      <c r="S9" s="75">
        <f>SUMIF('caseload data'!A:A,"Kent Surrey Sussex Region",'caseload data'!V:V)</f>
        <v>0</v>
      </c>
      <c r="T9" s="91"/>
      <c r="U9" s="141" t="s">
        <v>20</v>
      </c>
      <c r="V9" s="66" t="e">
        <f>C9/$S$9</f>
        <v>#DIV/0!</v>
      </c>
      <c r="W9" s="66" t="e">
        <f t="shared" ref="W9:AC9" si="15">D9/$S$9</f>
        <v>#DIV/0!</v>
      </c>
      <c r="X9" s="66" t="e">
        <f t="shared" si="15"/>
        <v>#DIV/0!</v>
      </c>
      <c r="Y9" s="66" t="e">
        <f t="shared" si="15"/>
        <v>#DIV/0!</v>
      </c>
      <c r="Z9" s="66" t="e">
        <f t="shared" si="15"/>
        <v>#DIV/0!</v>
      </c>
      <c r="AA9" s="66" t="e">
        <f t="shared" si="15"/>
        <v>#DIV/0!</v>
      </c>
      <c r="AB9" s="66" t="e">
        <f t="shared" si="15"/>
        <v>#DIV/0!</v>
      </c>
      <c r="AC9" s="66" t="e">
        <f t="shared" si="15"/>
        <v>#DIV/0!</v>
      </c>
      <c r="AD9" s="66" t="e">
        <f t="shared" ref="AD9" si="16">K9/$S$9</f>
        <v>#DIV/0!</v>
      </c>
      <c r="AE9" s="66" t="e">
        <f t="shared" ref="AE9" si="17">L9/$S$9</f>
        <v>#DIV/0!</v>
      </c>
      <c r="AF9" s="66" t="e">
        <f t="shared" ref="AF9" si="18">M9/$S$9</f>
        <v>#DIV/0!</v>
      </c>
      <c r="AG9" s="66" t="e">
        <f t="shared" ref="AG9" si="19">N9/$S$9</f>
        <v>#DIV/0!</v>
      </c>
      <c r="AH9" s="66" t="e">
        <f t="shared" ref="AH9" si="20">O9/$S$9</f>
        <v>#DIV/0!</v>
      </c>
      <c r="AI9" s="66" t="e">
        <f t="shared" ref="AI9:AJ9" si="21">P9/$S$9</f>
        <v>#DIV/0!</v>
      </c>
      <c r="AJ9" s="66" t="e">
        <f t="shared" si="21"/>
        <v>#DIV/0!</v>
      </c>
      <c r="AK9" s="66" t="e">
        <f t="shared" ref="AK9" si="22">R9/$S$9</f>
        <v>#DIV/0!</v>
      </c>
    </row>
    <row r="10" spans="1:40" x14ac:dyDescent="0.15">
      <c r="B10" s="141" t="s">
        <v>21</v>
      </c>
      <c r="C10" s="75">
        <f>SUMIF('caseload data'!$A:$A,"London",'caseload data'!E:E)</f>
        <v>0</v>
      </c>
      <c r="D10" s="75">
        <f>SUMIF('caseload data'!$A:$A,"London",'caseload data'!F:F)</f>
        <v>0</v>
      </c>
      <c r="E10" s="75">
        <f>SUMIF('caseload data'!$A:$A,"London",'caseload data'!G:G)</f>
        <v>0</v>
      </c>
      <c r="F10" s="75">
        <f>SUMIF('caseload data'!$A:$A,"London",'caseload data'!H:H)</f>
        <v>0</v>
      </c>
      <c r="G10" s="75">
        <f>SUMIF('caseload data'!$A:$A,"London",'caseload data'!I:I)</f>
        <v>0</v>
      </c>
      <c r="H10" s="75">
        <f>SUMIF('caseload data'!$A:$A,"London",'caseload data'!J:J)</f>
        <v>0</v>
      </c>
      <c r="I10" s="75">
        <f>SUMIF('caseload data'!$A:$A,"London",'caseload data'!K:K)</f>
        <v>0</v>
      </c>
      <c r="J10" s="75">
        <f>SUMIF('caseload data'!$A:$A,"London",'caseload data'!L:L)</f>
        <v>0</v>
      </c>
      <c r="K10" s="75">
        <f>SUMIF('caseload data'!$A:$A,"London",'caseload data'!M:M)</f>
        <v>0</v>
      </c>
      <c r="L10" s="75">
        <f>SUMIF('caseload data'!$A:$A,"London",'caseload data'!N:N)</f>
        <v>0</v>
      </c>
      <c r="M10" s="75">
        <f>SUMIF('caseload data'!$A:$A,"London",'caseload data'!O:O)</f>
        <v>0</v>
      </c>
      <c r="N10" s="75">
        <f>SUMIF('caseload data'!$A:$A,"London",'caseload data'!P:P)</f>
        <v>0</v>
      </c>
      <c r="O10" s="75">
        <f>SUMIF('caseload data'!$A:$A,"London",'caseload data'!Q:Q)</f>
        <v>0</v>
      </c>
      <c r="P10" s="75">
        <f>SUMIF('caseload data'!$A:$A,"London",'caseload data'!R:R)</f>
        <v>0</v>
      </c>
      <c r="Q10" s="75">
        <f>SUMIF('caseload data'!$A:$A,"London",'caseload data'!S:S)</f>
        <v>0</v>
      </c>
      <c r="R10" s="75">
        <f>SUMIF('caseload data'!$A:$A,"London",'caseload data'!T:T)</f>
        <v>0</v>
      </c>
      <c r="S10" s="75">
        <f>SUMIF('caseload data'!A:A,"London",'caseload data'!V:V)</f>
        <v>0</v>
      </c>
      <c r="T10" s="91"/>
      <c r="U10" s="141" t="s">
        <v>21</v>
      </c>
      <c r="V10" s="66" t="e">
        <f>C10/$S$10</f>
        <v>#DIV/0!</v>
      </c>
      <c r="W10" s="66" t="e">
        <f t="shared" ref="W10:AC10" si="23">D10/$S$10</f>
        <v>#DIV/0!</v>
      </c>
      <c r="X10" s="66" t="e">
        <f t="shared" si="23"/>
        <v>#DIV/0!</v>
      </c>
      <c r="Y10" s="66" t="e">
        <f t="shared" si="23"/>
        <v>#DIV/0!</v>
      </c>
      <c r="Z10" s="66" t="e">
        <f t="shared" si="23"/>
        <v>#DIV/0!</v>
      </c>
      <c r="AA10" s="66" t="e">
        <f t="shared" si="23"/>
        <v>#DIV/0!</v>
      </c>
      <c r="AB10" s="66" t="e">
        <f t="shared" si="23"/>
        <v>#DIV/0!</v>
      </c>
      <c r="AC10" s="66" t="e">
        <f t="shared" si="23"/>
        <v>#DIV/0!</v>
      </c>
      <c r="AD10" s="66" t="e">
        <f t="shared" ref="AD10" si="24">K10/$S$10</f>
        <v>#DIV/0!</v>
      </c>
      <c r="AE10" s="66" t="e">
        <f t="shared" ref="AE10" si="25">L10/$S$10</f>
        <v>#DIV/0!</v>
      </c>
      <c r="AF10" s="66" t="e">
        <f t="shared" ref="AF10" si="26">M10/$S$10</f>
        <v>#DIV/0!</v>
      </c>
      <c r="AG10" s="66" t="e">
        <f t="shared" ref="AG10" si="27">N10/$S$10</f>
        <v>#DIV/0!</v>
      </c>
      <c r="AH10" s="66" t="e">
        <f t="shared" ref="AH10" si="28">O10/$S$10</f>
        <v>#DIV/0!</v>
      </c>
      <c r="AI10" s="66" t="e">
        <f t="shared" ref="AI10:AJ10" si="29">P10/$S$10</f>
        <v>#DIV/0!</v>
      </c>
      <c r="AJ10" s="66" t="e">
        <f t="shared" si="29"/>
        <v>#DIV/0!</v>
      </c>
      <c r="AK10" s="66" t="e">
        <f t="shared" ref="AK10" si="30">R10/$S$10</f>
        <v>#DIV/0!</v>
      </c>
    </row>
    <row r="11" spans="1:40" x14ac:dyDescent="0.15">
      <c r="B11" s="141" t="s">
        <v>22</v>
      </c>
      <c r="C11" s="75">
        <f>SUMIF('caseload data'!$A:$A,"North East Region",'caseload data'!E:E)</f>
        <v>0</v>
      </c>
      <c r="D11" s="75">
        <f>SUMIF('caseload data'!$A:$A,"North East Region",'caseload data'!F:F)</f>
        <v>0</v>
      </c>
      <c r="E11" s="75">
        <f>SUMIF('caseload data'!$A:$A,"North East Region",'caseload data'!G:G)</f>
        <v>0</v>
      </c>
      <c r="F11" s="75">
        <f>SUMIF('caseload data'!$A:$A,"North East Region",'caseload data'!H:H)</f>
        <v>0</v>
      </c>
      <c r="G11" s="75">
        <f>SUMIF('caseload data'!$A:$A,"North East Region",'caseload data'!I:I)</f>
        <v>0</v>
      </c>
      <c r="H11" s="75">
        <f>SUMIF('caseload data'!$A:$A,"North East Region",'caseload data'!J:J)</f>
        <v>0</v>
      </c>
      <c r="I11" s="75">
        <f>SUMIF('caseload data'!$A:$A,"North East Region",'caseload data'!K:K)</f>
        <v>0</v>
      </c>
      <c r="J11" s="75">
        <f>SUMIF('caseload data'!$A:$A,"North East Region",'caseload data'!L:L)</f>
        <v>0</v>
      </c>
      <c r="K11" s="75">
        <f>SUMIF('caseload data'!$A:$A,"North East Region",'caseload data'!M:M)</f>
        <v>0</v>
      </c>
      <c r="L11" s="75">
        <f>SUMIF('caseload data'!$A:$A,"North East Region",'caseload data'!N:N)</f>
        <v>0</v>
      </c>
      <c r="M11" s="75">
        <f>SUMIF('caseload data'!$A:$A,"North East Region",'caseload data'!O:O)</f>
        <v>0</v>
      </c>
      <c r="N11" s="75">
        <f>SUMIF('caseload data'!$A:$A,"North East Region",'caseload data'!P:P)</f>
        <v>0</v>
      </c>
      <c r="O11" s="75">
        <f>SUMIF('caseload data'!$A:$A,"North East Region",'caseload data'!Q:Q)</f>
        <v>0</v>
      </c>
      <c r="P11" s="75">
        <f>SUMIF('caseload data'!$A:$A,"North East Region",'caseload data'!R:R)</f>
        <v>0</v>
      </c>
      <c r="Q11" s="75">
        <f>SUMIF('caseload data'!$A:$A,"North East Region",'caseload data'!S:S)</f>
        <v>0</v>
      </c>
      <c r="R11" s="75">
        <f>SUMIF('caseload data'!$A:$A,"North East Region",'caseload data'!T:T)</f>
        <v>0</v>
      </c>
      <c r="S11" s="75">
        <f>SUMIF('caseload data'!A:A,"North East Region",'caseload data'!V:V)</f>
        <v>0</v>
      </c>
      <c r="T11" s="91"/>
      <c r="U11" s="141" t="s">
        <v>22</v>
      </c>
      <c r="V11" s="66" t="e">
        <f>C11/$S$11</f>
        <v>#DIV/0!</v>
      </c>
      <c r="W11" s="66" t="e">
        <f t="shared" ref="W11:AC11" si="31">D11/$S$11</f>
        <v>#DIV/0!</v>
      </c>
      <c r="X11" s="66" t="e">
        <f t="shared" si="31"/>
        <v>#DIV/0!</v>
      </c>
      <c r="Y11" s="66" t="e">
        <f t="shared" si="31"/>
        <v>#DIV/0!</v>
      </c>
      <c r="Z11" s="66" t="e">
        <f t="shared" si="31"/>
        <v>#DIV/0!</v>
      </c>
      <c r="AA11" s="66" t="e">
        <f t="shared" si="31"/>
        <v>#DIV/0!</v>
      </c>
      <c r="AB11" s="66" t="e">
        <f t="shared" si="31"/>
        <v>#DIV/0!</v>
      </c>
      <c r="AC11" s="66" t="e">
        <f t="shared" si="31"/>
        <v>#DIV/0!</v>
      </c>
      <c r="AD11" s="66" t="e">
        <f t="shared" ref="AD11" si="32">K11/$S$11</f>
        <v>#DIV/0!</v>
      </c>
      <c r="AE11" s="66" t="e">
        <f t="shared" ref="AE11" si="33">L11/$S$11</f>
        <v>#DIV/0!</v>
      </c>
      <c r="AF11" s="66" t="e">
        <f t="shared" ref="AF11" si="34">M11/$S$11</f>
        <v>#DIV/0!</v>
      </c>
      <c r="AG11" s="66" t="e">
        <f t="shared" ref="AG11" si="35">N11/$S$11</f>
        <v>#DIV/0!</v>
      </c>
      <c r="AH11" s="66" t="e">
        <f t="shared" ref="AH11" si="36">O11/$S$11</f>
        <v>#DIV/0!</v>
      </c>
      <c r="AI11" s="66" t="e">
        <f t="shared" ref="AI11:AJ11" si="37">P11/$S$11</f>
        <v>#DIV/0!</v>
      </c>
      <c r="AJ11" s="66" t="e">
        <f t="shared" si="37"/>
        <v>#DIV/0!</v>
      </c>
      <c r="AK11" s="66" t="e">
        <f t="shared" ref="AK11" si="38">R11/$S$11</f>
        <v>#DIV/0!</v>
      </c>
    </row>
    <row r="12" spans="1:40" x14ac:dyDescent="0.15">
      <c r="B12" s="141" t="s">
        <v>23</v>
      </c>
      <c r="C12" s="75">
        <f>SUMIF('caseload data'!$A:$A,"North West Region",'caseload data'!E:E)</f>
        <v>0</v>
      </c>
      <c r="D12" s="75">
        <f>SUMIF('caseload data'!$A:$A,"North West Region",'caseload data'!F:F)</f>
        <v>0</v>
      </c>
      <c r="E12" s="75">
        <f>SUMIF('caseload data'!$A:$A,"North West Region",'caseload data'!G:G)</f>
        <v>0</v>
      </c>
      <c r="F12" s="75">
        <f>SUMIF('caseload data'!$A:$A,"North West Region",'caseload data'!H:H)</f>
        <v>0</v>
      </c>
      <c r="G12" s="75">
        <f>SUMIF('caseload data'!$A:$A,"North West Region",'caseload data'!I:I)</f>
        <v>0</v>
      </c>
      <c r="H12" s="75">
        <f>SUMIF('caseload data'!$A:$A,"North West Region",'caseload data'!J:J)</f>
        <v>0</v>
      </c>
      <c r="I12" s="75">
        <f>SUMIF('caseload data'!$A:$A,"North West Region",'caseload data'!K:K)</f>
        <v>0</v>
      </c>
      <c r="J12" s="75">
        <f>SUMIF('caseload data'!$A:$A,"North West Region",'caseload data'!L:L)</f>
        <v>0</v>
      </c>
      <c r="K12" s="75">
        <f>SUMIF('caseload data'!$A:$A,"North West Region",'caseload data'!M:M)</f>
        <v>0</v>
      </c>
      <c r="L12" s="75">
        <f>SUMIF('caseload data'!$A:$A,"North West Region",'caseload data'!N:N)</f>
        <v>0</v>
      </c>
      <c r="M12" s="75">
        <f>SUMIF('caseload data'!$A:$A,"North West Region",'caseload data'!O:O)</f>
        <v>0</v>
      </c>
      <c r="N12" s="75">
        <f>SUMIF('caseload data'!$A:$A,"North West Region",'caseload data'!P:P)</f>
        <v>0</v>
      </c>
      <c r="O12" s="75">
        <f>SUMIF('caseload data'!$A:$A,"North West Region",'caseload data'!Q:Q)</f>
        <v>0</v>
      </c>
      <c r="P12" s="75">
        <f>SUMIF('caseload data'!$A:$A,"North West Region",'caseload data'!R:R)</f>
        <v>0</v>
      </c>
      <c r="Q12" s="75">
        <f>SUMIF('caseload data'!$A:$A,"North West Region",'caseload data'!S:S)</f>
        <v>0</v>
      </c>
      <c r="R12" s="75">
        <f>SUMIF('caseload data'!$A:$A,"North West Region",'caseload data'!T:T)</f>
        <v>0</v>
      </c>
      <c r="S12" s="75">
        <f>SUMIF('caseload data'!A:A,"North West Region",'caseload data'!V:V)</f>
        <v>0</v>
      </c>
      <c r="T12" s="91"/>
      <c r="U12" s="141" t="s">
        <v>23</v>
      </c>
      <c r="V12" s="66" t="e">
        <f>C12/$S$12</f>
        <v>#DIV/0!</v>
      </c>
      <c r="W12" s="66" t="e">
        <f t="shared" ref="W12:AC12" si="39">D12/$S$12</f>
        <v>#DIV/0!</v>
      </c>
      <c r="X12" s="66" t="e">
        <f t="shared" si="39"/>
        <v>#DIV/0!</v>
      </c>
      <c r="Y12" s="66" t="e">
        <f t="shared" si="39"/>
        <v>#DIV/0!</v>
      </c>
      <c r="Z12" s="66" t="e">
        <f t="shared" si="39"/>
        <v>#DIV/0!</v>
      </c>
      <c r="AA12" s="66" t="e">
        <f t="shared" si="39"/>
        <v>#DIV/0!</v>
      </c>
      <c r="AB12" s="66" t="e">
        <f t="shared" si="39"/>
        <v>#DIV/0!</v>
      </c>
      <c r="AC12" s="66" t="e">
        <f t="shared" si="39"/>
        <v>#DIV/0!</v>
      </c>
      <c r="AD12" s="66" t="e">
        <f t="shared" ref="AD12" si="40">K12/$S$12</f>
        <v>#DIV/0!</v>
      </c>
      <c r="AE12" s="66" t="e">
        <f t="shared" ref="AE12" si="41">L12/$S$12</f>
        <v>#DIV/0!</v>
      </c>
      <c r="AF12" s="66" t="e">
        <f t="shared" ref="AF12" si="42">M12/$S$12</f>
        <v>#DIV/0!</v>
      </c>
      <c r="AG12" s="66" t="e">
        <f t="shared" ref="AG12" si="43">N12/$S$12</f>
        <v>#DIV/0!</v>
      </c>
      <c r="AH12" s="66" t="e">
        <f t="shared" ref="AH12" si="44">O12/$S$12</f>
        <v>#DIV/0!</v>
      </c>
      <c r="AI12" s="66" t="e">
        <f t="shared" ref="AI12:AJ12" si="45">P12/$S$12</f>
        <v>#DIV/0!</v>
      </c>
      <c r="AJ12" s="66" t="e">
        <f t="shared" si="45"/>
        <v>#DIV/0!</v>
      </c>
      <c r="AK12" s="66" t="e">
        <f t="shared" ref="AK12" si="46">R12/$S$12</f>
        <v>#DIV/0!</v>
      </c>
    </row>
    <row r="13" spans="1:40" x14ac:dyDescent="0.15">
      <c r="B13" s="141" t="s">
        <v>24</v>
      </c>
      <c r="C13" s="75">
        <f>SUMIF('caseload data'!$A:$A,"South Central",'caseload data'!E:E)</f>
        <v>0</v>
      </c>
      <c r="D13" s="75">
        <f>SUMIF('caseload data'!$A:$A,"South Central",'caseload data'!F:F)</f>
        <v>0</v>
      </c>
      <c r="E13" s="75">
        <f>SUMIF('caseload data'!$A:$A,"South Central",'caseload data'!G:G)</f>
        <v>0</v>
      </c>
      <c r="F13" s="75">
        <f>SUMIF('caseload data'!$A:$A,"South Central",'caseload data'!H:H)</f>
        <v>0</v>
      </c>
      <c r="G13" s="75">
        <f>SUMIF('caseload data'!$A:$A,"South Central",'caseload data'!I:I)</f>
        <v>0</v>
      </c>
      <c r="H13" s="75">
        <f>SUMIF('caseload data'!$A:$A,"South Central",'caseload data'!J:J)</f>
        <v>0</v>
      </c>
      <c r="I13" s="75">
        <f>SUMIF('caseload data'!$A:$A,"South Central",'caseload data'!K:K)</f>
        <v>0</v>
      </c>
      <c r="J13" s="75">
        <f>SUMIF('caseload data'!$A:$A,"South Central",'caseload data'!L:L)</f>
        <v>0</v>
      </c>
      <c r="K13" s="75">
        <f>SUMIF('caseload data'!$A:$A,"South Central",'caseload data'!M:M)</f>
        <v>0</v>
      </c>
      <c r="L13" s="75">
        <f>SUMIF('caseload data'!$A:$A,"South Central",'caseload data'!N:N)</f>
        <v>0</v>
      </c>
      <c r="M13" s="75">
        <f>SUMIF('caseload data'!$A:$A,"South Central",'caseload data'!O:O)</f>
        <v>0</v>
      </c>
      <c r="N13" s="75">
        <f>SUMIF('caseload data'!$A:$A,"South Central",'caseload data'!P:P)</f>
        <v>0</v>
      </c>
      <c r="O13" s="75">
        <f>SUMIF('caseload data'!$A:$A,"South Central",'caseload data'!Q:Q)</f>
        <v>0</v>
      </c>
      <c r="P13" s="75">
        <f>SUMIF('caseload data'!$A:$A,"South Central",'caseload data'!R:R)</f>
        <v>0</v>
      </c>
      <c r="Q13" s="75">
        <f>SUMIF('caseload data'!$A:$A,"South Central",'caseload data'!S:S)</f>
        <v>0</v>
      </c>
      <c r="R13" s="75">
        <f>SUMIF('caseload data'!$A:$A,"South Central",'caseload data'!T:T)</f>
        <v>0</v>
      </c>
      <c r="S13" s="75">
        <f>SUMIF('caseload data'!A:A,"South Central",'caseload data'!V:V)</f>
        <v>0</v>
      </c>
      <c r="T13" s="91"/>
      <c r="U13" s="141" t="s">
        <v>24</v>
      </c>
      <c r="V13" s="66" t="e">
        <f t="shared" ref="V13:AK13" si="47">C13/$S$13</f>
        <v>#DIV/0!</v>
      </c>
      <c r="W13" s="66" t="e">
        <f t="shared" si="47"/>
        <v>#DIV/0!</v>
      </c>
      <c r="X13" s="66" t="e">
        <f t="shared" si="47"/>
        <v>#DIV/0!</v>
      </c>
      <c r="Y13" s="66" t="e">
        <f t="shared" si="47"/>
        <v>#DIV/0!</v>
      </c>
      <c r="Z13" s="66" t="e">
        <f t="shared" si="47"/>
        <v>#DIV/0!</v>
      </c>
      <c r="AA13" s="66" t="e">
        <f t="shared" si="47"/>
        <v>#DIV/0!</v>
      </c>
      <c r="AB13" s="66" t="e">
        <f t="shared" si="47"/>
        <v>#DIV/0!</v>
      </c>
      <c r="AC13" s="66" t="e">
        <f t="shared" si="47"/>
        <v>#DIV/0!</v>
      </c>
      <c r="AD13" s="66" t="e">
        <f t="shared" si="47"/>
        <v>#DIV/0!</v>
      </c>
      <c r="AE13" s="66" t="e">
        <f t="shared" si="47"/>
        <v>#DIV/0!</v>
      </c>
      <c r="AF13" s="66" t="e">
        <f t="shared" si="47"/>
        <v>#DIV/0!</v>
      </c>
      <c r="AG13" s="66" t="e">
        <f t="shared" si="47"/>
        <v>#DIV/0!</v>
      </c>
      <c r="AH13" s="66" t="e">
        <f t="shared" si="47"/>
        <v>#DIV/0!</v>
      </c>
      <c r="AI13" s="66" t="e">
        <f t="shared" si="47"/>
        <v>#DIV/0!</v>
      </c>
      <c r="AJ13" s="66" t="e">
        <f t="shared" si="47"/>
        <v>#DIV/0!</v>
      </c>
      <c r="AK13" s="66" t="e">
        <f t="shared" si="47"/>
        <v>#DIV/0!</v>
      </c>
    </row>
    <row r="14" spans="1:40" x14ac:dyDescent="0.15">
      <c r="B14" s="141" t="s">
        <v>25</v>
      </c>
      <c r="C14" s="75">
        <f>SUMIF('caseload data'!$A:$A,"South West",'caseload data'!E:E)</f>
        <v>0</v>
      </c>
      <c r="D14" s="75">
        <f>SUMIF('caseload data'!$A:$A,"South West",'caseload data'!F:F)</f>
        <v>0</v>
      </c>
      <c r="E14" s="75">
        <f>SUMIF('caseload data'!$A:$A,"South West",'caseload data'!G:G)</f>
        <v>0</v>
      </c>
      <c r="F14" s="75">
        <f>SUMIF('caseload data'!$A:$A,"South West",'caseload data'!H:H)</f>
        <v>0</v>
      </c>
      <c r="G14" s="75">
        <f>SUMIF('caseload data'!$A:$A,"South West",'caseload data'!I:I)</f>
        <v>0</v>
      </c>
      <c r="H14" s="75">
        <f>SUMIF('caseload data'!$A:$A,"South West",'caseload data'!J:J)</f>
        <v>0</v>
      </c>
      <c r="I14" s="75">
        <f>SUMIF('caseload data'!$A:$A,"South West",'caseload data'!K:K)</f>
        <v>0</v>
      </c>
      <c r="J14" s="75">
        <f>SUMIF('caseload data'!$A:$A,"South West",'caseload data'!L:L)</f>
        <v>0</v>
      </c>
      <c r="K14" s="75">
        <f>SUMIF('caseload data'!$A:$A,"South West",'caseload data'!M:M)</f>
        <v>0</v>
      </c>
      <c r="L14" s="75">
        <f>SUMIF('caseload data'!$A:$A,"South West",'caseload data'!N:N)</f>
        <v>0</v>
      </c>
      <c r="M14" s="75">
        <f>SUMIF('caseload data'!$A:$A,"South West",'caseload data'!O:O)</f>
        <v>0</v>
      </c>
      <c r="N14" s="75">
        <f>SUMIF('caseload data'!$A:$A,"South West",'caseload data'!P:P)</f>
        <v>0</v>
      </c>
      <c r="O14" s="75">
        <f>SUMIF('caseload data'!$A:$A,"South West",'caseload data'!Q:Q)</f>
        <v>0</v>
      </c>
      <c r="P14" s="75">
        <f>SUMIF('caseload data'!$A:$A,"South West",'caseload data'!R:R)</f>
        <v>0</v>
      </c>
      <c r="Q14" s="75">
        <f>SUMIF('caseload data'!$A:$A,"South West",'caseload data'!S:S)</f>
        <v>0</v>
      </c>
      <c r="R14" s="75">
        <f>SUMIF('caseload data'!$A:$A,"South West",'caseload data'!T:T)</f>
        <v>0</v>
      </c>
      <c r="S14" s="75">
        <f>SUMIF('caseload data'!A:A,"South West",'caseload data'!V:V)</f>
        <v>0</v>
      </c>
      <c r="T14" s="91"/>
      <c r="U14" s="141" t="s">
        <v>25</v>
      </c>
      <c r="V14" s="66" t="e">
        <f>C14/$S$14</f>
        <v>#DIV/0!</v>
      </c>
      <c r="W14" s="66" t="e">
        <f t="shared" ref="W14:AC14" si="48">D14/$S$14</f>
        <v>#DIV/0!</v>
      </c>
      <c r="X14" s="66" t="e">
        <f t="shared" si="48"/>
        <v>#DIV/0!</v>
      </c>
      <c r="Y14" s="66" t="e">
        <f t="shared" si="48"/>
        <v>#DIV/0!</v>
      </c>
      <c r="Z14" s="66" t="e">
        <f t="shared" si="48"/>
        <v>#DIV/0!</v>
      </c>
      <c r="AA14" s="66" t="e">
        <f t="shared" si="48"/>
        <v>#DIV/0!</v>
      </c>
      <c r="AB14" s="66" t="e">
        <f t="shared" si="48"/>
        <v>#DIV/0!</v>
      </c>
      <c r="AC14" s="66" t="e">
        <f t="shared" si="48"/>
        <v>#DIV/0!</v>
      </c>
      <c r="AD14" s="66" t="e">
        <f t="shared" ref="AD14" si="49">K14/$S$14</f>
        <v>#DIV/0!</v>
      </c>
      <c r="AE14" s="66" t="e">
        <f t="shared" ref="AE14" si="50">L14/$S$14</f>
        <v>#DIV/0!</v>
      </c>
      <c r="AF14" s="66" t="e">
        <f t="shared" ref="AF14" si="51">M14/$S$14</f>
        <v>#DIV/0!</v>
      </c>
      <c r="AG14" s="66" t="e">
        <f t="shared" ref="AG14" si="52">N14/$S$14</f>
        <v>#DIV/0!</v>
      </c>
      <c r="AH14" s="66" t="e">
        <f t="shared" ref="AH14" si="53">O14/$S$14</f>
        <v>#DIV/0!</v>
      </c>
      <c r="AI14" s="66" t="e">
        <f t="shared" ref="AI14:AJ14" si="54">P14/$S$14</f>
        <v>#DIV/0!</v>
      </c>
      <c r="AJ14" s="66" t="e">
        <f t="shared" si="54"/>
        <v>#DIV/0!</v>
      </c>
      <c r="AK14" s="66" t="e">
        <f t="shared" ref="AK14" si="55">R14/$S$14</f>
        <v>#DIV/0!</v>
      </c>
    </row>
    <row r="15" spans="1:40" x14ac:dyDescent="0.15">
      <c r="B15" s="141" t="s">
        <v>26</v>
      </c>
      <c r="C15" s="75">
        <f>SUMIF('caseload data'!$A:$A,"Wales",'caseload data'!E:E)</f>
        <v>0</v>
      </c>
      <c r="D15" s="75">
        <f>SUMIF('caseload data'!$A:$A,"Wales",'caseload data'!F:F)</f>
        <v>0</v>
      </c>
      <c r="E15" s="75">
        <f>SUMIF('caseload data'!$A:$A,"Wales",'caseload data'!G:G)</f>
        <v>0</v>
      </c>
      <c r="F15" s="75">
        <f>SUMIF('caseload data'!$A:$A,"Wales",'caseload data'!H:H)</f>
        <v>0</v>
      </c>
      <c r="G15" s="75">
        <f>SUMIF('caseload data'!$A:$A,"Wales",'caseload data'!I:I)</f>
        <v>0</v>
      </c>
      <c r="H15" s="75">
        <f>SUMIF('caseload data'!$A:$A,"Wales",'caseload data'!J:J)</f>
        <v>0</v>
      </c>
      <c r="I15" s="75">
        <f>SUMIF('caseload data'!$A:$A,"Wales",'caseload data'!K:K)</f>
        <v>0</v>
      </c>
      <c r="J15" s="75">
        <f>SUMIF('caseload data'!$A:$A,"Wales",'caseload data'!L:L)</f>
        <v>0</v>
      </c>
      <c r="K15" s="75">
        <f>SUMIF('caseload data'!$A:$A,"Wales",'caseload data'!M:M)</f>
        <v>0</v>
      </c>
      <c r="L15" s="75">
        <f>SUMIF('caseload data'!$A:$A,"Wales",'caseload data'!N:N)</f>
        <v>0</v>
      </c>
      <c r="M15" s="75">
        <f>SUMIF('caseload data'!$A:$A,"Wales",'caseload data'!O:O)</f>
        <v>0</v>
      </c>
      <c r="N15" s="75">
        <f>SUMIF('caseload data'!$A:$A,"Wales",'caseload data'!P:P)</f>
        <v>0</v>
      </c>
      <c r="O15" s="75">
        <f>SUMIF('caseload data'!$A:$A,"Wales",'caseload data'!Q:Q)</f>
        <v>0</v>
      </c>
      <c r="P15" s="75">
        <f>SUMIF('caseload data'!$A:$A,"Wales",'caseload data'!R:R)</f>
        <v>0</v>
      </c>
      <c r="Q15" s="75">
        <f>SUMIF('caseload data'!$A:$A,"Wales",'caseload data'!S:S)</f>
        <v>0</v>
      </c>
      <c r="R15" s="75">
        <f>SUMIF('caseload data'!$A:$A,"Wales",'caseload data'!T:T)</f>
        <v>0</v>
      </c>
      <c r="S15" s="75">
        <f>SUMIF('caseload data'!A:A,"Wales",'caseload data'!V:V)</f>
        <v>0</v>
      </c>
      <c r="T15" s="91"/>
      <c r="U15" s="141" t="s">
        <v>26</v>
      </c>
      <c r="V15" s="66" t="e">
        <f>C15/$S$15</f>
        <v>#DIV/0!</v>
      </c>
      <c r="W15" s="66" t="e">
        <f t="shared" ref="W15:AC15" si="56">D15/$S$15</f>
        <v>#DIV/0!</v>
      </c>
      <c r="X15" s="66" t="e">
        <f t="shared" si="56"/>
        <v>#DIV/0!</v>
      </c>
      <c r="Y15" s="66" t="e">
        <f t="shared" si="56"/>
        <v>#DIV/0!</v>
      </c>
      <c r="Z15" s="66" t="e">
        <f t="shared" si="56"/>
        <v>#DIV/0!</v>
      </c>
      <c r="AA15" s="66" t="e">
        <f t="shared" si="56"/>
        <v>#DIV/0!</v>
      </c>
      <c r="AB15" s="66" t="e">
        <f t="shared" si="56"/>
        <v>#DIV/0!</v>
      </c>
      <c r="AC15" s="66" t="e">
        <f t="shared" si="56"/>
        <v>#DIV/0!</v>
      </c>
      <c r="AD15" s="66" t="e">
        <f t="shared" ref="AD15" si="57">K15/$S$15</f>
        <v>#DIV/0!</v>
      </c>
      <c r="AE15" s="66" t="e">
        <f t="shared" ref="AE15" si="58">L15/$S$15</f>
        <v>#DIV/0!</v>
      </c>
      <c r="AF15" s="66" t="e">
        <f t="shared" ref="AF15" si="59">M15/$S$15</f>
        <v>#DIV/0!</v>
      </c>
      <c r="AG15" s="66" t="e">
        <f t="shared" ref="AG15" si="60">N15/$S$15</f>
        <v>#DIV/0!</v>
      </c>
      <c r="AH15" s="66" t="e">
        <f t="shared" ref="AH15" si="61">O15/$S$15</f>
        <v>#DIV/0!</v>
      </c>
      <c r="AI15" s="66" t="e">
        <f t="shared" ref="AI15:AJ15" si="62">P15/$S$15</f>
        <v>#DIV/0!</v>
      </c>
      <c r="AJ15" s="66" t="e">
        <f t="shared" si="62"/>
        <v>#DIV/0!</v>
      </c>
      <c r="AK15" s="66" t="e">
        <f t="shared" ref="AK15" si="63">R15/$S$15</f>
        <v>#DIV/0!</v>
      </c>
    </row>
    <row r="16" spans="1:40" x14ac:dyDescent="0.15">
      <c r="B16" s="141" t="s">
        <v>27</v>
      </c>
      <c r="C16" s="75">
        <f>SUMIF('caseload data'!$A:$A,"West Midlands Region",'caseload data'!E:E)</f>
        <v>0</v>
      </c>
      <c r="D16" s="75">
        <f>SUMIF('caseload data'!$A:$A,"West Midlands Region",'caseload data'!F:F)</f>
        <v>0</v>
      </c>
      <c r="E16" s="75">
        <f>SUMIF('caseload data'!$A:$A,"West Midlands Region",'caseload data'!G:G)</f>
        <v>0</v>
      </c>
      <c r="F16" s="75">
        <f>SUMIF('caseload data'!$A:$A,"West Midlands Region",'caseload data'!H:H)</f>
        <v>0</v>
      </c>
      <c r="G16" s="75">
        <f>SUMIF('caseload data'!$A:$A,"West Midlands Region",'caseload data'!I:I)</f>
        <v>0</v>
      </c>
      <c r="H16" s="75">
        <f>SUMIF('caseload data'!$A:$A,"West Midlands Region",'caseload data'!J:J)</f>
        <v>0</v>
      </c>
      <c r="I16" s="75">
        <f>SUMIF('caseload data'!$A:$A,"West Midlands Region",'caseload data'!K:K)</f>
        <v>0</v>
      </c>
      <c r="J16" s="75">
        <f>SUMIF('caseload data'!$A:$A,"West Midlands Region",'caseload data'!L:L)</f>
        <v>0</v>
      </c>
      <c r="K16" s="75">
        <f>SUMIF('caseload data'!$A:$A,"West Midlands Region",'caseload data'!M:M)</f>
        <v>0</v>
      </c>
      <c r="L16" s="75">
        <f>SUMIF('caseload data'!$A:$A,"West Midlands Region",'caseload data'!N:N)</f>
        <v>0</v>
      </c>
      <c r="M16" s="75">
        <f>SUMIF('caseload data'!$A:$A,"West Midlands Region",'caseload data'!O:O)</f>
        <v>0</v>
      </c>
      <c r="N16" s="75">
        <f>SUMIF('caseload data'!$A:$A,"West Midlands Region",'caseload data'!P:P)</f>
        <v>0</v>
      </c>
      <c r="O16" s="75">
        <f>SUMIF('caseload data'!$A:$A,"West Midlands Region",'caseload data'!Q:Q)</f>
        <v>0</v>
      </c>
      <c r="P16" s="75">
        <f>SUMIF('caseload data'!$A:$A,"West Midlands Region",'caseload data'!R:R)</f>
        <v>0</v>
      </c>
      <c r="Q16" s="75">
        <f>SUMIF('caseload data'!$A:$A,"West Midlands Region",'caseload data'!S:S)</f>
        <v>0</v>
      </c>
      <c r="R16" s="75">
        <f>SUMIF('caseload data'!$A:$A,"West Midlands Region",'caseload data'!T:T)</f>
        <v>0</v>
      </c>
      <c r="S16" s="75">
        <f>SUMIF('caseload data'!A:A,"West Midlands Region",'caseload data'!V:V)</f>
        <v>0</v>
      </c>
      <c r="T16" s="91"/>
      <c r="U16" s="141" t="s">
        <v>27</v>
      </c>
      <c r="V16" s="66" t="e">
        <f>C16/$S$16</f>
        <v>#DIV/0!</v>
      </c>
      <c r="W16" s="66" t="e">
        <f t="shared" ref="W16:AC16" si="64">D16/$S$16</f>
        <v>#DIV/0!</v>
      </c>
      <c r="X16" s="66" t="e">
        <f t="shared" si="64"/>
        <v>#DIV/0!</v>
      </c>
      <c r="Y16" s="66" t="e">
        <f t="shared" si="64"/>
        <v>#DIV/0!</v>
      </c>
      <c r="Z16" s="66" t="e">
        <f t="shared" si="64"/>
        <v>#DIV/0!</v>
      </c>
      <c r="AA16" s="66" t="e">
        <f t="shared" si="64"/>
        <v>#DIV/0!</v>
      </c>
      <c r="AB16" s="66" t="e">
        <f t="shared" si="64"/>
        <v>#DIV/0!</v>
      </c>
      <c r="AC16" s="66" t="e">
        <f t="shared" si="64"/>
        <v>#DIV/0!</v>
      </c>
      <c r="AD16" s="66" t="e">
        <f t="shared" ref="AD16" si="65">K16/$S$16</f>
        <v>#DIV/0!</v>
      </c>
      <c r="AE16" s="66" t="e">
        <f t="shared" ref="AE16" si="66">L16/$S$16</f>
        <v>#DIV/0!</v>
      </c>
      <c r="AF16" s="66" t="e">
        <f t="shared" ref="AF16" si="67">M16/$S$16</f>
        <v>#DIV/0!</v>
      </c>
      <c r="AG16" s="66" t="e">
        <f t="shared" ref="AG16" si="68">N16/$S$16</f>
        <v>#DIV/0!</v>
      </c>
      <c r="AH16" s="66" t="e">
        <f t="shared" ref="AH16" si="69">O16/$S$16</f>
        <v>#DIV/0!</v>
      </c>
      <c r="AI16" s="66" t="e">
        <f t="shared" ref="AI16:AJ16" si="70">P16/$S$16</f>
        <v>#DIV/0!</v>
      </c>
      <c r="AJ16" s="66" t="e">
        <f t="shared" si="70"/>
        <v>#DIV/0!</v>
      </c>
      <c r="AK16" s="66" t="e">
        <f t="shared" ref="AK16" si="71">R16/$S$16</f>
        <v>#DIV/0!</v>
      </c>
    </row>
    <row r="17" spans="2:37" x14ac:dyDescent="0.15">
      <c r="B17" s="141" t="s">
        <v>28</v>
      </c>
      <c r="C17" s="75">
        <f>SUMIF('caseload data'!$A:$A,"Yorkshire and The Humber",'caseload data'!E:E)</f>
        <v>0</v>
      </c>
      <c r="D17" s="75">
        <f>SUMIF('caseload data'!$A:$A,"Yorkshire and The Humber",'caseload data'!F:F)</f>
        <v>0</v>
      </c>
      <c r="E17" s="75">
        <f>SUMIF('caseload data'!$A:$A,"Yorkshire and The Humber",'caseload data'!G:G)</f>
        <v>0</v>
      </c>
      <c r="F17" s="75">
        <f>SUMIF('caseload data'!$A:$A,"Yorkshire and The Humber",'caseload data'!H:H)</f>
        <v>0</v>
      </c>
      <c r="G17" s="75">
        <f>SUMIF('caseload data'!$A:$A,"Yorkshire and The Humber",'caseload data'!I:I)</f>
        <v>0</v>
      </c>
      <c r="H17" s="75">
        <f>SUMIF('caseload data'!$A:$A,"Yorkshire and The Humber",'caseload data'!J:J)</f>
        <v>0</v>
      </c>
      <c r="I17" s="75">
        <f>SUMIF('caseload data'!$A:$A,"Yorkshire and The Humber",'caseload data'!K:K)</f>
        <v>0</v>
      </c>
      <c r="J17" s="75">
        <f>SUMIF('caseload data'!$A:$A,"Yorkshire and The Humber",'caseload data'!L:L)</f>
        <v>0</v>
      </c>
      <c r="K17" s="75">
        <f>SUMIF('caseload data'!$A:$A,"Yorkshire and The Humber",'caseload data'!M:M)</f>
        <v>0</v>
      </c>
      <c r="L17" s="75">
        <f>SUMIF('caseload data'!$A:$A,"Yorkshire and The Humber",'caseload data'!N:N)</f>
        <v>0</v>
      </c>
      <c r="M17" s="75">
        <f>SUMIF('caseload data'!$A:$A,"Yorkshire and The Humber",'caseload data'!O:O)</f>
        <v>0</v>
      </c>
      <c r="N17" s="75">
        <f>SUMIF('caseload data'!$A:$A,"Yorkshire and The Humber",'caseload data'!P:P)</f>
        <v>0</v>
      </c>
      <c r="O17" s="75">
        <f>SUMIF('caseload data'!$A:$A,"Yorkshire and The Humber",'caseload data'!Q:Q)</f>
        <v>0</v>
      </c>
      <c r="P17" s="75">
        <f>SUMIF('caseload data'!$A:$A,"Yorkshire and The Humber",'caseload data'!R:R)</f>
        <v>0</v>
      </c>
      <c r="Q17" s="75">
        <f>SUMIF('caseload data'!$A:$A,"Yorkshire and The Humber",'caseload data'!S:S)</f>
        <v>0</v>
      </c>
      <c r="R17" s="75">
        <f>SUMIF('caseload data'!$A:$A,"Yorkshire and The Humber",'caseload data'!T:T)</f>
        <v>0</v>
      </c>
      <c r="S17" s="75">
        <f>SUMIF('caseload data'!A:A,"Yorkshire and The Humber",'caseload data'!V:V)</f>
        <v>0</v>
      </c>
      <c r="T17" s="91"/>
      <c r="U17" s="141" t="s">
        <v>28</v>
      </c>
      <c r="V17" s="66" t="e">
        <f>C17/$S$17</f>
        <v>#DIV/0!</v>
      </c>
      <c r="W17" s="66" t="e">
        <f t="shared" ref="W17:AC17" si="72">D17/$S$17</f>
        <v>#DIV/0!</v>
      </c>
      <c r="X17" s="66" t="e">
        <f t="shared" si="72"/>
        <v>#DIV/0!</v>
      </c>
      <c r="Y17" s="66" t="e">
        <f t="shared" si="72"/>
        <v>#DIV/0!</v>
      </c>
      <c r="Z17" s="66" t="e">
        <f t="shared" si="72"/>
        <v>#DIV/0!</v>
      </c>
      <c r="AA17" s="66" t="e">
        <f t="shared" si="72"/>
        <v>#DIV/0!</v>
      </c>
      <c r="AB17" s="66" t="e">
        <f t="shared" si="72"/>
        <v>#DIV/0!</v>
      </c>
      <c r="AC17" s="66" t="e">
        <f t="shared" si="72"/>
        <v>#DIV/0!</v>
      </c>
      <c r="AD17" s="66" t="e">
        <f t="shared" ref="AD17" si="73">K17/$S$17</f>
        <v>#DIV/0!</v>
      </c>
      <c r="AE17" s="66" t="e">
        <f t="shared" ref="AE17" si="74">L17/$S$17</f>
        <v>#DIV/0!</v>
      </c>
      <c r="AF17" s="66" t="e">
        <f t="shared" ref="AF17" si="75">M17/$S$17</f>
        <v>#DIV/0!</v>
      </c>
      <c r="AG17" s="66" t="e">
        <f t="shared" ref="AG17" si="76">N17/$S$17</f>
        <v>#DIV/0!</v>
      </c>
      <c r="AH17" s="66" t="e">
        <f t="shared" ref="AH17" si="77">O17/$S$17</f>
        <v>#DIV/0!</v>
      </c>
      <c r="AI17" s="66" t="e">
        <f t="shared" ref="AI17:AJ17" si="78">P17/$S$17</f>
        <v>#DIV/0!</v>
      </c>
      <c r="AJ17" s="66" t="e">
        <f t="shared" si="78"/>
        <v>#DIV/0!</v>
      </c>
      <c r="AK17" s="66" t="e">
        <f t="shared" ref="AK17" si="79">R17/$S$17</f>
        <v>#DIV/0!</v>
      </c>
    </row>
    <row r="18" spans="2:37" x14ac:dyDescent="0.15">
      <c r="B18" s="110" t="s">
        <v>1083</v>
      </c>
      <c r="C18" s="110">
        <f>SUM('caseload data'!E:E)</f>
        <v>0</v>
      </c>
      <c r="D18" s="110">
        <f>SUM('caseload data'!F:F)</f>
        <v>0</v>
      </c>
      <c r="E18" s="110">
        <f>SUM('caseload data'!G:G)</f>
        <v>0</v>
      </c>
      <c r="F18" s="110">
        <f>SUM('caseload data'!H:H)</f>
        <v>0</v>
      </c>
      <c r="G18" s="110">
        <f>SUM('caseload data'!I:I)</f>
        <v>0</v>
      </c>
      <c r="H18" s="110">
        <f>SUM('caseload data'!J:J)</f>
        <v>0</v>
      </c>
      <c r="I18" s="110">
        <f>SUM('caseload data'!K:K)</f>
        <v>0</v>
      </c>
      <c r="J18" s="110">
        <f>SUM('caseload data'!L:L)</f>
        <v>0</v>
      </c>
      <c r="K18" s="110">
        <f>SUM('caseload data'!M:M)</f>
        <v>0</v>
      </c>
      <c r="L18" s="110">
        <f>SUM('caseload data'!N:N)</f>
        <v>0</v>
      </c>
      <c r="M18" s="110">
        <f>SUM('caseload data'!O:O)</f>
        <v>0</v>
      </c>
      <c r="N18" s="110">
        <f>SUM('caseload data'!P:P)</f>
        <v>0</v>
      </c>
      <c r="O18" s="110">
        <f>SUM('caseload data'!Q:Q)</f>
        <v>0</v>
      </c>
      <c r="P18" s="110">
        <f>SUM('caseload data'!R:R)</f>
        <v>0</v>
      </c>
      <c r="Q18" s="110">
        <f>SUM('caseload data'!S:S)</f>
        <v>0</v>
      </c>
      <c r="R18" s="110">
        <f>SUM('caseload data'!T:T)</f>
        <v>0</v>
      </c>
      <c r="S18" s="110">
        <f>SUM('caseload data'!V:V)</f>
        <v>0</v>
      </c>
      <c r="T18" s="91"/>
      <c r="U18" s="110" t="s">
        <v>881</v>
      </c>
      <c r="V18" s="115" t="e">
        <f>C18/$S$18</f>
        <v>#DIV/0!</v>
      </c>
      <c r="W18" s="115" t="e">
        <f t="shared" ref="W18:AA18" si="80">D18/$S$18</f>
        <v>#DIV/0!</v>
      </c>
      <c r="X18" s="115" t="e">
        <f t="shared" si="80"/>
        <v>#DIV/0!</v>
      </c>
      <c r="Y18" s="115" t="e">
        <f t="shared" si="80"/>
        <v>#DIV/0!</v>
      </c>
      <c r="Z18" s="115" t="e">
        <f t="shared" si="80"/>
        <v>#DIV/0!</v>
      </c>
      <c r="AA18" s="115" t="e">
        <f t="shared" si="80"/>
        <v>#DIV/0!</v>
      </c>
      <c r="AB18" s="115" t="e">
        <f>I18/$S$18</f>
        <v>#DIV/0!</v>
      </c>
      <c r="AC18" s="115" t="e">
        <f t="shared" ref="AC18:AK18" si="81">J18/$S$18</f>
        <v>#DIV/0!</v>
      </c>
      <c r="AD18" s="115" t="e">
        <f t="shared" si="81"/>
        <v>#DIV/0!</v>
      </c>
      <c r="AE18" s="115" t="e">
        <f t="shared" si="81"/>
        <v>#DIV/0!</v>
      </c>
      <c r="AF18" s="115" t="e">
        <f t="shared" si="81"/>
        <v>#DIV/0!</v>
      </c>
      <c r="AG18" s="115" t="e">
        <f t="shared" si="81"/>
        <v>#DIV/0!</v>
      </c>
      <c r="AH18" s="115" t="e">
        <f t="shared" si="81"/>
        <v>#DIV/0!</v>
      </c>
      <c r="AI18" s="115" t="e">
        <f t="shared" si="81"/>
        <v>#DIV/0!</v>
      </c>
      <c r="AJ18" s="115" t="e">
        <f t="shared" si="81"/>
        <v>#DIV/0!</v>
      </c>
      <c r="AK18" s="115" t="e">
        <f t="shared" si="81"/>
        <v>#DIV/0!</v>
      </c>
    </row>
    <row r="21" spans="2:37" ht="21.75" customHeight="1" x14ac:dyDescent="0.2">
      <c r="C21" s="503" t="s">
        <v>1084</v>
      </c>
      <c r="D21" s="504"/>
      <c r="E21" s="504"/>
      <c r="F21" s="504"/>
      <c r="G21" s="504"/>
      <c r="H21" s="504"/>
      <c r="I21" s="504"/>
      <c r="J21" s="504"/>
      <c r="K21" s="504"/>
      <c r="L21" s="504"/>
      <c r="M21" s="504"/>
      <c r="N21" s="504"/>
      <c r="O21" s="504"/>
      <c r="P21" s="504"/>
      <c r="Q21" s="504"/>
      <c r="R21" s="504"/>
      <c r="S21" s="508"/>
      <c r="T21" s="1"/>
      <c r="U21" s="1"/>
      <c r="V21" s="503" t="s">
        <v>1085</v>
      </c>
      <c r="W21" s="504"/>
      <c r="X21" s="504"/>
      <c r="Y21" s="504"/>
      <c r="Z21" s="504"/>
      <c r="AA21" s="504"/>
      <c r="AB21" s="504"/>
      <c r="AC21" s="504"/>
      <c r="AD21" s="504"/>
      <c r="AE21" s="504"/>
      <c r="AF21" s="504"/>
      <c r="AG21" s="504"/>
      <c r="AH21" s="504"/>
      <c r="AI21" s="504"/>
      <c r="AJ21" s="504"/>
      <c r="AK21" s="504"/>
    </row>
    <row r="22" spans="2:37" x14ac:dyDescent="0.15">
      <c r="B22" s="140"/>
      <c r="C22" s="38" t="s">
        <v>864</v>
      </c>
      <c r="D22" s="38" t="s">
        <v>865</v>
      </c>
      <c r="E22" s="38" t="s">
        <v>866</v>
      </c>
      <c r="F22" s="38" t="s">
        <v>867</v>
      </c>
      <c r="G22" s="38" t="s">
        <v>868</v>
      </c>
      <c r="H22" s="38" t="s">
        <v>869</v>
      </c>
      <c r="I22" s="38" t="s">
        <v>870</v>
      </c>
      <c r="J22" s="38" t="s">
        <v>871</v>
      </c>
      <c r="K22" s="38" t="s">
        <v>872</v>
      </c>
      <c r="L22" s="38" t="s">
        <v>873</v>
      </c>
      <c r="M22" s="38" t="s">
        <v>874</v>
      </c>
      <c r="N22" s="38" t="s">
        <v>875</v>
      </c>
      <c r="O22" s="38" t="s">
        <v>876</v>
      </c>
      <c r="P22" s="38" t="s">
        <v>877</v>
      </c>
      <c r="Q22" s="38" t="s">
        <v>878</v>
      </c>
      <c r="R22" s="38" t="s">
        <v>879</v>
      </c>
      <c r="S22" s="39" t="s">
        <v>881</v>
      </c>
      <c r="U22" s="232"/>
      <c r="V22" s="38" t="s">
        <v>864</v>
      </c>
      <c r="W22" s="38" t="s">
        <v>865</v>
      </c>
      <c r="X22" s="38" t="s">
        <v>866</v>
      </c>
      <c r="Y22" s="38" t="s">
        <v>867</v>
      </c>
      <c r="Z22" s="38" t="s">
        <v>868</v>
      </c>
      <c r="AA22" s="38" t="s">
        <v>869</v>
      </c>
      <c r="AB22" s="38" t="s">
        <v>870</v>
      </c>
      <c r="AC22" s="38" t="s">
        <v>871</v>
      </c>
      <c r="AD22" s="38" t="s">
        <v>872</v>
      </c>
      <c r="AE22" s="38" t="s">
        <v>873</v>
      </c>
      <c r="AF22" s="38" t="s">
        <v>874</v>
      </c>
      <c r="AG22" s="38" t="s">
        <v>875</v>
      </c>
      <c r="AH22" s="38" t="s">
        <v>876</v>
      </c>
      <c r="AI22" s="38" t="s">
        <v>877</v>
      </c>
      <c r="AJ22" s="38" t="s">
        <v>878</v>
      </c>
      <c r="AK22" s="38" t="s">
        <v>879</v>
      </c>
    </row>
    <row r="23" spans="2:37" x14ac:dyDescent="0.15">
      <c r="B23" s="141" t="s">
        <v>17</v>
      </c>
      <c r="C23" s="75">
        <f>SUMIFS('caseload data'!E:E,'caseload data'!$A:$A,$B23,'caseload data'!$B:$B,"custody")</f>
        <v>0</v>
      </c>
      <c r="D23" s="75">
        <f>SUMIFS('caseload data'!F:F,'caseload data'!$A:$A,$B23,'caseload data'!$B:$B,"custody")</f>
        <v>0</v>
      </c>
      <c r="E23" s="75">
        <f>SUMIFS('caseload data'!G:G,'caseload data'!$A:$A,$B23,'caseload data'!$B:$B,"custody")</f>
        <v>0</v>
      </c>
      <c r="F23" s="75">
        <f>SUMIFS('caseload data'!H:H,'caseload data'!$A:$A,$B23,'caseload data'!$B:$B,"custody")</f>
        <v>0</v>
      </c>
      <c r="G23" s="75">
        <f>SUMIFS('caseload data'!I:I,'caseload data'!$A:$A,$B23,'caseload data'!$B:$B,"custody")</f>
        <v>0</v>
      </c>
      <c r="H23" s="75">
        <f>SUMIFS('caseload data'!J:J,'caseload data'!$A:$A,$B23,'caseload data'!$B:$B,"custody")</f>
        <v>0</v>
      </c>
      <c r="I23" s="75">
        <f>SUMIFS('caseload data'!K:K,'caseload data'!$A:$A,$B23,'caseload data'!$B:$B,"custody")</f>
        <v>0</v>
      </c>
      <c r="J23" s="75">
        <f>SUMIFS('caseload data'!L:L,'caseload data'!$A:$A,$B23,'caseload data'!$B:$B,"custody")</f>
        <v>0</v>
      </c>
      <c r="K23" s="75">
        <f>SUMIFS('caseload data'!M:M,'caseload data'!$A:$A,$B23,'caseload data'!$B:$B,"custody")</f>
        <v>0</v>
      </c>
      <c r="L23" s="75">
        <f>SUMIFS('caseload data'!N:N,'caseload data'!$A:$A,$B23,'caseload data'!$B:$B,"custody")</f>
        <v>0</v>
      </c>
      <c r="M23" s="75">
        <f>SUMIFS('caseload data'!O:O,'caseload data'!$A:$A,$B23,'caseload data'!$B:$B,"custody")</f>
        <v>0</v>
      </c>
      <c r="N23" s="75">
        <f>SUMIFS('caseload data'!P:P,'caseload data'!$A:$A,$B23,'caseload data'!$B:$B,"custody")</f>
        <v>0</v>
      </c>
      <c r="O23" s="75">
        <f>SUMIFS('caseload data'!Q:Q,'caseload data'!$A:$A,$B23,'caseload data'!$B:$B,"custody")</f>
        <v>0</v>
      </c>
      <c r="P23" s="75">
        <f>SUMIFS('caseload data'!R:R,'caseload data'!$A:$A,$B23,'caseload data'!$B:$B,"custody")</f>
        <v>0</v>
      </c>
      <c r="Q23" s="75">
        <f>SUMIFS('caseload data'!S:S,'caseload data'!$A:$A,$B23,'caseload data'!$B:$B,"custody")</f>
        <v>0</v>
      </c>
      <c r="R23" s="75">
        <f>SUMIFS('caseload data'!T:T,'caseload data'!$A:$A,$B23,'caseload data'!$B:$B,"custody")</f>
        <v>0</v>
      </c>
      <c r="S23" s="75">
        <f>SUMIFS('caseload data'!V:V,'caseload data'!$A:$A,B23,'caseload data'!$B:$B,"custody")</f>
        <v>0</v>
      </c>
      <c r="T23" s="91"/>
      <c r="U23" s="141" t="s">
        <v>17</v>
      </c>
      <c r="V23" s="66" t="e">
        <f>C23/$S$23</f>
        <v>#DIV/0!</v>
      </c>
      <c r="W23" s="66" t="e">
        <f t="shared" ref="W23:AB23" si="82">D23/$S$23</f>
        <v>#DIV/0!</v>
      </c>
      <c r="X23" s="66" t="e">
        <f t="shared" si="82"/>
        <v>#DIV/0!</v>
      </c>
      <c r="Y23" s="66" t="e">
        <f t="shared" si="82"/>
        <v>#DIV/0!</v>
      </c>
      <c r="Z23" s="66" t="e">
        <f t="shared" si="82"/>
        <v>#DIV/0!</v>
      </c>
      <c r="AA23" s="66" t="e">
        <f t="shared" si="82"/>
        <v>#DIV/0!</v>
      </c>
      <c r="AB23" s="66" t="e">
        <f t="shared" si="82"/>
        <v>#DIV/0!</v>
      </c>
      <c r="AC23" s="66" t="e">
        <f t="shared" ref="AC23" si="83">J23/$S$23</f>
        <v>#DIV/0!</v>
      </c>
      <c r="AD23" s="66" t="e">
        <f t="shared" ref="AD23" si="84">K23/$S$23</f>
        <v>#DIV/0!</v>
      </c>
      <c r="AE23" s="66" t="e">
        <f t="shared" ref="AE23" si="85">L23/$S$23</f>
        <v>#DIV/0!</v>
      </c>
      <c r="AF23" s="66" t="e">
        <f t="shared" ref="AF23" si="86">M23/$S$23</f>
        <v>#DIV/0!</v>
      </c>
      <c r="AG23" s="66" t="e">
        <f t="shared" ref="AG23:AH23" si="87">N23/$S$23</f>
        <v>#DIV/0!</v>
      </c>
      <c r="AH23" s="66" t="e">
        <f t="shared" si="87"/>
        <v>#DIV/0!</v>
      </c>
      <c r="AI23" s="66" t="e">
        <f t="shared" ref="AI23" si="88">P23/$S$23</f>
        <v>#DIV/0!</v>
      </c>
      <c r="AJ23" s="66" t="e">
        <f t="shared" ref="AJ23" si="89">Q23/$S$23</f>
        <v>#DIV/0!</v>
      </c>
      <c r="AK23" s="66" t="e">
        <f t="shared" ref="AK23" si="90">R23/$S$23</f>
        <v>#DIV/0!</v>
      </c>
    </row>
    <row r="24" spans="2:37" x14ac:dyDescent="0.15">
      <c r="B24" s="141" t="s">
        <v>18</v>
      </c>
      <c r="C24" s="75">
        <f>SUMIFS('caseload data'!E:E,'caseload data'!$A:$A,$B24,'caseload data'!$B:$B,"custody")</f>
        <v>0</v>
      </c>
      <c r="D24" s="75">
        <f>SUMIFS('caseload data'!F:F,'caseload data'!$A:$A,$B24,'caseload data'!$B:$B,"custody")</f>
        <v>0</v>
      </c>
      <c r="E24" s="75">
        <f>SUMIFS('caseload data'!G:G,'caseload data'!$A:$A,$B24,'caseload data'!$B:$B,"custody")</f>
        <v>0</v>
      </c>
      <c r="F24" s="75">
        <f>SUMIFS('caseload data'!H:H,'caseload data'!$A:$A,$B24,'caseload data'!$B:$B,"custody")</f>
        <v>0</v>
      </c>
      <c r="G24" s="75">
        <f>SUMIFS('caseload data'!I:I,'caseload data'!$A:$A,$B24,'caseload data'!$B:$B,"custody")</f>
        <v>0</v>
      </c>
      <c r="H24" s="75">
        <f>SUMIFS('caseload data'!J:J,'caseload data'!$A:$A,$B24,'caseload data'!$B:$B,"custody")</f>
        <v>0</v>
      </c>
      <c r="I24" s="75">
        <f>SUMIFS('caseload data'!K:K,'caseload data'!$A:$A,$B24,'caseload data'!$B:$B,"custody")</f>
        <v>0</v>
      </c>
      <c r="J24" s="75">
        <f>SUMIFS('caseload data'!L:L,'caseload data'!$A:$A,$B24,'caseload data'!$B:$B,"custody")</f>
        <v>0</v>
      </c>
      <c r="K24" s="75">
        <f>SUMIFS('caseload data'!M:M,'caseload data'!$A:$A,$B24,'caseload data'!$B:$B,"custody")</f>
        <v>0</v>
      </c>
      <c r="L24" s="75">
        <f>SUMIFS('caseload data'!N:N,'caseload data'!$A:$A,$B24,'caseload data'!$B:$B,"custody")</f>
        <v>0</v>
      </c>
      <c r="M24" s="75">
        <f>SUMIFS('caseload data'!O:O,'caseload data'!$A:$A,$B24,'caseload data'!$B:$B,"custody")</f>
        <v>0</v>
      </c>
      <c r="N24" s="75">
        <f>SUMIFS('caseload data'!P:P,'caseload data'!$A:$A,$B24,'caseload data'!$B:$B,"custody")</f>
        <v>0</v>
      </c>
      <c r="O24" s="75">
        <f>SUMIFS('caseload data'!Q:Q,'caseload data'!$A:$A,$B24,'caseload data'!$B:$B,"custody")</f>
        <v>0</v>
      </c>
      <c r="P24" s="75">
        <f>SUMIFS('caseload data'!R:R,'caseload data'!$A:$A,$B24,'caseload data'!$B:$B,"custody")</f>
        <v>0</v>
      </c>
      <c r="Q24" s="75">
        <f>SUMIFS('caseload data'!S:S,'caseload data'!$A:$A,$B24,'caseload data'!$B:$B,"custody")</f>
        <v>0</v>
      </c>
      <c r="R24" s="75">
        <f>SUMIFS('caseload data'!T:T,'caseload data'!$A:$A,$B24,'caseload data'!$B:$B,"custody")</f>
        <v>0</v>
      </c>
      <c r="S24" s="75">
        <f>SUMIFS('caseload data'!V:V,'caseload data'!$A:$A,B24,'caseload data'!$B:$B,"custody")</f>
        <v>0</v>
      </c>
      <c r="T24" s="91"/>
      <c r="U24" s="141" t="s">
        <v>18</v>
      </c>
      <c r="V24" s="66" t="e">
        <f>C24/$S$24</f>
        <v>#DIV/0!</v>
      </c>
      <c r="W24" s="66" t="e">
        <f t="shared" ref="W24:AB24" si="91">D24/$S$24</f>
        <v>#DIV/0!</v>
      </c>
      <c r="X24" s="66" t="e">
        <f t="shared" si="91"/>
        <v>#DIV/0!</v>
      </c>
      <c r="Y24" s="66" t="e">
        <f t="shared" si="91"/>
        <v>#DIV/0!</v>
      </c>
      <c r="Z24" s="66" t="e">
        <f t="shared" si="91"/>
        <v>#DIV/0!</v>
      </c>
      <c r="AA24" s="66" t="e">
        <f t="shared" si="91"/>
        <v>#DIV/0!</v>
      </c>
      <c r="AB24" s="66" t="e">
        <f t="shared" si="91"/>
        <v>#DIV/0!</v>
      </c>
      <c r="AC24" s="66" t="e">
        <f t="shared" ref="AC24" si="92">J24/$S$24</f>
        <v>#DIV/0!</v>
      </c>
      <c r="AD24" s="66" t="e">
        <f t="shared" ref="AD24" si="93">K24/$S$24</f>
        <v>#DIV/0!</v>
      </c>
      <c r="AE24" s="66" t="e">
        <f t="shared" ref="AE24" si="94">L24/$S$24</f>
        <v>#DIV/0!</v>
      </c>
      <c r="AF24" s="66" t="e">
        <f t="shared" ref="AF24" si="95">M24/$S$24</f>
        <v>#DIV/0!</v>
      </c>
      <c r="AG24" s="66" t="e">
        <f t="shared" ref="AG24:AH24" si="96">N24/$S$24</f>
        <v>#DIV/0!</v>
      </c>
      <c r="AH24" s="66" t="e">
        <f t="shared" si="96"/>
        <v>#DIV/0!</v>
      </c>
      <c r="AI24" s="66" t="e">
        <f t="shared" ref="AI24" si="97">P24/$S$24</f>
        <v>#DIV/0!</v>
      </c>
      <c r="AJ24" s="66" t="e">
        <f t="shared" ref="AJ24" si="98">Q24/$S$24</f>
        <v>#DIV/0!</v>
      </c>
      <c r="AK24" s="66" t="e">
        <f t="shared" ref="AK24" si="99">R24/$S$24</f>
        <v>#DIV/0!</v>
      </c>
    </row>
    <row r="25" spans="2:37" x14ac:dyDescent="0.15">
      <c r="B25" s="141" t="s">
        <v>19</v>
      </c>
      <c r="C25" s="75">
        <f>SUMIFS('caseload data'!E:E,'caseload data'!$A:$A,$B25,'caseload data'!$B:$B,"custody")</f>
        <v>0</v>
      </c>
      <c r="D25" s="75">
        <f>SUMIFS('caseload data'!F:F,'caseload data'!$A:$A,$B25,'caseload data'!$B:$B,"custody")</f>
        <v>0</v>
      </c>
      <c r="E25" s="75">
        <f>SUMIFS('caseload data'!G:G,'caseload data'!$A:$A,$B25,'caseload data'!$B:$B,"custody")</f>
        <v>0</v>
      </c>
      <c r="F25" s="75">
        <f>SUMIFS('caseload data'!H:H,'caseload data'!$A:$A,$B25,'caseload data'!$B:$B,"custody")</f>
        <v>0</v>
      </c>
      <c r="G25" s="75">
        <f>SUMIFS('caseload data'!I:I,'caseload data'!$A:$A,$B25,'caseload data'!$B:$B,"custody")</f>
        <v>0</v>
      </c>
      <c r="H25" s="75">
        <f>SUMIFS('caseload data'!J:J,'caseload data'!$A:$A,$B25,'caseload data'!$B:$B,"custody")</f>
        <v>0</v>
      </c>
      <c r="I25" s="75">
        <f>SUMIFS('caseload data'!K:K,'caseload data'!$A:$A,$B25,'caseload data'!$B:$B,"custody")</f>
        <v>0</v>
      </c>
      <c r="J25" s="75">
        <f>SUMIFS('caseload data'!L:L,'caseload data'!$A:$A,$B25,'caseload data'!$B:$B,"custody")</f>
        <v>0</v>
      </c>
      <c r="K25" s="75">
        <f>SUMIFS('caseload data'!M:M,'caseload data'!$A:$A,$B25,'caseload data'!$B:$B,"custody")</f>
        <v>0</v>
      </c>
      <c r="L25" s="75">
        <f>SUMIFS('caseload data'!N:N,'caseload data'!$A:$A,$B25,'caseload data'!$B:$B,"custody")</f>
        <v>0</v>
      </c>
      <c r="M25" s="75">
        <f>SUMIFS('caseload data'!O:O,'caseload data'!$A:$A,$B25,'caseload data'!$B:$B,"custody")</f>
        <v>0</v>
      </c>
      <c r="N25" s="75">
        <f>SUMIFS('caseload data'!P:P,'caseload data'!$A:$A,$B25,'caseload data'!$B:$B,"custody")</f>
        <v>0</v>
      </c>
      <c r="O25" s="75">
        <f>SUMIFS('caseload data'!Q:Q,'caseload data'!$A:$A,$B25,'caseload data'!$B:$B,"custody")</f>
        <v>0</v>
      </c>
      <c r="P25" s="75">
        <f>SUMIFS('caseload data'!R:R,'caseload data'!$A:$A,$B25,'caseload data'!$B:$B,"custody")</f>
        <v>0</v>
      </c>
      <c r="Q25" s="75">
        <f>SUMIFS('caseload data'!S:S,'caseload data'!$A:$A,$B25,'caseload data'!$B:$B,"custody")</f>
        <v>0</v>
      </c>
      <c r="R25" s="75">
        <f>SUMIFS('caseload data'!T:T,'caseload data'!$A:$A,$B25,'caseload data'!$B:$B,"custody")</f>
        <v>0</v>
      </c>
      <c r="S25" s="75">
        <f>SUMIFS('caseload data'!V:V,'caseload data'!$A:$A,B25,'caseload data'!$B:$B,"custody")</f>
        <v>0</v>
      </c>
      <c r="T25" s="91"/>
      <c r="U25" s="141" t="s">
        <v>19</v>
      </c>
      <c r="V25" s="66" t="e">
        <f>C25/$S$25</f>
        <v>#DIV/0!</v>
      </c>
      <c r="W25" s="66" t="e">
        <f t="shared" ref="W25:AB25" si="100">D25/$S$25</f>
        <v>#DIV/0!</v>
      </c>
      <c r="X25" s="66" t="e">
        <f t="shared" si="100"/>
        <v>#DIV/0!</v>
      </c>
      <c r="Y25" s="66" t="e">
        <f t="shared" si="100"/>
        <v>#DIV/0!</v>
      </c>
      <c r="Z25" s="66" t="e">
        <f t="shared" si="100"/>
        <v>#DIV/0!</v>
      </c>
      <c r="AA25" s="66" t="e">
        <f t="shared" si="100"/>
        <v>#DIV/0!</v>
      </c>
      <c r="AB25" s="66" t="e">
        <f t="shared" si="100"/>
        <v>#DIV/0!</v>
      </c>
      <c r="AC25" s="66" t="e">
        <f t="shared" ref="AC25" si="101">J25/$S$25</f>
        <v>#DIV/0!</v>
      </c>
      <c r="AD25" s="66" t="e">
        <f t="shared" ref="AD25" si="102">K25/$S$25</f>
        <v>#DIV/0!</v>
      </c>
      <c r="AE25" s="66" t="e">
        <f t="shared" ref="AE25" si="103">L25/$S$25</f>
        <v>#DIV/0!</v>
      </c>
      <c r="AF25" s="66" t="e">
        <f t="shared" ref="AF25" si="104">M25/$S$25</f>
        <v>#DIV/0!</v>
      </c>
      <c r="AG25" s="66" t="e">
        <f t="shared" ref="AG25:AH25" si="105">N25/$S$25</f>
        <v>#DIV/0!</v>
      </c>
      <c r="AH25" s="66" t="e">
        <f t="shared" si="105"/>
        <v>#DIV/0!</v>
      </c>
      <c r="AI25" s="66" t="e">
        <f t="shared" ref="AI25" si="106">P25/$S$25</f>
        <v>#DIV/0!</v>
      </c>
      <c r="AJ25" s="66" t="e">
        <f t="shared" ref="AJ25" si="107">Q25/$S$25</f>
        <v>#DIV/0!</v>
      </c>
      <c r="AK25" s="66" t="e">
        <f t="shared" ref="AK25" si="108">R25/$S$25</f>
        <v>#DIV/0!</v>
      </c>
    </row>
    <row r="26" spans="2:37" x14ac:dyDescent="0.15">
      <c r="B26" s="141" t="s">
        <v>20</v>
      </c>
      <c r="C26" s="75">
        <f>SUMIFS('caseload data'!E:E,'caseload data'!$A:$A,$B26,'caseload data'!$B:$B,"custody")</f>
        <v>0</v>
      </c>
      <c r="D26" s="75">
        <f>SUMIFS('caseload data'!F:F,'caseload data'!$A:$A,$B26,'caseload data'!$B:$B,"custody")</f>
        <v>0</v>
      </c>
      <c r="E26" s="75">
        <f>SUMIFS('caseload data'!G:G,'caseload data'!$A:$A,$B26,'caseload data'!$B:$B,"custody")</f>
        <v>0</v>
      </c>
      <c r="F26" s="75">
        <f>SUMIFS('caseload data'!H:H,'caseload data'!$A:$A,$B26,'caseload data'!$B:$B,"custody")</f>
        <v>0</v>
      </c>
      <c r="G26" s="75">
        <f>SUMIFS('caseload data'!I:I,'caseload data'!$A:$A,$B26,'caseload data'!$B:$B,"custody")</f>
        <v>0</v>
      </c>
      <c r="H26" s="75">
        <f>SUMIFS('caseload data'!J:J,'caseload data'!$A:$A,$B26,'caseload data'!$B:$B,"custody")</f>
        <v>0</v>
      </c>
      <c r="I26" s="75">
        <f>SUMIFS('caseload data'!K:K,'caseload data'!$A:$A,$B26,'caseload data'!$B:$B,"custody")</f>
        <v>0</v>
      </c>
      <c r="J26" s="75">
        <f>SUMIFS('caseload data'!L:L,'caseload data'!$A:$A,$B26,'caseload data'!$B:$B,"custody")</f>
        <v>0</v>
      </c>
      <c r="K26" s="75">
        <f>SUMIFS('caseload data'!M:M,'caseload data'!$A:$A,$B26,'caseload data'!$B:$B,"custody")</f>
        <v>0</v>
      </c>
      <c r="L26" s="75">
        <f>SUMIFS('caseload data'!N:N,'caseload data'!$A:$A,$B26,'caseload data'!$B:$B,"custody")</f>
        <v>0</v>
      </c>
      <c r="M26" s="75">
        <f>SUMIFS('caseload data'!O:O,'caseload data'!$A:$A,$B26,'caseload data'!$B:$B,"custody")</f>
        <v>0</v>
      </c>
      <c r="N26" s="75">
        <f>SUMIFS('caseload data'!P:P,'caseload data'!$A:$A,$B26,'caseload data'!$B:$B,"custody")</f>
        <v>0</v>
      </c>
      <c r="O26" s="75">
        <f>SUMIFS('caseload data'!Q:Q,'caseload data'!$A:$A,$B26,'caseload data'!$B:$B,"custody")</f>
        <v>0</v>
      </c>
      <c r="P26" s="75">
        <f>SUMIFS('caseload data'!R:R,'caseload data'!$A:$A,$B26,'caseload data'!$B:$B,"custody")</f>
        <v>0</v>
      </c>
      <c r="Q26" s="75">
        <f>SUMIFS('caseload data'!S:S,'caseload data'!$A:$A,$B26,'caseload data'!$B:$B,"custody")</f>
        <v>0</v>
      </c>
      <c r="R26" s="75">
        <f>SUMIFS('caseload data'!T:T,'caseload data'!$A:$A,$B26,'caseload data'!$B:$B,"custody")</f>
        <v>0</v>
      </c>
      <c r="S26" s="75">
        <f>SUMIFS('caseload data'!V:V,'caseload data'!$A:$A,B26,'caseload data'!$B:$B,"custody")</f>
        <v>0</v>
      </c>
      <c r="T26" s="91"/>
      <c r="U26" s="141" t="s">
        <v>20</v>
      </c>
      <c r="V26" s="66" t="e">
        <f>C26/$S$26</f>
        <v>#DIV/0!</v>
      </c>
      <c r="W26" s="66" t="e">
        <f t="shared" ref="W26:AB26" si="109">D26/$S$26</f>
        <v>#DIV/0!</v>
      </c>
      <c r="X26" s="66" t="e">
        <f t="shared" si="109"/>
        <v>#DIV/0!</v>
      </c>
      <c r="Y26" s="66" t="e">
        <f t="shared" si="109"/>
        <v>#DIV/0!</v>
      </c>
      <c r="Z26" s="66" t="e">
        <f t="shared" si="109"/>
        <v>#DIV/0!</v>
      </c>
      <c r="AA26" s="66" t="e">
        <f t="shared" si="109"/>
        <v>#DIV/0!</v>
      </c>
      <c r="AB26" s="66" t="e">
        <f t="shared" si="109"/>
        <v>#DIV/0!</v>
      </c>
      <c r="AC26" s="66" t="e">
        <f t="shared" ref="AC26" si="110">J26/$S$26</f>
        <v>#DIV/0!</v>
      </c>
      <c r="AD26" s="66" t="e">
        <f t="shared" ref="AD26" si="111">K26/$S$26</f>
        <v>#DIV/0!</v>
      </c>
      <c r="AE26" s="66" t="e">
        <f t="shared" ref="AE26" si="112">L26/$S$26</f>
        <v>#DIV/0!</v>
      </c>
      <c r="AF26" s="66" t="e">
        <f t="shared" ref="AF26" si="113">M26/$S$26</f>
        <v>#DIV/0!</v>
      </c>
      <c r="AG26" s="66" t="e">
        <f t="shared" ref="AG26:AH26" si="114">N26/$S$26</f>
        <v>#DIV/0!</v>
      </c>
      <c r="AH26" s="66" t="e">
        <f t="shared" si="114"/>
        <v>#DIV/0!</v>
      </c>
      <c r="AI26" s="66" t="e">
        <f t="shared" ref="AI26" si="115">P26/$S$26</f>
        <v>#DIV/0!</v>
      </c>
      <c r="AJ26" s="66" t="e">
        <f t="shared" ref="AJ26" si="116">Q26/$S$26</f>
        <v>#DIV/0!</v>
      </c>
      <c r="AK26" s="66" t="e">
        <f t="shared" ref="AK26" si="117">R26/$S$26</f>
        <v>#DIV/0!</v>
      </c>
    </row>
    <row r="27" spans="2:37" x14ac:dyDescent="0.15">
      <c r="B27" s="141" t="s">
        <v>21</v>
      </c>
      <c r="C27" s="75">
        <f>SUMIFS('caseload data'!E:E,'caseload data'!$A:$A,$B27,'caseload data'!$B:$B,"custody")</f>
        <v>0</v>
      </c>
      <c r="D27" s="75">
        <f>SUMIFS('caseload data'!F:F,'caseload data'!$A:$A,$B27,'caseload data'!$B:$B,"custody")</f>
        <v>0</v>
      </c>
      <c r="E27" s="75">
        <f>SUMIFS('caseload data'!G:G,'caseload data'!$A:$A,$B27,'caseload data'!$B:$B,"custody")</f>
        <v>0</v>
      </c>
      <c r="F27" s="75">
        <f>SUMIFS('caseload data'!H:H,'caseload data'!$A:$A,$B27,'caseload data'!$B:$B,"custody")</f>
        <v>0</v>
      </c>
      <c r="G27" s="75">
        <f>SUMIFS('caseload data'!I:I,'caseload data'!$A:$A,$B27,'caseload data'!$B:$B,"custody")</f>
        <v>0</v>
      </c>
      <c r="H27" s="75">
        <f>SUMIFS('caseload data'!J:J,'caseload data'!$A:$A,$B27,'caseload data'!$B:$B,"custody")</f>
        <v>0</v>
      </c>
      <c r="I27" s="75">
        <f>SUMIFS('caseload data'!K:K,'caseload data'!$A:$A,$B27,'caseload data'!$B:$B,"custody")</f>
        <v>0</v>
      </c>
      <c r="J27" s="75">
        <f>SUMIFS('caseload data'!L:L,'caseload data'!$A:$A,$B27,'caseload data'!$B:$B,"custody")</f>
        <v>0</v>
      </c>
      <c r="K27" s="75">
        <f>SUMIFS('caseload data'!M:M,'caseload data'!$A:$A,$B27,'caseload data'!$B:$B,"custody")</f>
        <v>0</v>
      </c>
      <c r="L27" s="75">
        <f>SUMIFS('caseload data'!N:N,'caseload data'!$A:$A,$B27,'caseload data'!$B:$B,"custody")</f>
        <v>0</v>
      </c>
      <c r="M27" s="75">
        <f>SUMIFS('caseload data'!O:O,'caseload data'!$A:$A,$B27,'caseload data'!$B:$B,"custody")</f>
        <v>0</v>
      </c>
      <c r="N27" s="75">
        <f>SUMIFS('caseload data'!P:P,'caseload data'!$A:$A,$B27,'caseload data'!$B:$B,"custody")</f>
        <v>0</v>
      </c>
      <c r="O27" s="75">
        <f>SUMIFS('caseload data'!Q:Q,'caseload data'!$A:$A,$B27,'caseload data'!$B:$B,"custody")</f>
        <v>0</v>
      </c>
      <c r="P27" s="75">
        <f>SUMIFS('caseload data'!R:R,'caseload data'!$A:$A,$B27,'caseload data'!$B:$B,"custody")</f>
        <v>0</v>
      </c>
      <c r="Q27" s="75">
        <f>SUMIFS('caseload data'!S:S,'caseload data'!$A:$A,$B27,'caseload data'!$B:$B,"custody")</f>
        <v>0</v>
      </c>
      <c r="R27" s="75">
        <f>SUMIFS('caseload data'!T:T,'caseload data'!$A:$A,$B27,'caseload data'!$B:$B,"custody")</f>
        <v>0</v>
      </c>
      <c r="S27" s="75">
        <f>SUMIFS('caseload data'!V:V,'caseload data'!$A:$A,B27,'caseload data'!$B:$B,"custody")</f>
        <v>0</v>
      </c>
      <c r="T27" s="91"/>
      <c r="U27" s="141" t="s">
        <v>21</v>
      </c>
      <c r="V27" s="66" t="e">
        <f>C27/$S$27</f>
        <v>#DIV/0!</v>
      </c>
      <c r="W27" s="66" t="e">
        <f t="shared" ref="W27:AB27" si="118">D27/$S$27</f>
        <v>#DIV/0!</v>
      </c>
      <c r="X27" s="66" t="e">
        <f t="shared" si="118"/>
        <v>#DIV/0!</v>
      </c>
      <c r="Y27" s="66" t="e">
        <f t="shared" si="118"/>
        <v>#DIV/0!</v>
      </c>
      <c r="Z27" s="66" t="e">
        <f t="shared" si="118"/>
        <v>#DIV/0!</v>
      </c>
      <c r="AA27" s="66" t="e">
        <f t="shared" si="118"/>
        <v>#DIV/0!</v>
      </c>
      <c r="AB27" s="66" t="e">
        <f t="shared" si="118"/>
        <v>#DIV/0!</v>
      </c>
      <c r="AC27" s="66" t="e">
        <f t="shared" ref="AC27" si="119">J27/$S$27</f>
        <v>#DIV/0!</v>
      </c>
      <c r="AD27" s="66" t="e">
        <f t="shared" ref="AD27" si="120">K27/$S$27</f>
        <v>#DIV/0!</v>
      </c>
      <c r="AE27" s="66" t="e">
        <f t="shared" ref="AE27" si="121">L27/$S$27</f>
        <v>#DIV/0!</v>
      </c>
      <c r="AF27" s="66" t="e">
        <f t="shared" ref="AF27" si="122">M27/$S$27</f>
        <v>#DIV/0!</v>
      </c>
      <c r="AG27" s="66" t="e">
        <f t="shared" ref="AG27:AH27" si="123">N27/$S$27</f>
        <v>#DIV/0!</v>
      </c>
      <c r="AH27" s="66" t="e">
        <f t="shared" si="123"/>
        <v>#DIV/0!</v>
      </c>
      <c r="AI27" s="66" t="e">
        <f t="shared" ref="AI27" si="124">P27/$S$27</f>
        <v>#DIV/0!</v>
      </c>
      <c r="AJ27" s="66" t="e">
        <f t="shared" ref="AJ27" si="125">Q27/$S$27</f>
        <v>#DIV/0!</v>
      </c>
      <c r="AK27" s="66" t="e">
        <f t="shared" ref="AK27" si="126">R27/$S$27</f>
        <v>#DIV/0!</v>
      </c>
    </row>
    <row r="28" spans="2:37" x14ac:dyDescent="0.15">
      <c r="B28" s="141" t="s">
        <v>22</v>
      </c>
      <c r="C28" s="75">
        <f>SUMIFS('caseload data'!E:E,'caseload data'!$A:$A,$B28,'caseload data'!$B:$B,"custody")</f>
        <v>0</v>
      </c>
      <c r="D28" s="75">
        <f>SUMIFS('caseload data'!F:F,'caseload data'!$A:$A,$B28,'caseload data'!$B:$B,"custody")</f>
        <v>0</v>
      </c>
      <c r="E28" s="75">
        <f>SUMIFS('caseload data'!G:G,'caseload data'!$A:$A,$B28,'caseload data'!$B:$B,"custody")</f>
        <v>0</v>
      </c>
      <c r="F28" s="75">
        <f>SUMIFS('caseload data'!H:H,'caseload data'!$A:$A,$B28,'caseload data'!$B:$B,"custody")</f>
        <v>0</v>
      </c>
      <c r="G28" s="75">
        <f>SUMIFS('caseload data'!I:I,'caseload data'!$A:$A,$B28,'caseload data'!$B:$B,"custody")</f>
        <v>0</v>
      </c>
      <c r="H28" s="75">
        <f>SUMIFS('caseload data'!J:J,'caseload data'!$A:$A,$B28,'caseload data'!$B:$B,"custody")</f>
        <v>0</v>
      </c>
      <c r="I28" s="75">
        <f>SUMIFS('caseload data'!K:K,'caseload data'!$A:$A,$B28,'caseload data'!$B:$B,"custody")</f>
        <v>0</v>
      </c>
      <c r="J28" s="75">
        <f>SUMIFS('caseload data'!L:L,'caseload data'!$A:$A,$B28,'caseload data'!$B:$B,"custody")</f>
        <v>0</v>
      </c>
      <c r="K28" s="75">
        <f>SUMIFS('caseload data'!M:M,'caseload data'!$A:$A,$B28,'caseload data'!$B:$B,"custody")</f>
        <v>0</v>
      </c>
      <c r="L28" s="75">
        <f>SUMIFS('caseload data'!N:N,'caseload data'!$A:$A,$B28,'caseload data'!$B:$B,"custody")</f>
        <v>0</v>
      </c>
      <c r="M28" s="75">
        <f>SUMIFS('caseload data'!O:O,'caseload data'!$A:$A,$B28,'caseload data'!$B:$B,"custody")</f>
        <v>0</v>
      </c>
      <c r="N28" s="75">
        <f>SUMIFS('caseload data'!P:P,'caseload data'!$A:$A,$B28,'caseload data'!$B:$B,"custody")</f>
        <v>0</v>
      </c>
      <c r="O28" s="75">
        <f>SUMIFS('caseload data'!Q:Q,'caseload data'!$A:$A,$B28,'caseload data'!$B:$B,"custody")</f>
        <v>0</v>
      </c>
      <c r="P28" s="75">
        <f>SUMIFS('caseload data'!R:R,'caseload data'!$A:$A,$B28,'caseload data'!$B:$B,"custody")</f>
        <v>0</v>
      </c>
      <c r="Q28" s="75">
        <f>SUMIFS('caseload data'!S:S,'caseload data'!$A:$A,$B28,'caseload data'!$B:$B,"custody")</f>
        <v>0</v>
      </c>
      <c r="R28" s="75">
        <f>SUMIFS('caseload data'!T:T,'caseload data'!$A:$A,$B28,'caseload data'!$B:$B,"custody")</f>
        <v>0</v>
      </c>
      <c r="S28" s="75">
        <f>SUMIFS('caseload data'!V:V,'caseload data'!$A:$A,B28,'caseload data'!$B:$B,"custody")</f>
        <v>0</v>
      </c>
      <c r="T28" s="91"/>
      <c r="U28" s="141" t="s">
        <v>22</v>
      </c>
      <c r="V28" s="66" t="e">
        <f>C28/$S$28</f>
        <v>#DIV/0!</v>
      </c>
      <c r="W28" s="66" t="e">
        <f t="shared" ref="W28:AB28" si="127">D28/$S$28</f>
        <v>#DIV/0!</v>
      </c>
      <c r="X28" s="66" t="e">
        <f t="shared" si="127"/>
        <v>#DIV/0!</v>
      </c>
      <c r="Y28" s="66" t="e">
        <f t="shared" si="127"/>
        <v>#DIV/0!</v>
      </c>
      <c r="Z28" s="66" t="e">
        <f t="shared" si="127"/>
        <v>#DIV/0!</v>
      </c>
      <c r="AA28" s="66" t="e">
        <f t="shared" si="127"/>
        <v>#DIV/0!</v>
      </c>
      <c r="AB28" s="66" t="e">
        <f t="shared" si="127"/>
        <v>#DIV/0!</v>
      </c>
      <c r="AC28" s="66" t="e">
        <f t="shared" ref="AC28" si="128">J28/$S$28</f>
        <v>#DIV/0!</v>
      </c>
      <c r="AD28" s="66" t="e">
        <f t="shared" ref="AD28" si="129">K28/$S$28</f>
        <v>#DIV/0!</v>
      </c>
      <c r="AE28" s="66" t="e">
        <f t="shared" ref="AE28" si="130">L28/$S$28</f>
        <v>#DIV/0!</v>
      </c>
      <c r="AF28" s="66" t="e">
        <f t="shared" ref="AF28" si="131">M28/$S$28</f>
        <v>#DIV/0!</v>
      </c>
      <c r="AG28" s="66" t="e">
        <f t="shared" ref="AG28:AH28" si="132">N28/$S$28</f>
        <v>#DIV/0!</v>
      </c>
      <c r="AH28" s="66" t="e">
        <f t="shared" si="132"/>
        <v>#DIV/0!</v>
      </c>
      <c r="AI28" s="66" t="e">
        <f t="shared" ref="AI28" si="133">P28/$S$28</f>
        <v>#DIV/0!</v>
      </c>
      <c r="AJ28" s="66" t="e">
        <f t="shared" ref="AJ28" si="134">Q28/$S$28</f>
        <v>#DIV/0!</v>
      </c>
      <c r="AK28" s="66" t="e">
        <f t="shared" ref="AK28" si="135">R28/$S$28</f>
        <v>#DIV/0!</v>
      </c>
    </row>
    <row r="29" spans="2:37" x14ac:dyDescent="0.15">
      <c r="B29" s="141" t="s">
        <v>23</v>
      </c>
      <c r="C29" s="75">
        <f>SUMIFS('caseload data'!E:E,'caseload data'!$A:$A,$B29,'caseload data'!$B:$B,"custody")</f>
        <v>0</v>
      </c>
      <c r="D29" s="75">
        <f>SUMIFS('caseload data'!F:F,'caseload data'!$A:$A,$B29,'caseload data'!$B:$B,"custody")</f>
        <v>0</v>
      </c>
      <c r="E29" s="75">
        <f>SUMIFS('caseload data'!G:G,'caseload data'!$A:$A,$B29,'caseload data'!$B:$B,"custody")</f>
        <v>0</v>
      </c>
      <c r="F29" s="75">
        <f>SUMIFS('caseload data'!H:H,'caseload data'!$A:$A,$B29,'caseload data'!$B:$B,"custody")</f>
        <v>0</v>
      </c>
      <c r="G29" s="75">
        <f>SUMIFS('caseload data'!I:I,'caseload data'!$A:$A,$B29,'caseload data'!$B:$B,"custody")</f>
        <v>0</v>
      </c>
      <c r="H29" s="75">
        <f>SUMIFS('caseload data'!J:J,'caseload data'!$A:$A,$B29,'caseload data'!$B:$B,"custody")</f>
        <v>0</v>
      </c>
      <c r="I29" s="75">
        <f>SUMIFS('caseload data'!K:K,'caseload data'!$A:$A,$B29,'caseload data'!$B:$B,"custody")</f>
        <v>0</v>
      </c>
      <c r="J29" s="75">
        <f>SUMIFS('caseload data'!L:L,'caseload data'!$A:$A,$B29,'caseload data'!$B:$B,"custody")</f>
        <v>0</v>
      </c>
      <c r="K29" s="75">
        <f>SUMIFS('caseload data'!M:M,'caseload data'!$A:$A,$B29,'caseload data'!$B:$B,"custody")</f>
        <v>0</v>
      </c>
      <c r="L29" s="75">
        <f>SUMIFS('caseload data'!N:N,'caseload data'!$A:$A,$B29,'caseload data'!$B:$B,"custody")</f>
        <v>0</v>
      </c>
      <c r="M29" s="75">
        <f>SUMIFS('caseload data'!O:O,'caseload data'!$A:$A,$B29,'caseload data'!$B:$B,"custody")</f>
        <v>0</v>
      </c>
      <c r="N29" s="75">
        <f>SUMIFS('caseload data'!P:P,'caseload data'!$A:$A,$B29,'caseload data'!$B:$B,"custody")</f>
        <v>0</v>
      </c>
      <c r="O29" s="75">
        <f>SUMIFS('caseload data'!Q:Q,'caseload data'!$A:$A,$B29,'caseload data'!$B:$B,"custody")</f>
        <v>0</v>
      </c>
      <c r="P29" s="75">
        <f>SUMIFS('caseload data'!R:R,'caseload data'!$A:$A,$B29,'caseload data'!$B:$B,"custody")</f>
        <v>0</v>
      </c>
      <c r="Q29" s="75">
        <f>SUMIFS('caseload data'!S:S,'caseload data'!$A:$A,$B29,'caseload data'!$B:$B,"custody")</f>
        <v>0</v>
      </c>
      <c r="R29" s="75">
        <f>SUMIFS('caseload data'!T:T,'caseload data'!$A:$A,$B29,'caseload data'!$B:$B,"custody")</f>
        <v>0</v>
      </c>
      <c r="S29" s="75">
        <f>SUMIFS('caseload data'!V:V,'caseload data'!$A:$A,B29,'caseload data'!$B:$B,"custody")</f>
        <v>0</v>
      </c>
      <c r="T29" s="91"/>
      <c r="U29" s="141" t="s">
        <v>23</v>
      </c>
      <c r="V29" s="66" t="e">
        <f>C29/$S$29</f>
        <v>#DIV/0!</v>
      </c>
      <c r="W29" s="66" t="e">
        <f t="shared" ref="W29:AA29" si="136">D29/$S$29</f>
        <v>#DIV/0!</v>
      </c>
      <c r="X29" s="66" t="e">
        <f t="shared" si="136"/>
        <v>#DIV/0!</v>
      </c>
      <c r="Y29" s="66" t="e">
        <f t="shared" si="136"/>
        <v>#DIV/0!</v>
      </c>
      <c r="Z29" s="66" t="e">
        <f t="shared" si="136"/>
        <v>#DIV/0!</v>
      </c>
      <c r="AA29" s="66" t="e">
        <f t="shared" si="136"/>
        <v>#DIV/0!</v>
      </c>
      <c r="AB29" s="66" t="e">
        <f t="shared" ref="AB29" si="137">I29/$S$29</f>
        <v>#DIV/0!</v>
      </c>
      <c r="AC29" s="66" t="e">
        <f t="shared" ref="AC29" si="138">J29/$S$29</f>
        <v>#DIV/0!</v>
      </c>
      <c r="AD29" s="66" t="e">
        <f t="shared" ref="AD29" si="139">K29/$S$29</f>
        <v>#DIV/0!</v>
      </c>
      <c r="AE29" s="66" t="e">
        <f t="shared" ref="AE29" si="140">L29/$S$29</f>
        <v>#DIV/0!</v>
      </c>
      <c r="AF29" s="66" t="e">
        <f t="shared" ref="AF29" si="141">M29/$S$29</f>
        <v>#DIV/0!</v>
      </c>
      <c r="AG29" s="66" t="e">
        <f t="shared" ref="AG29" si="142">N29/$S$29</f>
        <v>#DIV/0!</v>
      </c>
      <c r="AH29" s="66" t="e">
        <f t="shared" ref="AH29" si="143">O29/$S$29</f>
        <v>#DIV/0!</v>
      </c>
      <c r="AI29" s="66" t="e">
        <f t="shared" ref="AI29" si="144">P29/$S$29</f>
        <v>#DIV/0!</v>
      </c>
      <c r="AJ29" s="66" t="e">
        <f t="shared" ref="AJ29" si="145">Q29/$S$29</f>
        <v>#DIV/0!</v>
      </c>
      <c r="AK29" s="66" t="e">
        <f t="shared" ref="AK29" si="146">R29/$S$29</f>
        <v>#DIV/0!</v>
      </c>
    </row>
    <row r="30" spans="2:37" x14ac:dyDescent="0.15">
      <c r="B30" s="141" t="s">
        <v>24</v>
      </c>
      <c r="C30" s="75">
        <f>SUMIFS('caseload data'!E:E,'caseload data'!$A:$A,$B30,'caseload data'!$B:$B,"custody")</f>
        <v>0</v>
      </c>
      <c r="D30" s="75">
        <f>SUMIFS('caseload data'!F:F,'caseload data'!$A:$A,$B30,'caseload data'!$B:$B,"custody")</f>
        <v>0</v>
      </c>
      <c r="E30" s="75">
        <f>SUMIFS('caseload data'!G:G,'caseload data'!$A:$A,$B30,'caseload data'!$B:$B,"custody")</f>
        <v>0</v>
      </c>
      <c r="F30" s="75">
        <f>SUMIFS('caseload data'!H:H,'caseload data'!$A:$A,$B30,'caseload data'!$B:$B,"custody")</f>
        <v>0</v>
      </c>
      <c r="G30" s="75">
        <f>SUMIFS('caseload data'!I:I,'caseload data'!$A:$A,$B30,'caseload data'!$B:$B,"custody")</f>
        <v>0</v>
      </c>
      <c r="H30" s="75">
        <f>SUMIFS('caseload data'!J:J,'caseload data'!$A:$A,$B30,'caseload data'!$B:$B,"custody")</f>
        <v>0</v>
      </c>
      <c r="I30" s="75">
        <f>SUMIFS('caseload data'!K:K,'caseload data'!$A:$A,$B30,'caseload data'!$B:$B,"custody")</f>
        <v>0</v>
      </c>
      <c r="J30" s="75">
        <f>SUMIFS('caseload data'!L:L,'caseload data'!$A:$A,$B30,'caseload data'!$B:$B,"custody")</f>
        <v>0</v>
      </c>
      <c r="K30" s="75">
        <f>SUMIFS('caseload data'!M:M,'caseload data'!$A:$A,$B30,'caseload data'!$B:$B,"custody")</f>
        <v>0</v>
      </c>
      <c r="L30" s="75">
        <f>SUMIFS('caseload data'!N:N,'caseload data'!$A:$A,$B30,'caseload data'!$B:$B,"custody")</f>
        <v>0</v>
      </c>
      <c r="M30" s="75">
        <f>SUMIFS('caseload data'!O:O,'caseload data'!$A:$A,$B30,'caseload data'!$B:$B,"custody")</f>
        <v>0</v>
      </c>
      <c r="N30" s="75">
        <f>SUMIFS('caseload data'!P:P,'caseload data'!$A:$A,$B30,'caseload data'!$B:$B,"custody")</f>
        <v>0</v>
      </c>
      <c r="O30" s="75">
        <f>SUMIFS('caseload data'!Q:Q,'caseload data'!$A:$A,$B30,'caseload data'!$B:$B,"custody")</f>
        <v>0</v>
      </c>
      <c r="P30" s="75">
        <f>SUMIFS('caseload data'!R:R,'caseload data'!$A:$A,$B30,'caseload data'!$B:$B,"custody")</f>
        <v>0</v>
      </c>
      <c r="Q30" s="75">
        <f>SUMIFS('caseload data'!S:S,'caseload data'!$A:$A,$B30,'caseload data'!$B:$B,"custody")</f>
        <v>0</v>
      </c>
      <c r="R30" s="75">
        <f>SUMIFS('caseload data'!T:T,'caseload data'!$A:$A,$B30,'caseload data'!$B:$B,"custody")</f>
        <v>0</v>
      </c>
      <c r="S30" s="75">
        <f>SUMIFS('caseload data'!V:V,'caseload data'!$A:$A,B30,'caseload data'!$B:$B,"custody")</f>
        <v>0</v>
      </c>
      <c r="T30" s="91"/>
      <c r="U30" s="141" t="s">
        <v>24</v>
      </c>
      <c r="V30" s="66" t="e">
        <f t="shared" ref="V30:AK30" si="147">C30/$S$30</f>
        <v>#DIV/0!</v>
      </c>
      <c r="W30" s="66" t="e">
        <f t="shared" si="147"/>
        <v>#DIV/0!</v>
      </c>
      <c r="X30" s="66" t="e">
        <f t="shared" si="147"/>
        <v>#DIV/0!</v>
      </c>
      <c r="Y30" s="66" t="e">
        <f t="shared" si="147"/>
        <v>#DIV/0!</v>
      </c>
      <c r="Z30" s="66" t="e">
        <f t="shared" si="147"/>
        <v>#DIV/0!</v>
      </c>
      <c r="AA30" s="66" t="e">
        <f t="shared" si="147"/>
        <v>#DIV/0!</v>
      </c>
      <c r="AB30" s="66" t="e">
        <f t="shared" si="147"/>
        <v>#DIV/0!</v>
      </c>
      <c r="AC30" s="66" t="e">
        <f t="shared" si="147"/>
        <v>#DIV/0!</v>
      </c>
      <c r="AD30" s="66" t="e">
        <f t="shared" si="147"/>
        <v>#DIV/0!</v>
      </c>
      <c r="AE30" s="66" t="e">
        <f t="shared" si="147"/>
        <v>#DIV/0!</v>
      </c>
      <c r="AF30" s="66" t="e">
        <f t="shared" si="147"/>
        <v>#DIV/0!</v>
      </c>
      <c r="AG30" s="66" t="e">
        <f t="shared" si="147"/>
        <v>#DIV/0!</v>
      </c>
      <c r="AH30" s="66" t="e">
        <f t="shared" si="147"/>
        <v>#DIV/0!</v>
      </c>
      <c r="AI30" s="66" t="e">
        <f t="shared" si="147"/>
        <v>#DIV/0!</v>
      </c>
      <c r="AJ30" s="66" t="e">
        <f t="shared" si="147"/>
        <v>#DIV/0!</v>
      </c>
      <c r="AK30" s="66" t="e">
        <f t="shared" si="147"/>
        <v>#DIV/0!</v>
      </c>
    </row>
    <row r="31" spans="2:37" x14ac:dyDescent="0.15">
      <c r="B31" s="141" t="s">
        <v>25</v>
      </c>
      <c r="C31" s="75">
        <f>SUMIFS('caseload data'!E:E,'caseload data'!$A:$A,$B31,'caseload data'!$B:$B,"custody")</f>
        <v>0</v>
      </c>
      <c r="D31" s="75">
        <f>SUMIFS('caseload data'!F:F,'caseload data'!$A:$A,$B31,'caseload data'!$B:$B,"custody")</f>
        <v>0</v>
      </c>
      <c r="E31" s="75">
        <f>SUMIFS('caseload data'!G:G,'caseload data'!$A:$A,$B31,'caseload data'!$B:$B,"custody")</f>
        <v>0</v>
      </c>
      <c r="F31" s="75">
        <f>SUMIFS('caseload data'!H:H,'caseload data'!$A:$A,$B31,'caseload data'!$B:$B,"custody")</f>
        <v>0</v>
      </c>
      <c r="G31" s="75">
        <f>SUMIFS('caseload data'!I:I,'caseload data'!$A:$A,$B31,'caseload data'!$B:$B,"custody")</f>
        <v>0</v>
      </c>
      <c r="H31" s="75">
        <f>SUMIFS('caseload data'!J:J,'caseload data'!$A:$A,$B31,'caseload data'!$B:$B,"custody")</f>
        <v>0</v>
      </c>
      <c r="I31" s="75">
        <f>SUMIFS('caseload data'!K:K,'caseload data'!$A:$A,$B31,'caseload data'!$B:$B,"custody")</f>
        <v>0</v>
      </c>
      <c r="J31" s="75">
        <f>SUMIFS('caseload data'!L:L,'caseload data'!$A:$A,$B31,'caseload data'!$B:$B,"custody")</f>
        <v>0</v>
      </c>
      <c r="K31" s="75">
        <f>SUMIFS('caseload data'!M:M,'caseload data'!$A:$A,$B31,'caseload data'!$B:$B,"custody")</f>
        <v>0</v>
      </c>
      <c r="L31" s="75">
        <f>SUMIFS('caseload data'!N:N,'caseload data'!$A:$A,$B31,'caseload data'!$B:$B,"custody")</f>
        <v>0</v>
      </c>
      <c r="M31" s="75">
        <f>SUMIFS('caseload data'!O:O,'caseload data'!$A:$A,$B31,'caseload data'!$B:$B,"custody")</f>
        <v>0</v>
      </c>
      <c r="N31" s="75">
        <f>SUMIFS('caseload data'!P:P,'caseload data'!$A:$A,$B31,'caseload data'!$B:$B,"custody")</f>
        <v>0</v>
      </c>
      <c r="O31" s="75">
        <f>SUMIFS('caseload data'!Q:Q,'caseload data'!$A:$A,$B31,'caseload data'!$B:$B,"custody")</f>
        <v>0</v>
      </c>
      <c r="P31" s="75">
        <f>SUMIFS('caseload data'!R:R,'caseload data'!$A:$A,$B31,'caseload data'!$B:$B,"custody")</f>
        <v>0</v>
      </c>
      <c r="Q31" s="75">
        <f>SUMIFS('caseload data'!S:S,'caseload data'!$A:$A,$B31,'caseload data'!$B:$B,"custody")</f>
        <v>0</v>
      </c>
      <c r="R31" s="75">
        <f>SUMIFS('caseload data'!T:T,'caseload data'!$A:$A,$B31,'caseload data'!$B:$B,"custody")</f>
        <v>0</v>
      </c>
      <c r="S31" s="75">
        <f>SUMIFS('caseload data'!V:V,'caseload data'!$A:$A,B31,'caseload data'!$B:$B,"custody")</f>
        <v>0</v>
      </c>
      <c r="T31" s="91"/>
      <c r="U31" s="141" t="s">
        <v>25</v>
      </c>
      <c r="V31" s="66" t="e">
        <f>C31/$S$31</f>
        <v>#DIV/0!</v>
      </c>
      <c r="W31" s="66" t="e">
        <f t="shared" ref="W31:AB31" si="148">D31/$S$31</f>
        <v>#DIV/0!</v>
      </c>
      <c r="X31" s="66" t="e">
        <f t="shared" si="148"/>
        <v>#DIV/0!</v>
      </c>
      <c r="Y31" s="66" t="e">
        <f t="shared" si="148"/>
        <v>#DIV/0!</v>
      </c>
      <c r="Z31" s="66" t="e">
        <f t="shared" si="148"/>
        <v>#DIV/0!</v>
      </c>
      <c r="AA31" s="66" t="e">
        <f t="shared" si="148"/>
        <v>#DIV/0!</v>
      </c>
      <c r="AB31" s="66" t="e">
        <f t="shared" si="148"/>
        <v>#DIV/0!</v>
      </c>
      <c r="AC31" s="66" t="e">
        <f t="shared" ref="AC31" si="149">J31/$S$31</f>
        <v>#DIV/0!</v>
      </c>
      <c r="AD31" s="66" t="e">
        <f t="shared" ref="AD31" si="150">K31/$S$31</f>
        <v>#DIV/0!</v>
      </c>
      <c r="AE31" s="66" t="e">
        <f t="shared" ref="AE31" si="151">L31/$S$31</f>
        <v>#DIV/0!</v>
      </c>
      <c r="AF31" s="66" t="e">
        <f t="shared" ref="AF31" si="152">M31/$S$31</f>
        <v>#DIV/0!</v>
      </c>
      <c r="AG31" s="66" t="e">
        <f t="shared" ref="AG31:AH31" si="153">N31/$S$31</f>
        <v>#DIV/0!</v>
      </c>
      <c r="AH31" s="66" t="e">
        <f t="shared" si="153"/>
        <v>#DIV/0!</v>
      </c>
      <c r="AI31" s="66" t="e">
        <f t="shared" ref="AI31" si="154">P31/$S$31</f>
        <v>#DIV/0!</v>
      </c>
      <c r="AJ31" s="66" t="e">
        <f t="shared" ref="AJ31" si="155">Q31/$S$31</f>
        <v>#DIV/0!</v>
      </c>
      <c r="AK31" s="66" t="e">
        <f t="shared" ref="AK31" si="156">R31/$S$31</f>
        <v>#DIV/0!</v>
      </c>
    </row>
    <row r="32" spans="2:37" x14ac:dyDescent="0.15">
      <c r="B32" s="141" t="s">
        <v>26</v>
      </c>
      <c r="C32" s="75">
        <f>SUMIFS('caseload data'!E:E,'caseload data'!$A:$A,$B32,'caseload data'!$B:$B,"custody")</f>
        <v>0</v>
      </c>
      <c r="D32" s="75">
        <f>SUMIFS('caseload data'!F:F,'caseload data'!$A:$A,$B32,'caseload data'!$B:$B,"custody")</f>
        <v>0</v>
      </c>
      <c r="E32" s="75">
        <f>SUMIFS('caseload data'!G:G,'caseload data'!$A:$A,$B32,'caseload data'!$B:$B,"custody")</f>
        <v>0</v>
      </c>
      <c r="F32" s="75">
        <f>SUMIFS('caseload data'!H:H,'caseload data'!$A:$A,$B32,'caseload data'!$B:$B,"custody")</f>
        <v>0</v>
      </c>
      <c r="G32" s="75">
        <f>SUMIFS('caseload data'!I:I,'caseload data'!$A:$A,$B32,'caseload data'!$B:$B,"custody")</f>
        <v>0</v>
      </c>
      <c r="H32" s="75">
        <f>SUMIFS('caseload data'!J:J,'caseload data'!$A:$A,$B32,'caseload data'!$B:$B,"custody")</f>
        <v>0</v>
      </c>
      <c r="I32" s="75">
        <f>SUMIFS('caseload data'!K:K,'caseload data'!$A:$A,$B32,'caseload data'!$B:$B,"custody")</f>
        <v>0</v>
      </c>
      <c r="J32" s="75">
        <f>SUMIFS('caseload data'!L:L,'caseload data'!$A:$A,$B32,'caseload data'!$B:$B,"custody")</f>
        <v>0</v>
      </c>
      <c r="K32" s="75">
        <f>SUMIFS('caseload data'!M:M,'caseload data'!$A:$A,$B32,'caseload data'!$B:$B,"custody")</f>
        <v>0</v>
      </c>
      <c r="L32" s="75">
        <f>SUMIFS('caseload data'!N:N,'caseload data'!$A:$A,$B32,'caseload data'!$B:$B,"custody")</f>
        <v>0</v>
      </c>
      <c r="M32" s="75">
        <f>SUMIFS('caseload data'!O:O,'caseload data'!$A:$A,$B32,'caseload data'!$B:$B,"custody")</f>
        <v>0</v>
      </c>
      <c r="N32" s="75">
        <f>SUMIFS('caseload data'!P:P,'caseload data'!$A:$A,$B32,'caseload data'!$B:$B,"custody")</f>
        <v>0</v>
      </c>
      <c r="O32" s="75">
        <f>SUMIFS('caseload data'!Q:Q,'caseload data'!$A:$A,$B32,'caseload data'!$B:$B,"custody")</f>
        <v>0</v>
      </c>
      <c r="P32" s="75">
        <f>SUMIFS('caseload data'!R:R,'caseload data'!$A:$A,$B32,'caseload data'!$B:$B,"custody")</f>
        <v>0</v>
      </c>
      <c r="Q32" s="75">
        <f>SUMIFS('caseload data'!S:S,'caseload data'!$A:$A,$B32,'caseload data'!$B:$B,"custody")</f>
        <v>0</v>
      </c>
      <c r="R32" s="75">
        <f>SUMIFS('caseload data'!T:T,'caseload data'!$A:$A,$B32,'caseload data'!$B:$B,"custody")</f>
        <v>0</v>
      </c>
      <c r="S32" s="75">
        <f>SUMIFS('caseload data'!V:V,'caseload data'!$A:$A,B32,'caseload data'!$B:$B,"custody")</f>
        <v>0</v>
      </c>
      <c r="T32" s="91"/>
      <c r="U32" s="141" t="s">
        <v>26</v>
      </c>
      <c r="V32" s="66" t="e">
        <f>C32/$S$32</f>
        <v>#DIV/0!</v>
      </c>
      <c r="W32" s="66" t="e">
        <f t="shared" ref="W32:AB32" si="157">D32/$S$32</f>
        <v>#DIV/0!</v>
      </c>
      <c r="X32" s="66" t="e">
        <f t="shared" si="157"/>
        <v>#DIV/0!</v>
      </c>
      <c r="Y32" s="66" t="e">
        <f t="shared" si="157"/>
        <v>#DIV/0!</v>
      </c>
      <c r="Z32" s="66" t="e">
        <f t="shared" si="157"/>
        <v>#DIV/0!</v>
      </c>
      <c r="AA32" s="66" t="e">
        <f t="shared" si="157"/>
        <v>#DIV/0!</v>
      </c>
      <c r="AB32" s="66" t="e">
        <f t="shared" si="157"/>
        <v>#DIV/0!</v>
      </c>
      <c r="AC32" s="66" t="e">
        <f t="shared" ref="AC32" si="158">J32/$S$32</f>
        <v>#DIV/0!</v>
      </c>
      <c r="AD32" s="66" t="e">
        <f t="shared" ref="AD32" si="159">K32/$S$32</f>
        <v>#DIV/0!</v>
      </c>
      <c r="AE32" s="66" t="e">
        <f t="shared" ref="AE32" si="160">L32/$S$32</f>
        <v>#DIV/0!</v>
      </c>
      <c r="AF32" s="66" t="e">
        <f t="shared" ref="AF32" si="161">M32/$S$32</f>
        <v>#DIV/0!</v>
      </c>
      <c r="AG32" s="66" t="e">
        <f t="shared" ref="AG32:AH32" si="162">N32/$S$32</f>
        <v>#DIV/0!</v>
      </c>
      <c r="AH32" s="66" t="e">
        <f t="shared" si="162"/>
        <v>#DIV/0!</v>
      </c>
      <c r="AI32" s="66" t="e">
        <f t="shared" ref="AI32" si="163">P32/$S$32</f>
        <v>#DIV/0!</v>
      </c>
      <c r="AJ32" s="66" t="e">
        <f t="shared" ref="AJ32" si="164">Q32/$S$32</f>
        <v>#DIV/0!</v>
      </c>
      <c r="AK32" s="66" t="e">
        <f t="shared" ref="AK32" si="165">R32/$S$32</f>
        <v>#DIV/0!</v>
      </c>
    </row>
    <row r="33" spans="2:37" x14ac:dyDescent="0.15">
      <c r="B33" s="141" t="s">
        <v>27</v>
      </c>
      <c r="C33" s="75">
        <f>SUMIFS('caseload data'!E:E,'caseload data'!$A:$A,$B33,'caseload data'!$B:$B,"custody")</f>
        <v>0</v>
      </c>
      <c r="D33" s="75">
        <f>SUMIFS('caseload data'!F:F,'caseload data'!$A:$A,$B33,'caseload data'!$B:$B,"custody")</f>
        <v>0</v>
      </c>
      <c r="E33" s="75">
        <f>SUMIFS('caseload data'!G:G,'caseload data'!$A:$A,$B33,'caseload data'!$B:$B,"custody")</f>
        <v>0</v>
      </c>
      <c r="F33" s="75">
        <f>SUMIFS('caseload data'!H:H,'caseload data'!$A:$A,$B33,'caseload data'!$B:$B,"custody")</f>
        <v>0</v>
      </c>
      <c r="G33" s="75">
        <f>SUMIFS('caseload data'!I:I,'caseload data'!$A:$A,$B33,'caseload data'!$B:$B,"custody")</f>
        <v>0</v>
      </c>
      <c r="H33" s="75">
        <f>SUMIFS('caseload data'!J:J,'caseload data'!$A:$A,$B33,'caseload data'!$B:$B,"custody")</f>
        <v>0</v>
      </c>
      <c r="I33" s="75">
        <f>SUMIFS('caseload data'!K:K,'caseload data'!$A:$A,$B33,'caseload data'!$B:$B,"custody")</f>
        <v>0</v>
      </c>
      <c r="J33" s="75">
        <f>SUMIFS('caseload data'!L:L,'caseload data'!$A:$A,$B33,'caseload data'!$B:$B,"custody")</f>
        <v>0</v>
      </c>
      <c r="K33" s="75">
        <f>SUMIFS('caseload data'!M:M,'caseload data'!$A:$A,$B33,'caseload data'!$B:$B,"custody")</f>
        <v>0</v>
      </c>
      <c r="L33" s="75">
        <f>SUMIFS('caseload data'!N:N,'caseload data'!$A:$A,$B33,'caseload data'!$B:$B,"custody")</f>
        <v>0</v>
      </c>
      <c r="M33" s="75">
        <f>SUMIFS('caseload data'!O:O,'caseload data'!$A:$A,$B33,'caseload data'!$B:$B,"custody")</f>
        <v>0</v>
      </c>
      <c r="N33" s="75">
        <f>SUMIFS('caseload data'!P:P,'caseload data'!$A:$A,$B33,'caseload data'!$B:$B,"custody")</f>
        <v>0</v>
      </c>
      <c r="O33" s="75">
        <f>SUMIFS('caseload data'!Q:Q,'caseload data'!$A:$A,$B33,'caseload data'!$B:$B,"custody")</f>
        <v>0</v>
      </c>
      <c r="P33" s="75">
        <f>SUMIFS('caseload data'!R:R,'caseload data'!$A:$A,$B33,'caseload data'!$B:$B,"custody")</f>
        <v>0</v>
      </c>
      <c r="Q33" s="75">
        <f>SUMIFS('caseload data'!S:S,'caseload data'!$A:$A,$B33,'caseload data'!$B:$B,"custody")</f>
        <v>0</v>
      </c>
      <c r="R33" s="75">
        <f>SUMIFS('caseload data'!T:T,'caseload data'!$A:$A,$B33,'caseload data'!$B:$B,"custody")</f>
        <v>0</v>
      </c>
      <c r="S33" s="75">
        <f>SUMIFS('caseload data'!V:V,'caseload data'!$A:$A,B33,'caseload data'!$B:$B,"custody")</f>
        <v>0</v>
      </c>
      <c r="T33" s="91"/>
      <c r="U33" s="141" t="s">
        <v>27</v>
      </c>
      <c r="V33" s="66" t="e">
        <f>C33/$S$33</f>
        <v>#DIV/0!</v>
      </c>
      <c r="W33" s="66" t="e">
        <f t="shared" ref="W33:AB33" si="166">D33/$S$33</f>
        <v>#DIV/0!</v>
      </c>
      <c r="X33" s="66" t="e">
        <f t="shared" si="166"/>
        <v>#DIV/0!</v>
      </c>
      <c r="Y33" s="66" t="e">
        <f t="shared" si="166"/>
        <v>#DIV/0!</v>
      </c>
      <c r="Z33" s="66" t="e">
        <f t="shared" si="166"/>
        <v>#DIV/0!</v>
      </c>
      <c r="AA33" s="66" t="e">
        <f t="shared" si="166"/>
        <v>#DIV/0!</v>
      </c>
      <c r="AB33" s="66" t="e">
        <f t="shared" si="166"/>
        <v>#DIV/0!</v>
      </c>
      <c r="AC33" s="66" t="e">
        <f t="shared" ref="AC33" si="167">J33/$S$33</f>
        <v>#DIV/0!</v>
      </c>
      <c r="AD33" s="66" t="e">
        <f t="shared" ref="AD33" si="168">K33/$S$33</f>
        <v>#DIV/0!</v>
      </c>
      <c r="AE33" s="66" t="e">
        <f t="shared" ref="AE33" si="169">L33/$S$33</f>
        <v>#DIV/0!</v>
      </c>
      <c r="AF33" s="66" t="e">
        <f t="shared" ref="AF33" si="170">M33/$S$33</f>
        <v>#DIV/0!</v>
      </c>
      <c r="AG33" s="66" t="e">
        <f t="shared" ref="AG33:AH33" si="171">N33/$S$33</f>
        <v>#DIV/0!</v>
      </c>
      <c r="AH33" s="66" t="e">
        <f t="shared" si="171"/>
        <v>#DIV/0!</v>
      </c>
      <c r="AI33" s="66" t="e">
        <f t="shared" ref="AI33" si="172">P33/$S$33</f>
        <v>#DIV/0!</v>
      </c>
      <c r="AJ33" s="66" t="e">
        <f t="shared" ref="AJ33" si="173">Q33/$S$33</f>
        <v>#DIV/0!</v>
      </c>
      <c r="AK33" s="66" t="e">
        <f t="shared" ref="AK33" si="174">R33/$S$33</f>
        <v>#DIV/0!</v>
      </c>
    </row>
    <row r="34" spans="2:37" x14ac:dyDescent="0.15">
      <c r="B34" s="141" t="s">
        <v>28</v>
      </c>
      <c r="C34" s="75">
        <f>SUMIFS('caseload data'!E:E,'caseload data'!$A:$A,$B34,'caseload data'!$B:$B,"custody")</f>
        <v>0</v>
      </c>
      <c r="D34" s="75">
        <f>SUMIFS('caseload data'!F:F,'caseload data'!$A:$A,$B34,'caseload data'!$B:$B,"custody")</f>
        <v>0</v>
      </c>
      <c r="E34" s="75">
        <f>SUMIFS('caseload data'!G:G,'caseload data'!$A:$A,$B34,'caseload data'!$B:$B,"custody")</f>
        <v>0</v>
      </c>
      <c r="F34" s="75">
        <f>SUMIFS('caseload data'!H:H,'caseload data'!$A:$A,$B34,'caseload data'!$B:$B,"custody")</f>
        <v>0</v>
      </c>
      <c r="G34" s="75">
        <f>SUMIFS('caseload data'!I:I,'caseload data'!$A:$A,$B34,'caseload data'!$B:$B,"custody")</f>
        <v>0</v>
      </c>
      <c r="H34" s="75">
        <f>SUMIFS('caseload data'!J:J,'caseload data'!$A:$A,$B34,'caseload data'!$B:$B,"custody")</f>
        <v>0</v>
      </c>
      <c r="I34" s="75">
        <f>SUMIFS('caseload data'!K:K,'caseload data'!$A:$A,$B34,'caseload data'!$B:$B,"custody")</f>
        <v>0</v>
      </c>
      <c r="J34" s="75">
        <f>SUMIFS('caseload data'!L:L,'caseload data'!$A:$A,$B34,'caseload data'!$B:$B,"custody")</f>
        <v>0</v>
      </c>
      <c r="K34" s="75">
        <f>SUMIFS('caseload data'!M:M,'caseload data'!$A:$A,$B34,'caseload data'!$B:$B,"custody")</f>
        <v>0</v>
      </c>
      <c r="L34" s="75">
        <f>SUMIFS('caseload data'!N:N,'caseload data'!$A:$A,$B34,'caseload data'!$B:$B,"custody")</f>
        <v>0</v>
      </c>
      <c r="M34" s="75">
        <f>SUMIFS('caseload data'!O:O,'caseload data'!$A:$A,$B34,'caseload data'!$B:$B,"custody")</f>
        <v>0</v>
      </c>
      <c r="N34" s="75">
        <f>SUMIFS('caseload data'!P:P,'caseload data'!$A:$A,$B34,'caseload data'!$B:$B,"custody")</f>
        <v>0</v>
      </c>
      <c r="O34" s="75">
        <f>SUMIFS('caseload data'!Q:Q,'caseload data'!$A:$A,$B34,'caseload data'!$B:$B,"custody")</f>
        <v>0</v>
      </c>
      <c r="P34" s="75">
        <f>SUMIFS('caseload data'!R:R,'caseload data'!$A:$A,$B34,'caseload data'!$B:$B,"custody")</f>
        <v>0</v>
      </c>
      <c r="Q34" s="75">
        <f>SUMIFS('caseload data'!S:S,'caseload data'!$A:$A,$B34,'caseload data'!$B:$B,"custody")</f>
        <v>0</v>
      </c>
      <c r="R34" s="75">
        <f>SUMIFS('caseload data'!T:T,'caseload data'!$A:$A,$B34,'caseload data'!$B:$B,"custody")</f>
        <v>0</v>
      </c>
      <c r="S34" s="75">
        <f>SUMIFS('caseload data'!V:V,'caseload data'!$A:$A,B34,'caseload data'!$B:$B,"custody")</f>
        <v>0</v>
      </c>
      <c r="T34" s="91"/>
      <c r="U34" s="141" t="s">
        <v>28</v>
      </c>
      <c r="V34" s="66" t="e">
        <f>C34/$S$34</f>
        <v>#DIV/0!</v>
      </c>
      <c r="W34" s="66" t="e">
        <f t="shared" ref="W34:AB34" si="175">D34/$S$34</f>
        <v>#DIV/0!</v>
      </c>
      <c r="X34" s="66" t="e">
        <f t="shared" si="175"/>
        <v>#DIV/0!</v>
      </c>
      <c r="Y34" s="66" t="e">
        <f t="shared" si="175"/>
        <v>#DIV/0!</v>
      </c>
      <c r="Z34" s="66" t="e">
        <f t="shared" si="175"/>
        <v>#DIV/0!</v>
      </c>
      <c r="AA34" s="66" t="e">
        <f t="shared" si="175"/>
        <v>#DIV/0!</v>
      </c>
      <c r="AB34" s="66" t="e">
        <f t="shared" si="175"/>
        <v>#DIV/0!</v>
      </c>
      <c r="AC34" s="66" t="e">
        <f t="shared" ref="AC34" si="176">J34/$S$34</f>
        <v>#DIV/0!</v>
      </c>
      <c r="AD34" s="66" t="e">
        <f t="shared" ref="AD34" si="177">K34/$S$34</f>
        <v>#DIV/0!</v>
      </c>
      <c r="AE34" s="66" t="e">
        <f t="shared" ref="AE34" si="178">L34/$S$34</f>
        <v>#DIV/0!</v>
      </c>
      <c r="AF34" s="66" t="e">
        <f t="shared" ref="AF34" si="179">M34/$S$34</f>
        <v>#DIV/0!</v>
      </c>
      <c r="AG34" s="66" t="e">
        <f t="shared" ref="AG34:AH34" si="180">N34/$S$34</f>
        <v>#DIV/0!</v>
      </c>
      <c r="AH34" s="66" t="e">
        <f t="shared" si="180"/>
        <v>#DIV/0!</v>
      </c>
      <c r="AI34" s="66" t="e">
        <f t="shared" ref="AI34" si="181">P34/$S$34</f>
        <v>#DIV/0!</v>
      </c>
      <c r="AJ34" s="66" t="e">
        <f t="shared" ref="AJ34" si="182">Q34/$S$34</f>
        <v>#DIV/0!</v>
      </c>
      <c r="AK34" s="66" t="e">
        <f t="shared" ref="AK34" si="183">R34/$S$34</f>
        <v>#DIV/0!</v>
      </c>
    </row>
    <row r="35" spans="2:37" x14ac:dyDescent="0.15">
      <c r="B35" s="110" t="s">
        <v>1083</v>
      </c>
      <c r="C35" s="110">
        <f>SUMIF('caseload data'!$B:$B,"custody",'caseload data'!E:E)</f>
        <v>0</v>
      </c>
      <c r="D35" s="110">
        <f>SUMIF('caseload data'!$B:$B,"custody",'caseload data'!F:F)</f>
        <v>0</v>
      </c>
      <c r="E35" s="110">
        <f>SUMIF('caseload data'!$B:$B,"custody",'caseload data'!G:G)</f>
        <v>0</v>
      </c>
      <c r="F35" s="110">
        <f>SUMIF('caseload data'!$B:$B,"custody",'caseload data'!H:H)</f>
        <v>0</v>
      </c>
      <c r="G35" s="110">
        <f>SUMIF('caseload data'!$B:$B,"custody",'caseload data'!I:I)</f>
        <v>0</v>
      </c>
      <c r="H35" s="110">
        <f>SUMIF('caseload data'!$B:$B,"custody",'caseload data'!J:J)</f>
        <v>0</v>
      </c>
      <c r="I35" s="110">
        <f>SUMIF('caseload data'!$B:$B,"custody",'caseload data'!K:K)</f>
        <v>0</v>
      </c>
      <c r="J35" s="110">
        <f>SUMIF('caseload data'!$B:$B,"custody",'caseload data'!L:L)</f>
        <v>0</v>
      </c>
      <c r="K35" s="110">
        <f>SUMIF('caseload data'!$B:$B,"custody",'caseload data'!M:M)</f>
        <v>0</v>
      </c>
      <c r="L35" s="110">
        <f>SUMIF('caseload data'!$B:$B,"custody",'caseload data'!N:N)</f>
        <v>0</v>
      </c>
      <c r="M35" s="110">
        <f>SUMIF('caseload data'!$B:$B,"custody",'caseload data'!O:O)</f>
        <v>0</v>
      </c>
      <c r="N35" s="110">
        <f>SUMIF('caseload data'!$B:$B,"custody",'caseload data'!P:P)</f>
        <v>0</v>
      </c>
      <c r="O35" s="110">
        <f>SUMIF('caseload data'!$B:$B,"custody",'caseload data'!Q:Q)</f>
        <v>0</v>
      </c>
      <c r="P35" s="110">
        <f>SUMIF('caseload data'!$B:$B,"custody",'caseload data'!R:R)</f>
        <v>0</v>
      </c>
      <c r="Q35" s="110">
        <f>SUMIF('caseload data'!$B:$B,"custody",'caseload data'!S:S)</f>
        <v>0</v>
      </c>
      <c r="R35" s="110">
        <f>SUMIF('caseload data'!$B:$B,"custody",'caseload data'!T:T)</f>
        <v>0</v>
      </c>
      <c r="S35" s="110">
        <f>SUMIF('caseload data'!$B:$B,"custody",'caseload data'!V:V)</f>
        <v>0</v>
      </c>
      <c r="T35" s="91"/>
      <c r="U35" s="110" t="s">
        <v>1083</v>
      </c>
      <c r="V35" s="115" t="e">
        <f>C35/$S$35</f>
        <v>#DIV/0!</v>
      </c>
      <c r="W35" s="115" t="e">
        <f t="shared" ref="W35:AB35" si="184">D35/$S$35</f>
        <v>#DIV/0!</v>
      </c>
      <c r="X35" s="115" t="e">
        <f t="shared" si="184"/>
        <v>#DIV/0!</v>
      </c>
      <c r="Y35" s="115" t="e">
        <f t="shared" si="184"/>
        <v>#DIV/0!</v>
      </c>
      <c r="Z35" s="115" t="e">
        <f t="shared" si="184"/>
        <v>#DIV/0!</v>
      </c>
      <c r="AA35" s="115" t="e">
        <f t="shared" si="184"/>
        <v>#DIV/0!</v>
      </c>
      <c r="AB35" s="115" t="e">
        <f t="shared" si="184"/>
        <v>#DIV/0!</v>
      </c>
      <c r="AC35" s="115" t="e">
        <f t="shared" ref="AC35" si="185">J35/$S$35</f>
        <v>#DIV/0!</v>
      </c>
      <c r="AD35" s="115" t="e">
        <f t="shared" ref="AD35" si="186">K35/$S$35</f>
        <v>#DIV/0!</v>
      </c>
      <c r="AE35" s="115" t="e">
        <f t="shared" ref="AE35" si="187">L35/$S$35</f>
        <v>#DIV/0!</v>
      </c>
      <c r="AF35" s="115" t="e">
        <f t="shared" ref="AF35" si="188">M35/$S$35</f>
        <v>#DIV/0!</v>
      </c>
      <c r="AG35" s="115" t="e">
        <f t="shared" ref="AG35:AH35" si="189">N35/$S$35</f>
        <v>#DIV/0!</v>
      </c>
      <c r="AH35" s="115" t="e">
        <f t="shared" si="189"/>
        <v>#DIV/0!</v>
      </c>
      <c r="AI35" s="115" t="e">
        <f t="shared" ref="AI35" si="190">P35/$S$35</f>
        <v>#DIV/0!</v>
      </c>
      <c r="AJ35" s="115" t="e">
        <f t="shared" ref="AJ35" si="191">Q35/$S$35</f>
        <v>#DIV/0!</v>
      </c>
      <c r="AK35" s="115" t="e">
        <f t="shared" ref="AK35" si="192">R35/$S$35</f>
        <v>#DIV/0!</v>
      </c>
    </row>
    <row r="38" spans="2:37" ht="18" x14ac:dyDescent="0.2">
      <c r="C38" s="505" t="s">
        <v>1086</v>
      </c>
      <c r="D38" s="506"/>
      <c r="E38" s="506"/>
      <c r="F38" s="506"/>
      <c r="G38" s="506"/>
      <c r="H38" s="506"/>
      <c r="I38" s="506"/>
      <c r="J38" s="506"/>
      <c r="K38" s="506"/>
      <c r="L38" s="506"/>
      <c r="M38" s="506"/>
      <c r="N38" s="506"/>
      <c r="O38" s="506"/>
      <c r="P38" s="506"/>
      <c r="Q38" s="506"/>
      <c r="R38" s="506"/>
      <c r="S38" s="507"/>
      <c r="T38" s="1"/>
      <c r="U38" s="1"/>
      <c r="V38" s="505" t="s">
        <v>1087</v>
      </c>
      <c r="W38" s="506"/>
      <c r="X38" s="506"/>
      <c r="Y38" s="506"/>
      <c r="Z38" s="506"/>
      <c r="AA38" s="506"/>
      <c r="AB38" s="506"/>
      <c r="AC38" s="506"/>
      <c r="AD38" s="506"/>
      <c r="AE38" s="506"/>
      <c r="AF38" s="506"/>
      <c r="AG38" s="506"/>
      <c r="AH38" s="506"/>
      <c r="AI38" s="506"/>
      <c r="AJ38" s="506"/>
      <c r="AK38" s="506"/>
    </row>
    <row r="39" spans="2:37" ht="18.75" customHeight="1" x14ac:dyDescent="0.15">
      <c r="B39" s="139"/>
      <c r="C39" s="38" t="s">
        <v>864</v>
      </c>
      <c r="D39" s="38" t="s">
        <v>865</v>
      </c>
      <c r="E39" s="38" t="s">
        <v>866</v>
      </c>
      <c r="F39" s="38" t="s">
        <v>867</v>
      </c>
      <c r="G39" s="38" t="s">
        <v>868</v>
      </c>
      <c r="H39" s="38" t="s">
        <v>869</v>
      </c>
      <c r="I39" s="38" t="s">
        <v>870</v>
      </c>
      <c r="J39" s="38" t="s">
        <v>871</v>
      </c>
      <c r="K39" s="38" t="s">
        <v>872</v>
      </c>
      <c r="L39" s="38" t="s">
        <v>873</v>
      </c>
      <c r="M39" s="38" t="s">
        <v>874</v>
      </c>
      <c r="N39" s="38" t="s">
        <v>875</v>
      </c>
      <c r="O39" s="38" t="s">
        <v>876</v>
      </c>
      <c r="P39" s="38" t="s">
        <v>877</v>
      </c>
      <c r="Q39" s="38" t="s">
        <v>878</v>
      </c>
      <c r="R39" s="38" t="s">
        <v>879</v>
      </c>
      <c r="S39" s="39" t="s">
        <v>881</v>
      </c>
      <c r="T39" s="91"/>
      <c r="U39" s="231"/>
      <c r="V39" s="38" t="s">
        <v>864</v>
      </c>
      <c r="W39" s="38" t="s">
        <v>865</v>
      </c>
      <c r="X39" s="38" t="s">
        <v>866</v>
      </c>
      <c r="Y39" s="38" t="s">
        <v>867</v>
      </c>
      <c r="Z39" s="38" t="s">
        <v>868</v>
      </c>
      <c r="AA39" s="38" t="s">
        <v>869</v>
      </c>
      <c r="AB39" s="38" t="s">
        <v>870</v>
      </c>
      <c r="AC39" s="38" t="s">
        <v>871</v>
      </c>
      <c r="AD39" s="38" t="s">
        <v>872</v>
      </c>
      <c r="AE39" s="38" t="s">
        <v>873</v>
      </c>
      <c r="AF39" s="38" t="s">
        <v>874</v>
      </c>
      <c r="AG39" s="38" t="s">
        <v>875</v>
      </c>
      <c r="AH39" s="38" t="s">
        <v>876</v>
      </c>
      <c r="AI39" s="38" t="s">
        <v>877</v>
      </c>
      <c r="AJ39" s="38" t="s">
        <v>878</v>
      </c>
      <c r="AK39" s="38" t="s">
        <v>879</v>
      </c>
    </row>
    <row r="40" spans="2:37" x14ac:dyDescent="0.15">
      <c r="B40" s="141" t="s">
        <v>17</v>
      </c>
      <c r="C40" s="75">
        <f>SUMIFS('caseload data'!E:E,'caseload data'!$A:$A,$B40,'caseload data'!$B:$B,"licence")</f>
        <v>0</v>
      </c>
      <c r="D40" s="75">
        <f>SUMIFS('caseload data'!F:F,'caseload data'!$A:$A,$B40,'caseload data'!$B:$B,"licence")</f>
        <v>0</v>
      </c>
      <c r="E40" s="75">
        <f>SUMIFS('caseload data'!G:G,'caseload data'!$A:$A,$B40,'caseload data'!$B:$B,"licence")</f>
        <v>0</v>
      </c>
      <c r="F40" s="75">
        <f>SUMIFS('caseload data'!H:H,'caseload data'!$A:$A,$B40,'caseload data'!$B:$B,"licence")</f>
        <v>0</v>
      </c>
      <c r="G40" s="75">
        <f>SUMIFS('caseload data'!I:I,'caseload data'!$A:$A,$B40,'caseload data'!$B:$B,"licence")</f>
        <v>0</v>
      </c>
      <c r="H40" s="75">
        <f>SUMIFS('caseload data'!J:J,'caseload data'!$A:$A,$B40,'caseload data'!$B:$B,"licence")</f>
        <v>0</v>
      </c>
      <c r="I40" s="75">
        <f>SUMIFS('caseload data'!K:K,'caseload data'!$A:$A,$B40,'caseload data'!$B:$B,"licence")</f>
        <v>0</v>
      </c>
      <c r="J40" s="75">
        <f>SUMIFS('caseload data'!L:L,'caseload data'!$A:$A,$B40,'caseload data'!$B:$B,"licence")</f>
        <v>0</v>
      </c>
      <c r="K40" s="75">
        <f>SUMIFS('caseload data'!M:M,'caseload data'!$A:$A,$B40,'caseload data'!$B:$B,"licence")</f>
        <v>0</v>
      </c>
      <c r="L40" s="75">
        <f>SUMIFS('caseload data'!N:N,'caseload data'!$A:$A,$B40,'caseload data'!$B:$B,"licence")</f>
        <v>0</v>
      </c>
      <c r="M40" s="75">
        <f>SUMIFS('caseload data'!O:O,'caseload data'!$A:$A,$B40,'caseload data'!$B:$B,"licence")</f>
        <v>0</v>
      </c>
      <c r="N40" s="75">
        <f>SUMIFS('caseload data'!P:P,'caseload data'!$A:$A,$B40,'caseload data'!$B:$B,"licence")</f>
        <v>0</v>
      </c>
      <c r="O40" s="75">
        <f>SUMIFS('caseload data'!Q:Q,'caseload data'!$A:$A,$B40,'caseload data'!$B:$B,"licence")</f>
        <v>0</v>
      </c>
      <c r="P40" s="75">
        <f>SUMIFS('caseload data'!R:R,'caseload data'!$A:$A,$B40,'caseload data'!$B:$B,"licence")</f>
        <v>0</v>
      </c>
      <c r="Q40" s="75">
        <f>SUMIFS('caseload data'!S:S,'caseload data'!$A:$A,$B40,'caseload data'!$B:$B,"licence")</f>
        <v>0</v>
      </c>
      <c r="R40" s="75">
        <f>SUMIFS('caseload data'!T:T,'caseload data'!$A:$A,$B40,'caseload data'!$B:$B,"licence")</f>
        <v>0</v>
      </c>
      <c r="S40" s="75">
        <f>SUMIFS('caseload data'!V:V,'caseload data'!$A:$A,B40,'caseload data'!$B:$B,"licence")</f>
        <v>0</v>
      </c>
      <c r="T40" s="91"/>
      <c r="U40" s="141" t="s">
        <v>17</v>
      </c>
      <c r="V40" s="66" t="e">
        <f>C40/$S$40</f>
        <v>#DIV/0!</v>
      </c>
      <c r="W40" s="66" t="e">
        <f t="shared" ref="W40:AK40" si="193">D40/$S$40</f>
        <v>#DIV/0!</v>
      </c>
      <c r="X40" s="66" t="e">
        <f t="shared" si="193"/>
        <v>#DIV/0!</v>
      </c>
      <c r="Y40" s="66" t="e">
        <f t="shared" si="193"/>
        <v>#DIV/0!</v>
      </c>
      <c r="Z40" s="66" t="e">
        <f t="shared" si="193"/>
        <v>#DIV/0!</v>
      </c>
      <c r="AA40" s="66" t="e">
        <f t="shared" si="193"/>
        <v>#DIV/0!</v>
      </c>
      <c r="AB40" s="66" t="e">
        <f t="shared" si="193"/>
        <v>#DIV/0!</v>
      </c>
      <c r="AC40" s="66" t="e">
        <f t="shared" si="193"/>
        <v>#DIV/0!</v>
      </c>
      <c r="AD40" s="66" t="e">
        <f t="shared" si="193"/>
        <v>#DIV/0!</v>
      </c>
      <c r="AE40" s="66" t="e">
        <f t="shared" si="193"/>
        <v>#DIV/0!</v>
      </c>
      <c r="AF40" s="66" t="e">
        <f t="shared" si="193"/>
        <v>#DIV/0!</v>
      </c>
      <c r="AG40" s="66" t="e">
        <f t="shared" si="193"/>
        <v>#DIV/0!</v>
      </c>
      <c r="AH40" s="66" t="e">
        <f t="shared" si="193"/>
        <v>#DIV/0!</v>
      </c>
      <c r="AI40" s="66" t="e">
        <f t="shared" si="193"/>
        <v>#DIV/0!</v>
      </c>
      <c r="AJ40" s="66" t="e">
        <f t="shared" si="193"/>
        <v>#DIV/0!</v>
      </c>
      <c r="AK40" s="66" t="e">
        <f t="shared" si="193"/>
        <v>#DIV/0!</v>
      </c>
    </row>
    <row r="41" spans="2:37" x14ac:dyDescent="0.15">
      <c r="B41" s="141" t="s">
        <v>18</v>
      </c>
      <c r="C41" s="75">
        <f>SUMIFS('caseload data'!E:E,'caseload data'!$A:$A,$B41,'caseload data'!$B:$B,"licence")</f>
        <v>0</v>
      </c>
      <c r="D41" s="75">
        <f>SUMIFS('caseload data'!F:F,'caseload data'!$A:$A,$B41,'caseload data'!$B:$B,"licence")</f>
        <v>0</v>
      </c>
      <c r="E41" s="75">
        <f>SUMIFS('caseload data'!G:G,'caseload data'!$A:$A,$B41,'caseload data'!$B:$B,"licence")</f>
        <v>0</v>
      </c>
      <c r="F41" s="75">
        <f>SUMIFS('caseload data'!H:H,'caseload data'!$A:$A,$B41,'caseload data'!$B:$B,"licence")</f>
        <v>0</v>
      </c>
      <c r="G41" s="75">
        <f>SUMIFS('caseload data'!I:I,'caseload data'!$A:$A,$B41,'caseload data'!$B:$B,"licence")</f>
        <v>0</v>
      </c>
      <c r="H41" s="75">
        <f>SUMIFS('caseload data'!J:J,'caseload data'!$A:$A,$B41,'caseload data'!$B:$B,"licence")</f>
        <v>0</v>
      </c>
      <c r="I41" s="75">
        <f>SUMIFS('caseload data'!K:K,'caseload data'!$A:$A,$B41,'caseload data'!$B:$B,"licence")</f>
        <v>0</v>
      </c>
      <c r="J41" s="75">
        <f>SUMIFS('caseload data'!L:L,'caseload data'!$A:$A,$B41,'caseload data'!$B:$B,"licence")</f>
        <v>0</v>
      </c>
      <c r="K41" s="75">
        <f>SUMIFS('caseload data'!M:M,'caseload data'!$A:$A,$B41,'caseload data'!$B:$B,"licence")</f>
        <v>0</v>
      </c>
      <c r="L41" s="75">
        <f>SUMIFS('caseload data'!N:N,'caseload data'!$A:$A,$B41,'caseload data'!$B:$B,"licence")</f>
        <v>0</v>
      </c>
      <c r="M41" s="75">
        <f>SUMIFS('caseload data'!O:O,'caseload data'!$A:$A,$B41,'caseload data'!$B:$B,"licence")</f>
        <v>0</v>
      </c>
      <c r="N41" s="75">
        <f>SUMIFS('caseload data'!P:P,'caseload data'!$A:$A,$B41,'caseload data'!$B:$B,"licence")</f>
        <v>0</v>
      </c>
      <c r="O41" s="75">
        <f>SUMIFS('caseload data'!Q:Q,'caseload data'!$A:$A,$B41,'caseload data'!$B:$B,"licence")</f>
        <v>0</v>
      </c>
      <c r="P41" s="75">
        <f>SUMIFS('caseload data'!R:R,'caseload data'!$A:$A,$B41,'caseload data'!$B:$B,"licence")</f>
        <v>0</v>
      </c>
      <c r="Q41" s="75">
        <f>SUMIFS('caseload data'!S:S,'caseload data'!$A:$A,$B41,'caseload data'!$B:$B,"licence")</f>
        <v>0</v>
      </c>
      <c r="R41" s="75">
        <f>SUMIFS('caseload data'!T:T,'caseload data'!$A:$A,$B41,'caseload data'!$B:$B,"licence")</f>
        <v>0</v>
      </c>
      <c r="S41" s="75">
        <f>SUMIFS('caseload data'!V:V,'caseload data'!$A:$A,B41,'caseload data'!$B:$B,"licence")</f>
        <v>0</v>
      </c>
      <c r="T41" s="91"/>
      <c r="U41" s="141" t="s">
        <v>18</v>
      </c>
      <c r="V41" s="66" t="e">
        <f>C41/$S$41</f>
        <v>#DIV/0!</v>
      </c>
      <c r="W41" s="66" t="e">
        <f t="shared" ref="W41:AK41" si="194">D41/$S$41</f>
        <v>#DIV/0!</v>
      </c>
      <c r="X41" s="66" t="e">
        <f t="shared" si="194"/>
        <v>#DIV/0!</v>
      </c>
      <c r="Y41" s="66" t="e">
        <f t="shared" si="194"/>
        <v>#DIV/0!</v>
      </c>
      <c r="Z41" s="66" t="e">
        <f t="shared" si="194"/>
        <v>#DIV/0!</v>
      </c>
      <c r="AA41" s="66" t="e">
        <f t="shared" si="194"/>
        <v>#DIV/0!</v>
      </c>
      <c r="AB41" s="66" t="e">
        <f t="shared" si="194"/>
        <v>#DIV/0!</v>
      </c>
      <c r="AC41" s="66" t="e">
        <f t="shared" si="194"/>
        <v>#DIV/0!</v>
      </c>
      <c r="AD41" s="66" t="e">
        <f t="shared" si="194"/>
        <v>#DIV/0!</v>
      </c>
      <c r="AE41" s="66" t="e">
        <f t="shared" si="194"/>
        <v>#DIV/0!</v>
      </c>
      <c r="AF41" s="66" t="e">
        <f t="shared" si="194"/>
        <v>#DIV/0!</v>
      </c>
      <c r="AG41" s="66" t="e">
        <f t="shared" si="194"/>
        <v>#DIV/0!</v>
      </c>
      <c r="AH41" s="66" t="e">
        <f t="shared" si="194"/>
        <v>#DIV/0!</v>
      </c>
      <c r="AI41" s="66" t="e">
        <f t="shared" si="194"/>
        <v>#DIV/0!</v>
      </c>
      <c r="AJ41" s="66" t="e">
        <f t="shared" si="194"/>
        <v>#DIV/0!</v>
      </c>
      <c r="AK41" s="66" t="e">
        <f t="shared" si="194"/>
        <v>#DIV/0!</v>
      </c>
    </row>
    <row r="42" spans="2:37" x14ac:dyDescent="0.15">
      <c r="B42" s="141" t="s">
        <v>19</v>
      </c>
      <c r="C42" s="75">
        <f>SUMIFS('caseload data'!E:E,'caseload data'!$A:$A,$B42,'caseload data'!$B:$B,"licence")</f>
        <v>0</v>
      </c>
      <c r="D42" s="75">
        <f>SUMIFS('caseload data'!F:F,'caseload data'!$A:$A,$B42,'caseload data'!$B:$B,"licence")</f>
        <v>0</v>
      </c>
      <c r="E42" s="75">
        <f>SUMIFS('caseload data'!G:G,'caseload data'!$A:$A,$B42,'caseload data'!$B:$B,"licence")</f>
        <v>0</v>
      </c>
      <c r="F42" s="75">
        <f>SUMIFS('caseload data'!H:H,'caseload data'!$A:$A,$B42,'caseload data'!$B:$B,"licence")</f>
        <v>0</v>
      </c>
      <c r="G42" s="75">
        <f>SUMIFS('caseload data'!I:I,'caseload data'!$A:$A,$B42,'caseload data'!$B:$B,"licence")</f>
        <v>0</v>
      </c>
      <c r="H42" s="75">
        <f>SUMIFS('caseload data'!J:J,'caseload data'!$A:$A,$B42,'caseload data'!$B:$B,"licence")</f>
        <v>0</v>
      </c>
      <c r="I42" s="75">
        <f>SUMIFS('caseload data'!K:K,'caseload data'!$A:$A,$B42,'caseload data'!$B:$B,"licence")</f>
        <v>0</v>
      </c>
      <c r="J42" s="75">
        <f>SUMIFS('caseload data'!L:L,'caseload data'!$A:$A,$B42,'caseload data'!$B:$B,"licence")</f>
        <v>0</v>
      </c>
      <c r="K42" s="75">
        <f>SUMIFS('caseload data'!M:M,'caseload data'!$A:$A,$B42,'caseload data'!$B:$B,"licence")</f>
        <v>0</v>
      </c>
      <c r="L42" s="75">
        <f>SUMIFS('caseload data'!N:N,'caseload data'!$A:$A,$B42,'caseload data'!$B:$B,"licence")</f>
        <v>0</v>
      </c>
      <c r="M42" s="75">
        <f>SUMIFS('caseload data'!O:O,'caseload data'!$A:$A,$B42,'caseload data'!$B:$B,"licence")</f>
        <v>0</v>
      </c>
      <c r="N42" s="75">
        <f>SUMIFS('caseload data'!P:P,'caseload data'!$A:$A,$B42,'caseload data'!$B:$B,"licence")</f>
        <v>0</v>
      </c>
      <c r="O42" s="75">
        <f>SUMIFS('caseload data'!Q:Q,'caseload data'!$A:$A,$B42,'caseload data'!$B:$B,"licence")</f>
        <v>0</v>
      </c>
      <c r="P42" s="75">
        <f>SUMIFS('caseload data'!R:R,'caseload data'!$A:$A,$B42,'caseload data'!$B:$B,"licence")</f>
        <v>0</v>
      </c>
      <c r="Q42" s="75">
        <f>SUMIFS('caseload data'!S:S,'caseload data'!$A:$A,$B42,'caseload data'!$B:$B,"licence")</f>
        <v>0</v>
      </c>
      <c r="R42" s="75">
        <f>SUMIFS('caseload data'!T:T,'caseload data'!$A:$A,$B42,'caseload data'!$B:$B,"licence")</f>
        <v>0</v>
      </c>
      <c r="S42" s="75">
        <f>SUMIFS('caseload data'!V:V,'caseload data'!$A:$A,B42,'caseload data'!$B:$B,"licence")</f>
        <v>0</v>
      </c>
      <c r="T42" s="91"/>
      <c r="U42" s="141" t="s">
        <v>19</v>
      </c>
      <c r="V42" s="66" t="e">
        <f>C42/$S$42</f>
        <v>#DIV/0!</v>
      </c>
      <c r="W42" s="66" t="e">
        <f t="shared" ref="W42:AK42" si="195">D42/$S$42</f>
        <v>#DIV/0!</v>
      </c>
      <c r="X42" s="66" t="e">
        <f t="shared" si="195"/>
        <v>#DIV/0!</v>
      </c>
      <c r="Y42" s="66" t="e">
        <f t="shared" si="195"/>
        <v>#DIV/0!</v>
      </c>
      <c r="Z42" s="66" t="e">
        <f t="shared" si="195"/>
        <v>#DIV/0!</v>
      </c>
      <c r="AA42" s="66" t="e">
        <f t="shared" si="195"/>
        <v>#DIV/0!</v>
      </c>
      <c r="AB42" s="66" t="e">
        <f t="shared" si="195"/>
        <v>#DIV/0!</v>
      </c>
      <c r="AC42" s="66" t="e">
        <f t="shared" si="195"/>
        <v>#DIV/0!</v>
      </c>
      <c r="AD42" s="66" t="e">
        <f t="shared" si="195"/>
        <v>#DIV/0!</v>
      </c>
      <c r="AE42" s="66" t="e">
        <f t="shared" si="195"/>
        <v>#DIV/0!</v>
      </c>
      <c r="AF42" s="66" t="e">
        <f t="shared" si="195"/>
        <v>#DIV/0!</v>
      </c>
      <c r="AG42" s="66" t="e">
        <f t="shared" si="195"/>
        <v>#DIV/0!</v>
      </c>
      <c r="AH42" s="66" t="e">
        <f t="shared" si="195"/>
        <v>#DIV/0!</v>
      </c>
      <c r="AI42" s="66" t="e">
        <f t="shared" si="195"/>
        <v>#DIV/0!</v>
      </c>
      <c r="AJ42" s="66" t="e">
        <f t="shared" si="195"/>
        <v>#DIV/0!</v>
      </c>
      <c r="AK42" s="66" t="e">
        <f t="shared" si="195"/>
        <v>#DIV/0!</v>
      </c>
    </row>
    <row r="43" spans="2:37" x14ac:dyDescent="0.15">
      <c r="B43" s="141" t="s">
        <v>20</v>
      </c>
      <c r="C43" s="75">
        <f>SUMIFS('caseload data'!E:E,'caseload data'!$A:$A,$B43,'caseload data'!$B:$B,"licence")</f>
        <v>0</v>
      </c>
      <c r="D43" s="75">
        <f>SUMIFS('caseload data'!F:F,'caseload data'!$A:$A,$B43,'caseload data'!$B:$B,"licence")</f>
        <v>0</v>
      </c>
      <c r="E43" s="75">
        <f>SUMIFS('caseload data'!G:G,'caseload data'!$A:$A,$B43,'caseload data'!$B:$B,"licence")</f>
        <v>0</v>
      </c>
      <c r="F43" s="75">
        <f>SUMIFS('caseload data'!H:H,'caseload data'!$A:$A,$B43,'caseload data'!$B:$B,"licence")</f>
        <v>0</v>
      </c>
      <c r="G43" s="75">
        <f>SUMIFS('caseload data'!I:I,'caseload data'!$A:$A,$B43,'caseload data'!$B:$B,"licence")</f>
        <v>0</v>
      </c>
      <c r="H43" s="75">
        <f>SUMIFS('caseload data'!J:J,'caseload data'!$A:$A,$B43,'caseload data'!$B:$B,"licence")</f>
        <v>0</v>
      </c>
      <c r="I43" s="75">
        <f>SUMIFS('caseload data'!K:K,'caseload data'!$A:$A,$B43,'caseload data'!$B:$B,"licence")</f>
        <v>0</v>
      </c>
      <c r="J43" s="75">
        <f>SUMIFS('caseload data'!L:L,'caseload data'!$A:$A,$B43,'caseload data'!$B:$B,"licence")</f>
        <v>0</v>
      </c>
      <c r="K43" s="75">
        <f>SUMIFS('caseload data'!M:M,'caseload data'!$A:$A,$B43,'caseload data'!$B:$B,"licence")</f>
        <v>0</v>
      </c>
      <c r="L43" s="75">
        <f>SUMIFS('caseload data'!N:N,'caseload data'!$A:$A,$B43,'caseload data'!$B:$B,"licence")</f>
        <v>0</v>
      </c>
      <c r="M43" s="75">
        <f>SUMIFS('caseload data'!O:O,'caseload data'!$A:$A,$B43,'caseload data'!$B:$B,"licence")</f>
        <v>0</v>
      </c>
      <c r="N43" s="75">
        <f>SUMIFS('caseload data'!P:P,'caseload data'!$A:$A,$B43,'caseload data'!$B:$B,"licence")</f>
        <v>0</v>
      </c>
      <c r="O43" s="75">
        <f>SUMIFS('caseload data'!Q:Q,'caseload data'!$A:$A,$B43,'caseload data'!$B:$B,"licence")</f>
        <v>0</v>
      </c>
      <c r="P43" s="75">
        <f>SUMIFS('caseload data'!R:R,'caseload data'!$A:$A,$B43,'caseload data'!$B:$B,"licence")</f>
        <v>0</v>
      </c>
      <c r="Q43" s="75">
        <f>SUMIFS('caseload data'!S:S,'caseload data'!$A:$A,$B43,'caseload data'!$B:$B,"licence")</f>
        <v>0</v>
      </c>
      <c r="R43" s="75">
        <f>SUMIFS('caseload data'!T:T,'caseload data'!$A:$A,$B43,'caseload data'!$B:$B,"licence")</f>
        <v>0</v>
      </c>
      <c r="S43" s="75">
        <f>SUMIFS('caseload data'!V:V,'caseload data'!$A:$A,B43,'caseload data'!$B:$B,"licence")</f>
        <v>0</v>
      </c>
      <c r="T43" s="91"/>
      <c r="U43" s="141" t="s">
        <v>20</v>
      </c>
      <c r="V43" s="66" t="e">
        <f>C43/$S$43</f>
        <v>#DIV/0!</v>
      </c>
      <c r="W43" s="66" t="e">
        <f t="shared" ref="W43:AK43" si="196">D43/$S$43</f>
        <v>#DIV/0!</v>
      </c>
      <c r="X43" s="66" t="e">
        <f t="shared" si="196"/>
        <v>#DIV/0!</v>
      </c>
      <c r="Y43" s="66" t="e">
        <f t="shared" si="196"/>
        <v>#DIV/0!</v>
      </c>
      <c r="Z43" s="66" t="e">
        <f t="shared" si="196"/>
        <v>#DIV/0!</v>
      </c>
      <c r="AA43" s="66" t="e">
        <f t="shared" si="196"/>
        <v>#DIV/0!</v>
      </c>
      <c r="AB43" s="66" t="e">
        <f t="shared" si="196"/>
        <v>#DIV/0!</v>
      </c>
      <c r="AC43" s="66" t="e">
        <f t="shared" si="196"/>
        <v>#DIV/0!</v>
      </c>
      <c r="AD43" s="66" t="e">
        <f t="shared" si="196"/>
        <v>#DIV/0!</v>
      </c>
      <c r="AE43" s="66" t="e">
        <f t="shared" si="196"/>
        <v>#DIV/0!</v>
      </c>
      <c r="AF43" s="66" t="e">
        <f t="shared" si="196"/>
        <v>#DIV/0!</v>
      </c>
      <c r="AG43" s="66" t="e">
        <f t="shared" si="196"/>
        <v>#DIV/0!</v>
      </c>
      <c r="AH43" s="66" t="e">
        <f t="shared" si="196"/>
        <v>#DIV/0!</v>
      </c>
      <c r="AI43" s="66" t="e">
        <f t="shared" si="196"/>
        <v>#DIV/0!</v>
      </c>
      <c r="AJ43" s="66" t="e">
        <f t="shared" si="196"/>
        <v>#DIV/0!</v>
      </c>
      <c r="AK43" s="66" t="e">
        <f t="shared" si="196"/>
        <v>#DIV/0!</v>
      </c>
    </row>
    <row r="44" spans="2:37" x14ac:dyDescent="0.15">
      <c r="B44" s="141" t="s">
        <v>21</v>
      </c>
      <c r="C44" s="75">
        <f>SUMIFS('caseload data'!E:E,'caseload data'!$A:$A,$B44,'caseload data'!$B:$B,"licence")</f>
        <v>0</v>
      </c>
      <c r="D44" s="75">
        <f>SUMIFS('caseload data'!F:F,'caseload data'!$A:$A,$B44,'caseload data'!$B:$B,"licence")</f>
        <v>0</v>
      </c>
      <c r="E44" s="75">
        <f>SUMIFS('caseload data'!G:G,'caseload data'!$A:$A,$B44,'caseload data'!$B:$B,"licence")</f>
        <v>0</v>
      </c>
      <c r="F44" s="75">
        <f>SUMIFS('caseload data'!H:H,'caseload data'!$A:$A,$B44,'caseload data'!$B:$B,"licence")</f>
        <v>0</v>
      </c>
      <c r="G44" s="75">
        <f>SUMIFS('caseload data'!I:I,'caseload data'!$A:$A,$B44,'caseload data'!$B:$B,"licence")</f>
        <v>0</v>
      </c>
      <c r="H44" s="75">
        <f>SUMIFS('caseload data'!J:J,'caseload data'!$A:$A,$B44,'caseload data'!$B:$B,"licence")</f>
        <v>0</v>
      </c>
      <c r="I44" s="75">
        <f>SUMIFS('caseload data'!K:K,'caseload data'!$A:$A,$B44,'caseload data'!$B:$B,"licence")</f>
        <v>0</v>
      </c>
      <c r="J44" s="75">
        <f>SUMIFS('caseload data'!L:L,'caseload data'!$A:$A,$B44,'caseload data'!$B:$B,"licence")</f>
        <v>0</v>
      </c>
      <c r="K44" s="75">
        <f>SUMIFS('caseload data'!M:M,'caseload data'!$A:$A,$B44,'caseload data'!$B:$B,"licence")</f>
        <v>0</v>
      </c>
      <c r="L44" s="75">
        <f>SUMIFS('caseload data'!N:N,'caseload data'!$A:$A,$B44,'caseload data'!$B:$B,"licence")</f>
        <v>0</v>
      </c>
      <c r="M44" s="75">
        <f>SUMIFS('caseload data'!O:O,'caseload data'!$A:$A,$B44,'caseload data'!$B:$B,"licence")</f>
        <v>0</v>
      </c>
      <c r="N44" s="75">
        <f>SUMIFS('caseload data'!P:P,'caseload data'!$A:$A,$B44,'caseload data'!$B:$B,"licence")</f>
        <v>0</v>
      </c>
      <c r="O44" s="75">
        <f>SUMIFS('caseload data'!Q:Q,'caseload data'!$A:$A,$B44,'caseload data'!$B:$B,"licence")</f>
        <v>0</v>
      </c>
      <c r="P44" s="75">
        <f>SUMIFS('caseload data'!R:R,'caseload data'!$A:$A,$B44,'caseload data'!$B:$B,"licence")</f>
        <v>0</v>
      </c>
      <c r="Q44" s="75">
        <f>SUMIFS('caseload data'!S:S,'caseload data'!$A:$A,$B44,'caseload data'!$B:$B,"licence")</f>
        <v>0</v>
      </c>
      <c r="R44" s="75">
        <f>SUMIFS('caseload data'!T:T,'caseload data'!$A:$A,$B44,'caseload data'!$B:$B,"licence")</f>
        <v>0</v>
      </c>
      <c r="S44" s="75">
        <f>SUMIFS('caseload data'!V:V,'caseload data'!$A:$A,B44,'caseload data'!$B:$B,"licence")</f>
        <v>0</v>
      </c>
      <c r="T44" s="91"/>
      <c r="U44" s="141" t="s">
        <v>21</v>
      </c>
      <c r="V44" s="66" t="e">
        <f>C44/$S$44</f>
        <v>#DIV/0!</v>
      </c>
      <c r="W44" s="66" t="e">
        <f t="shared" ref="W44:AK44" si="197">D44/$S$44</f>
        <v>#DIV/0!</v>
      </c>
      <c r="X44" s="66" t="e">
        <f t="shared" si="197"/>
        <v>#DIV/0!</v>
      </c>
      <c r="Y44" s="66" t="e">
        <f t="shared" si="197"/>
        <v>#DIV/0!</v>
      </c>
      <c r="Z44" s="66" t="e">
        <f t="shared" si="197"/>
        <v>#DIV/0!</v>
      </c>
      <c r="AA44" s="66" t="e">
        <f t="shared" si="197"/>
        <v>#DIV/0!</v>
      </c>
      <c r="AB44" s="66" t="e">
        <f t="shared" si="197"/>
        <v>#DIV/0!</v>
      </c>
      <c r="AC44" s="66" t="e">
        <f t="shared" si="197"/>
        <v>#DIV/0!</v>
      </c>
      <c r="AD44" s="66" t="e">
        <f t="shared" si="197"/>
        <v>#DIV/0!</v>
      </c>
      <c r="AE44" s="66" t="e">
        <f t="shared" si="197"/>
        <v>#DIV/0!</v>
      </c>
      <c r="AF44" s="66" t="e">
        <f t="shared" si="197"/>
        <v>#DIV/0!</v>
      </c>
      <c r="AG44" s="66" t="e">
        <f t="shared" si="197"/>
        <v>#DIV/0!</v>
      </c>
      <c r="AH44" s="66" t="e">
        <f t="shared" si="197"/>
        <v>#DIV/0!</v>
      </c>
      <c r="AI44" s="66" t="e">
        <f t="shared" si="197"/>
        <v>#DIV/0!</v>
      </c>
      <c r="AJ44" s="66" t="e">
        <f t="shared" si="197"/>
        <v>#DIV/0!</v>
      </c>
      <c r="AK44" s="66" t="e">
        <f t="shared" si="197"/>
        <v>#DIV/0!</v>
      </c>
    </row>
    <row r="45" spans="2:37" x14ac:dyDescent="0.15">
      <c r="B45" s="141" t="s">
        <v>22</v>
      </c>
      <c r="C45" s="75">
        <f>SUMIFS('caseload data'!E:E,'caseload data'!$A:$A,$B45,'caseload data'!$B:$B,"licence")</f>
        <v>0</v>
      </c>
      <c r="D45" s="75">
        <f>SUMIFS('caseload data'!F:F,'caseload data'!$A:$A,$B45,'caseload data'!$B:$B,"licence")</f>
        <v>0</v>
      </c>
      <c r="E45" s="75">
        <f>SUMIFS('caseload data'!G:G,'caseload data'!$A:$A,$B45,'caseload data'!$B:$B,"licence")</f>
        <v>0</v>
      </c>
      <c r="F45" s="75">
        <f>SUMIFS('caseload data'!H:H,'caseload data'!$A:$A,$B45,'caseload data'!$B:$B,"licence")</f>
        <v>0</v>
      </c>
      <c r="G45" s="75">
        <f>SUMIFS('caseload data'!I:I,'caseload data'!$A:$A,$B45,'caseload data'!$B:$B,"licence")</f>
        <v>0</v>
      </c>
      <c r="H45" s="75">
        <f>SUMIFS('caseload data'!J:J,'caseload data'!$A:$A,$B45,'caseload data'!$B:$B,"licence")</f>
        <v>0</v>
      </c>
      <c r="I45" s="75">
        <f>SUMIFS('caseload data'!K:K,'caseload data'!$A:$A,$B45,'caseload data'!$B:$B,"licence")</f>
        <v>0</v>
      </c>
      <c r="J45" s="75">
        <f>SUMIFS('caseload data'!L:L,'caseload data'!$A:$A,$B45,'caseload data'!$B:$B,"licence")</f>
        <v>0</v>
      </c>
      <c r="K45" s="75">
        <f>SUMIFS('caseload data'!M:M,'caseload data'!$A:$A,$B45,'caseload data'!$B:$B,"licence")</f>
        <v>0</v>
      </c>
      <c r="L45" s="75">
        <f>SUMIFS('caseload data'!N:N,'caseload data'!$A:$A,$B45,'caseload data'!$B:$B,"licence")</f>
        <v>0</v>
      </c>
      <c r="M45" s="75">
        <f>SUMIFS('caseload data'!O:O,'caseload data'!$A:$A,$B45,'caseload data'!$B:$B,"licence")</f>
        <v>0</v>
      </c>
      <c r="N45" s="75">
        <f>SUMIFS('caseload data'!P:P,'caseload data'!$A:$A,$B45,'caseload data'!$B:$B,"licence")</f>
        <v>0</v>
      </c>
      <c r="O45" s="75">
        <f>SUMIFS('caseload data'!Q:Q,'caseload data'!$A:$A,$B45,'caseload data'!$B:$B,"licence")</f>
        <v>0</v>
      </c>
      <c r="P45" s="75">
        <f>SUMIFS('caseload data'!R:R,'caseload data'!$A:$A,$B45,'caseload data'!$B:$B,"licence")</f>
        <v>0</v>
      </c>
      <c r="Q45" s="75">
        <f>SUMIFS('caseload data'!S:S,'caseload data'!$A:$A,$B45,'caseload data'!$B:$B,"licence")</f>
        <v>0</v>
      </c>
      <c r="R45" s="75">
        <f>SUMIFS('caseload data'!T:T,'caseload data'!$A:$A,$B45,'caseload data'!$B:$B,"licence")</f>
        <v>0</v>
      </c>
      <c r="S45" s="75">
        <f>SUMIFS('caseload data'!V:V,'caseload data'!$A:$A,B45,'caseload data'!$B:$B,"licence")</f>
        <v>0</v>
      </c>
      <c r="T45" s="91"/>
      <c r="U45" s="141" t="s">
        <v>22</v>
      </c>
      <c r="V45" s="66" t="e">
        <f>C45/$S$45</f>
        <v>#DIV/0!</v>
      </c>
      <c r="W45" s="66" t="e">
        <f t="shared" ref="W45:AK45" si="198">D45/$S$45</f>
        <v>#DIV/0!</v>
      </c>
      <c r="X45" s="66" t="e">
        <f t="shared" si="198"/>
        <v>#DIV/0!</v>
      </c>
      <c r="Y45" s="66" t="e">
        <f t="shared" si="198"/>
        <v>#DIV/0!</v>
      </c>
      <c r="Z45" s="66" t="e">
        <f t="shared" si="198"/>
        <v>#DIV/0!</v>
      </c>
      <c r="AA45" s="66" t="e">
        <f t="shared" si="198"/>
        <v>#DIV/0!</v>
      </c>
      <c r="AB45" s="66" t="e">
        <f t="shared" si="198"/>
        <v>#DIV/0!</v>
      </c>
      <c r="AC45" s="66" t="e">
        <f t="shared" si="198"/>
        <v>#DIV/0!</v>
      </c>
      <c r="AD45" s="66" t="e">
        <f t="shared" si="198"/>
        <v>#DIV/0!</v>
      </c>
      <c r="AE45" s="66" t="e">
        <f t="shared" si="198"/>
        <v>#DIV/0!</v>
      </c>
      <c r="AF45" s="66" t="e">
        <f t="shared" si="198"/>
        <v>#DIV/0!</v>
      </c>
      <c r="AG45" s="66" t="e">
        <f t="shared" si="198"/>
        <v>#DIV/0!</v>
      </c>
      <c r="AH45" s="66" t="e">
        <f t="shared" si="198"/>
        <v>#DIV/0!</v>
      </c>
      <c r="AI45" s="66" t="e">
        <f t="shared" si="198"/>
        <v>#DIV/0!</v>
      </c>
      <c r="AJ45" s="66" t="e">
        <f t="shared" si="198"/>
        <v>#DIV/0!</v>
      </c>
      <c r="AK45" s="66" t="e">
        <f t="shared" si="198"/>
        <v>#DIV/0!</v>
      </c>
    </row>
    <row r="46" spans="2:37" x14ac:dyDescent="0.15">
      <c r="B46" s="141" t="s">
        <v>23</v>
      </c>
      <c r="C46" s="75">
        <f>SUMIFS('caseload data'!E:E,'caseload data'!$A:$A,$B46,'caseload data'!$B:$B,"licence")</f>
        <v>0</v>
      </c>
      <c r="D46" s="75">
        <f>SUMIFS('caseload data'!F:F,'caseload data'!$A:$A,$B46,'caseload data'!$B:$B,"licence")</f>
        <v>0</v>
      </c>
      <c r="E46" s="75">
        <f>SUMIFS('caseload data'!G:G,'caseload data'!$A:$A,$B46,'caseload data'!$B:$B,"licence")</f>
        <v>0</v>
      </c>
      <c r="F46" s="75">
        <f>SUMIFS('caseload data'!H:H,'caseload data'!$A:$A,$B46,'caseload data'!$B:$B,"licence")</f>
        <v>0</v>
      </c>
      <c r="G46" s="75">
        <f>SUMIFS('caseload data'!I:I,'caseload data'!$A:$A,$B46,'caseload data'!$B:$B,"licence")</f>
        <v>0</v>
      </c>
      <c r="H46" s="75">
        <f>SUMIFS('caseload data'!J:J,'caseload data'!$A:$A,$B46,'caseload data'!$B:$B,"licence")</f>
        <v>0</v>
      </c>
      <c r="I46" s="75">
        <f>SUMIFS('caseload data'!K:K,'caseload data'!$A:$A,$B46,'caseload data'!$B:$B,"licence")</f>
        <v>0</v>
      </c>
      <c r="J46" s="75">
        <f>SUMIFS('caseload data'!L:L,'caseload data'!$A:$A,$B46,'caseload data'!$B:$B,"licence")</f>
        <v>0</v>
      </c>
      <c r="K46" s="75">
        <f>SUMIFS('caseload data'!M:M,'caseload data'!$A:$A,$B46,'caseload data'!$B:$B,"licence")</f>
        <v>0</v>
      </c>
      <c r="L46" s="75">
        <f>SUMIFS('caseload data'!N:N,'caseload data'!$A:$A,$B46,'caseload data'!$B:$B,"licence")</f>
        <v>0</v>
      </c>
      <c r="M46" s="75">
        <f>SUMIFS('caseload data'!O:O,'caseload data'!$A:$A,$B46,'caseload data'!$B:$B,"licence")</f>
        <v>0</v>
      </c>
      <c r="N46" s="75">
        <f>SUMIFS('caseload data'!P:P,'caseload data'!$A:$A,$B46,'caseload data'!$B:$B,"licence")</f>
        <v>0</v>
      </c>
      <c r="O46" s="75">
        <f>SUMIFS('caseload data'!Q:Q,'caseload data'!$A:$A,$B46,'caseload data'!$B:$B,"licence")</f>
        <v>0</v>
      </c>
      <c r="P46" s="75">
        <f>SUMIFS('caseload data'!R:R,'caseload data'!$A:$A,$B46,'caseload data'!$B:$B,"licence")</f>
        <v>0</v>
      </c>
      <c r="Q46" s="75">
        <f>SUMIFS('caseload data'!S:S,'caseload data'!$A:$A,$B46,'caseload data'!$B:$B,"licence")</f>
        <v>0</v>
      </c>
      <c r="R46" s="75">
        <f>SUMIFS('caseload data'!T:T,'caseload data'!$A:$A,$B46,'caseload data'!$B:$B,"licence")</f>
        <v>0</v>
      </c>
      <c r="S46" s="75">
        <f>SUMIFS('caseload data'!V:V,'caseload data'!$A:$A,B46,'caseload data'!$B:$B,"licence")</f>
        <v>0</v>
      </c>
      <c r="T46" s="91"/>
      <c r="U46" s="141" t="s">
        <v>23</v>
      </c>
      <c r="V46" s="66" t="e">
        <f>C46/$S$46</f>
        <v>#DIV/0!</v>
      </c>
      <c r="W46" s="66" t="e">
        <f t="shared" ref="W46:AK46" si="199">D46/$S$46</f>
        <v>#DIV/0!</v>
      </c>
      <c r="X46" s="66" t="e">
        <f t="shared" si="199"/>
        <v>#DIV/0!</v>
      </c>
      <c r="Y46" s="66" t="e">
        <f t="shared" si="199"/>
        <v>#DIV/0!</v>
      </c>
      <c r="Z46" s="66" t="e">
        <f t="shared" si="199"/>
        <v>#DIV/0!</v>
      </c>
      <c r="AA46" s="66" t="e">
        <f t="shared" si="199"/>
        <v>#DIV/0!</v>
      </c>
      <c r="AB46" s="66" t="e">
        <f t="shared" si="199"/>
        <v>#DIV/0!</v>
      </c>
      <c r="AC46" s="66" t="e">
        <f t="shared" si="199"/>
        <v>#DIV/0!</v>
      </c>
      <c r="AD46" s="66" t="e">
        <f t="shared" si="199"/>
        <v>#DIV/0!</v>
      </c>
      <c r="AE46" s="66" t="e">
        <f t="shared" si="199"/>
        <v>#DIV/0!</v>
      </c>
      <c r="AF46" s="66" t="e">
        <f t="shared" si="199"/>
        <v>#DIV/0!</v>
      </c>
      <c r="AG46" s="66" t="e">
        <f t="shared" si="199"/>
        <v>#DIV/0!</v>
      </c>
      <c r="AH46" s="66" t="e">
        <f t="shared" si="199"/>
        <v>#DIV/0!</v>
      </c>
      <c r="AI46" s="66" t="e">
        <f t="shared" si="199"/>
        <v>#DIV/0!</v>
      </c>
      <c r="AJ46" s="66" t="e">
        <f t="shared" si="199"/>
        <v>#DIV/0!</v>
      </c>
      <c r="AK46" s="66" t="e">
        <f t="shared" si="199"/>
        <v>#DIV/0!</v>
      </c>
    </row>
    <row r="47" spans="2:37" x14ac:dyDescent="0.15">
      <c r="B47" s="141" t="s">
        <v>24</v>
      </c>
      <c r="C47" s="75">
        <f>SUMIFS('caseload data'!E:E,'caseload data'!$A:$A,$B47,'caseload data'!$B:$B,"licence")</f>
        <v>0</v>
      </c>
      <c r="D47" s="75">
        <f>SUMIFS('caseload data'!F:F,'caseload data'!$A:$A,$B47,'caseload data'!$B:$B,"licence")</f>
        <v>0</v>
      </c>
      <c r="E47" s="75">
        <f>SUMIFS('caseload data'!G:G,'caseload data'!$A:$A,$B47,'caseload data'!$B:$B,"licence")</f>
        <v>0</v>
      </c>
      <c r="F47" s="75">
        <f>SUMIFS('caseload data'!H:H,'caseload data'!$A:$A,$B47,'caseload data'!$B:$B,"licence")</f>
        <v>0</v>
      </c>
      <c r="G47" s="75">
        <f>SUMIFS('caseload data'!I:I,'caseload data'!$A:$A,$B47,'caseload data'!$B:$B,"licence")</f>
        <v>0</v>
      </c>
      <c r="H47" s="75">
        <f>SUMIFS('caseload data'!J:J,'caseload data'!$A:$A,$B47,'caseload data'!$B:$B,"licence")</f>
        <v>0</v>
      </c>
      <c r="I47" s="75">
        <f>SUMIFS('caseload data'!K:K,'caseload data'!$A:$A,$B47,'caseload data'!$B:$B,"licence")</f>
        <v>0</v>
      </c>
      <c r="J47" s="75">
        <f>SUMIFS('caseload data'!L:L,'caseload data'!$A:$A,$B47,'caseload data'!$B:$B,"licence")</f>
        <v>0</v>
      </c>
      <c r="K47" s="75">
        <f>SUMIFS('caseload data'!M:M,'caseload data'!$A:$A,$B47,'caseload data'!$B:$B,"licence")</f>
        <v>0</v>
      </c>
      <c r="L47" s="75">
        <f>SUMIFS('caseload data'!N:N,'caseload data'!$A:$A,$B47,'caseload data'!$B:$B,"licence")</f>
        <v>0</v>
      </c>
      <c r="M47" s="75">
        <f>SUMIFS('caseload data'!O:O,'caseload data'!$A:$A,$B47,'caseload data'!$B:$B,"licence")</f>
        <v>0</v>
      </c>
      <c r="N47" s="75">
        <f>SUMIFS('caseload data'!P:P,'caseload data'!$A:$A,$B47,'caseload data'!$B:$B,"licence")</f>
        <v>0</v>
      </c>
      <c r="O47" s="75">
        <f>SUMIFS('caseload data'!Q:Q,'caseload data'!$A:$A,$B47,'caseload data'!$B:$B,"licence")</f>
        <v>0</v>
      </c>
      <c r="P47" s="75">
        <f>SUMIFS('caseload data'!R:R,'caseload data'!$A:$A,$B47,'caseload data'!$B:$B,"licence")</f>
        <v>0</v>
      </c>
      <c r="Q47" s="75">
        <f>SUMIFS('caseload data'!S:S,'caseload data'!$A:$A,$B47,'caseload data'!$B:$B,"licence")</f>
        <v>0</v>
      </c>
      <c r="R47" s="75">
        <f>SUMIFS('caseload data'!T:T,'caseload data'!$A:$A,$B47,'caseload data'!$B:$B,"licence")</f>
        <v>0</v>
      </c>
      <c r="S47" s="75">
        <f>SUMIFS('caseload data'!V:V,'caseload data'!$A:$A,B47,'caseload data'!$B:$B,"licence")</f>
        <v>0</v>
      </c>
      <c r="T47" s="91"/>
      <c r="U47" s="141" t="s">
        <v>24</v>
      </c>
      <c r="V47" s="66" t="e">
        <f t="shared" ref="V47:AK47" si="200">C47/$S$47</f>
        <v>#DIV/0!</v>
      </c>
      <c r="W47" s="66" t="e">
        <f t="shared" si="200"/>
        <v>#DIV/0!</v>
      </c>
      <c r="X47" s="66" t="e">
        <f t="shared" si="200"/>
        <v>#DIV/0!</v>
      </c>
      <c r="Y47" s="66" t="e">
        <f t="shared" si="200"/>
        <v>#DIV/0!</v>
      </c>
      <c r="Z47" s="66" t="e">
        <f t="shared" si="200"/>
        <v>#DIV/0!</v>
      </c>
      <c r="AA47" s="66" t="e">
        <f t="shared" si="200"/>
        <v>#DIV/0!</v>
      </c>
      <c r="AB47" s="66" t="e">
        <f t="shared" si="200"/>
        <v>#DIV/0!</v>
      </c>
      <c r="AC47" s="66" t="e">
        <f t="shared" si="200"/>
        <v>#DIV/0!</v>
      </c>
      <c r="AD47" s="66" t="e">
        <f t="shared" si="200"/>
        <v>#DIV/0!</v>
      </c>
      <c r="AE47" s="66" t="e">
        <f t="shared" si="200"/>
        <v>#DIV/0!</v>
      </c>
      <c r="AF47" s="66" t="e">
        <f t="shared" si="200"/>
        <v>#DIV/0!</v>
      </c>
      <c r="AG47" s="66" t="e">
        <f t="shared" si="200"/>
        <v>#DIV/0!</v>
      </c>
      <c r="AH47" s="66" t="e">
        <f t="shared" si="200"/>
        <v>#DIV/0!</v>
      </c>
      <c r="AI47" s="66" t="e">
        <f t="shared" si="200"/>
        <v>#DIV/0!</v>
      </c>
      <c r="AJ47" s="66" t="e">
        <f t="shared" si="200"/>
        <v>#DIV/0!</v>
      </c>
      <c r="AK47" s="66" t="e">
        <f t="shared" si="200"/>
        <v>#DIV/0!</v>
      </c>
    </row>
    <row r="48" spans="2:37" x14ac:dyDescent="0.15">
      <c r="B48" s="141" t="s">
        <v>25</v>
      </c>
      <c r="C48" s="75">
        <f>SUMIFS('caseload data'!E:E,'caseload data'!$A:$A,$B48,'caseload data'!$B:$B,"licence")</f>
        <v>0</v>
      </c>
      <c r="D48" s="75">
        <f>SUMIFS('caseload data'!F:F,'caseload data'!$A:$A,$B48,'caseload data'!$B:$B,"licence")</f>
        <v>0</v>
      </c>
      <c r="E48" s="75">
        <f>SUMIFS('caseload data'!G:G,'caseload data'!$A:$A,$B48,'caseload data'!$B:$B,"licence")</f>
        <v>0</v>
      </c>
      <c r="F48" s="75">
        <f>SUMIFS('caseload data'!H:H,'caseload data'!$A:$A,$B48,'caseload data'!$B:$B,"licence")</f>
        <v>0</v>
      </c>
      <c r="G48" s="75">
        <f>SUMIFS('caseload data'!I:I,'caseload data'!$A:$A,$B48,'caseload data'!$B:$B,"licence")</f>
        <v>0</v>
      </c>
      <c r="H48" s="75">
        <f>SUMIFS('caseload data'!J:J,'caseload data'!$A:$A,$B48,'caseload data'!$B:$B,"licence")</f>
        <v>0</v>
      </c>
      <c r="I48" s="75">
        <f>SUMIFS('caseload data'!K:K,'caseload data'!$A:$A,$B48,'caseload data'!$B:$B,"licence")</f>
        <v>0</v>
      </c>
      <c r="J48" s="75">
        <f>SUMIFS('caseload data'!L:L,'caseload data'!$A:$A,$B48,'caseload data'!$B:$B,"licence")</f>
        <v>0</v>
      </c>
      <c r="K48" s="75">
        <f>SUMIFS('caseload data'!M:M,'caseload data'!$A:$A,$B48,'caseload data'!$B:$B,"licence")</f>
        <v>0</v>
      </c>
      <c r="L48" s="75">
        <f>SUMIFS('caseload data'!N:N,'caseload data'!$A:$A,$B48,'caseload data'!$B:$B,"licence")</f>
        <v>0</v>
      </c>
      <c r="M48" s="75">
        <f>SUMIFS('caseload data'!O:O,'caseload data'!$A:$A,$B48,'caseload data'!$B:$B,"licence")</f>
        <v>0</v>
      </c>
      <c r="N48" s="75">
        <f>SUMIFS('caseload data'!P:P,'caseload data'!$A:$A,$B48,'caseload data'!$B:$B,"licence")</f>
        <v>0</v>
      </c>
      <c r="O48" s="75">
        <f>SUMIFS('caseload data'!Q:Q,'caseload data'!$A:$A,$B48,'caseload data'!$B:$B,"licence")</f>
        <v>0</v>
      </c>
      <c r="P48" s="75">
        <f>SUMIFS('caseload data'!R:R,'caseload data'!$A:$A,$B48,'caseload data'!$B:$B,"licence")</f>
        <v>0</v>
      </c>
      <c r="Q48" s="75">
        <f>SUMIFS('caseload data'!S:S,'caseload data'!$A:$A,$B48,'caseload data'!$B:$B,"licence")</f>
        <v>0</v>
      </c>
      <c r="R48" s="75">
        <f>SUMIFS('caseload data'!T:T,'caseload data'!$A:$A,$B48,'caseload data'!$B:$B,"licence")</f>
        <v>0</v>
      </c>
      <c r="S48" s="75">
        <f>SUMIFS('caseload data'!V:V,'caseload data'!$A:$A,B48,'caseload data'!$B:$B,"licence")</f>
        <v>0</v>
      </c>
      <c r="T48" s="91"/>
      <c r="U48" s="141" t="s">
        <v>1088</v>
      </c>
      <c r="V48" s="66" t="e">
        <f t="shared" ref="V48:AK48" si="201">C48/$S$48</f>
        <v>#DIV/0!</v>
      </c>
      <c r="W48" s="66" t="e">
        <f t="shared" si="201"/>
        <v>#DIV/0!</v>
      </c>
      <c r="X48" s="66" t="e">
        <f t="shared" si="201"/>
        <v>#DIV/0!</v>
      </c>
      <c r="Y48" s="66" t="e">
        <f t="shared" si="201"/>
        <v>#DIV/0!</v>
      </c>
      <c r="Z48" s="66" t="e">
        <f t="shared" si="201"/>
        <v>#DIV/0!</v>
      </c>
      <c r="AA48" s="66" t="e">
        <f t="shared" si="201"/>
        <v>#DIV/0!</v>
      </c>
      <c r="AB48" s="66" t="e">
        <f t="shared" si="201"/>
        <v>#DIV/0!</v>
      </c>
      <c r="AC48" s="66" t="e">
        <f t="shared" si="201"/>
        <v>#DIV/0!</v>
      </c>
      <c r="AD48" s="66" t="e">
        <f t="shared" si="201"/>
        <v>#DIV/0!</v>
      </c>
      <c r="AE48" s="66" t="e">
        <f t="shared" si="201"/>
        <v>#DIV/0!</v>
      </c>
      <c r="AF48" s="66" t="e">
        <f t="shared" si="201"/>
        <v>#DIV/0!</v>
      </c>
      <c r="AG48" s="66" t="e">
        <f t="shared" si="201"/>
        <v>#DIV/0!</v>
      </c>
      <c r="AH48" s="66" t="e">
        <f t="shared" si="201"/>
        <v>#DIV/0!</v>
      </c>
      <c r="AI48" s="66" t="e">
        <f t="shared" si="201"/>
        <v>#DIV/0!</v>
      </c>
      <c r="AJ48" s="66" t="e">
        <f t="shared" si="201"/>
        <v>#DIV/0!</v>
      </c>
      <c r="AK48" s="66" t="e">
        <f t="shared" si="201"/>
        <v>#DIV/0!</v>
      </c>
    </row>
    <row r="49" spans="2:37" x14ac:dyDescent="0.15">
      <c r="B49" s="141" t="s">
        <v>26</v>
      </c>
      <c r="C49" s="75">
        <f>SUMIFS('caseload data'!E:E,'caseload data'!$A:$A,$B49,'caseload data'!$B:$B,"licence")</f>
        <v>0</v>
      </c>
      <c r="D49" s="75">
        <f>SUMIFS('caseload data'!F:F,'caseload data'!$A:$A,$B49,'caseload data'!$B:$B,"licence")</f>
        <v>0</v>
      </c>
      <c r="E49" s="75">
        <f>SUMIFS('caseload data'!G:G,'caseload data'!$A:$A,$B49,'caseload data'!$B:$B,"licence")</f>
        <v>0</v>
      </c>
      <c r="F49" s="75">
        <f>SUMIFS('caseload data'!H:H,'caseload data'!$A:$A,$B49,'caseload data'!$B:$B,"licence")</f>
        <v>0</v>
      </c>
      <c r="G49" s="75">
        <f>SUMIFS('caseload data'!I:I,'caseload data'!$A:$A,$B49,'caseload data'!$B:$B,"licence")</f>
        <v>0</v>
      </c>
      <c r="H49" s="75">
        <f>SUMIFS('caseload data'!J:J,'caseload data'!$A:$A,$B49,'caseload data'!$B:$B,"licence")</f>
        <v>0</v>
      </c>
      <c r="I49" s="75">
        <f>SUMIFS('caseload data'!K:K,'caseload data'!$A:$A,$B49,'caseload data'!$B:$B,"licence")</f>
        <v>0</v>
      </c>
      <c r="J49" s="75">
        <f>SUMIFS('caseload data'!L:L,'caseload data'!$A:$A,$B49,'caseload data'!$B:$B,"licence")</f>
        <v>0</v>
      </c>
      <c r="K49" s="75">
        <f>SUMIFS('caseload data'!M:M,'caseload data'!$A:$A,$B49,'caseload data'!$B:$B,"licence")</f>
        <v>0</v>
      </c>
      <c r="L49" s="75">
        <f>SUMIFS('caseload data'!N:N,'caseload data'!$A:$A,$B49,'caseload data'!$B:$B,"licence")</f>
        <v>0</v>
      </c>
      <c r="M49" s="75">
        <f>SUMIFS('caseload data'!O:O,'caseload data'!$A:$A,$B49,'caseload data'!$B:$B,"licence")</f>
        <v>0</v>
      </c>
      <c r="N49" s="75">
        <f>SUMIFS('caseload data'!P:P,'caseload data'!$A:$A,$B49,'caseload data'!$B:$B,"licence")</f>
        <v>0</v>
      </c>
      <c r="O49" s="75">
        <f>SUMIFS('caseload data'!Q:Q,'caseload data'!$A:$A,$B49,'caseload data'!$B:$B,"licence")</f>
        <v>0</v>
      </c>
      <c r="P49" s="75">
        <f>SUMIFS('caseload data'!R:R,'caseload data'!$A:$A,$B49,'caseload data'!$B:$B,"licence")</f>
        <v>0</v>
      </c>
      <c r="Q49" s="75">
        <f>SUMIFS('caseload data'!S:S,'caseload data'!$A:$A,$B49,'caseload data'!$B:$B,"licence")</f>
        <v>0</v>
      </c>
      <c r="R49" s="75">
        <f>SUMIFS('caseload data'!T:T,'caseload data'!$A:$A,$B49,'caseload data'!$B:$B,"licence")</f>
        <v>0</v>
      </c>
      <c r="S49" s="75">
        <f>SUMIFS('caseload data'!V:V,'caseload data'!$A:$A,B49,'caseload data'!$B:$B,"licence")</f>
        <v>0</v>
      </c>
      <c r="T49" s="91"/>
      <c r="U49" s="141" t="s">
        <v>26</v>
      </c>
      <c r="V49" s="66" t="e">
        <f>C49/$S$49</f>
        <v>#DIV/0!</v>
      </c>
      <c r="W49" s="66" t="e">
        <f t="shared" ref="W49:AK49" si="202">D49/$S$49</f>
        <v>#DIV/0!</v>
      </c>
      <c r="X49" s="66" t="e">
        <f t="shared" si="202"/>
        <v>#DIV/0!</v>
      </c>
      <c r="Y49" s="66" t="e">
        <f t="shared" si="202"/>
        <v>#DIV/0!</v>
      </c>
      <c r="Z49" s="66" t="e">
        <f t="shared" si="202"/>
        <v>#DIV/0!</v>
      </c>
      <c r="AA49" s="66" t="e">
        <f t="shared" si="202"/>
        <v>#DIV/0!</v>
      </c>
      <c r="AB49" s="66" t="e">
        <f t="shared" si="202"/>
        <v>#DIV/0!</v>
      </c>
      <c r="AC49" s="66" t="e">
        <f t="shared" si="202"/>
        <v>#DIV/0!</v>
      </c>
      <c r="AD49" s="66" t="e">
        <f t="shared" si="202"/>
        <v>#DIV/0!</v>
      </c>
      <c r="AE49" s="66" t="e">
        <f t="shared" si="202"/>
        <v>#DIV/0!</v>
      </c>
      <c r="AF49" s="66" t="e">
        <f t="shared" si="202"/>
        <v>#DIV/0!</v>
      </c>
      <c r="AG49" s="66" t="e">
        <f t="shared" si="202"/>
        <v>#DIV/0!</v>
      </c>
      <c r="AH49" s="66" t="e">
        <f t="shared" si="202"/>
        <v>#DIV/0!</v>
      </c>
      <c r="AI49" s="66" t="e">
        <f t="shared" si="202"/>
        <v>#DIV/0!</v>
      </c>
      <c r="AJ49" s="66" t="e">
        <f t="shared" si="202"/>
        <v>#DIV/0!</v>
      </c>
      <c r="AK49" s="66" t="e">
        <f t="shared" si="202"/>
        <v>#DIV/0!</v>
      </c>
    </row>
    <row r="50" spans="2:37" x14ac:dyDescent="0.15">
      <c r="B50" s="141" t="s">
        <v>27</v>
      </c>
      <c r="C50" s="75">
        <f>SUMIFS('caseload data'!E:E,'caseload data'!$A:$A,$B50,'caseload data'!$B:$B,"licence")</f>
        <v>0</v>
      </c>
      <c r="D50" s="75">
        <f>SUMIFS('caseload data'!F:F,'caseload data'!$A:$A,$B50,'caseload data'!$B:$B,"licence")</f>
        <v>0</v>
      </c>
      <c r="E50" s="75">
        <f>SUMIFS('caseload data'!G:G,'caseload data'!$A:$A,$B50,'caseload data'!$B:$B,"licence")</f>
        <v>0</v>
      </c>
      <c r="F50" s="75">
        <f>SUMIFS('caseload data'!H:H,'caseload data'!$A:$A,$B50,'caseload data'!$B:$B,"licence")</f>
        <v>0</v>
      </c>
      <c r="G50" s="75">
        <f>SUMIFS('caseload data'!I:I,'caseload data'!$A:$A,$B50,'caseload data'!$B:$B,"licence")</f>
        <v>0</v>
      </c>
      <c r="H50" s="75">
        <f>SUMIFS('caseload data'!J:J,'caseload data'!$A:$A,$B50,'caseload data'!$B:$B,"licence")</f>
        <v>0</v>
      </c>
      <c r="I50" s="75">
        <f>SUMIFS('caseload data'!K:K,'caseload data'!$A:$A,$B50,'caseload data'!$B:$B,"licence")</f>
        <v>0</v>
      </c>
      <c r="J50" s="75">
        <f>SUMIFS('caseload data'!L:L,'caseload data'!$A:$A,$B50,'caseload data'!$B:$B,"licence")</f>
        <v>0</v>
      </c>
      <c r="K50" s="75">
        <f>SUMIFS('caseload data'!M:M,'caseload data'!$A:$A,$B50,'caseload data'!$B:$B,"licence")</f>
        <v>0</v>
      </c>
      <c r="L50" s="75">
        <f>SUMIFS('caseload data'!N:N,'caseload data'!$A:$A,$B50,'caseload data'!$B:$B,"licence")</f>
        <v>0</v>
      </c>
      <c r="M50" s="75">
        <f>SUMIFS('caseload data'!O:O,'caseload data'!$A:$A,$B50,'caseload data'!$B:$B,"licence")</f>
        <v>0</v>
      </c>
      <c r="N50" s="75">
        <f>SUMIFS('caseload data'!P:P,'caseload data'!$A:$A,$B50,'caseload data'!$B:$B,"licence")</f>
        <v>0</v>
      </c>
      <c r="O50" s="75">
        <f>SUMIFS('caseload data'!Q:Q,'caseload data'!$A:$A,$B50,'caseload data'!$B:$B,"licence")</f>
        <v>0</v>
      </c>
      <c r="P50" s="75">
        <f>SUMIFS('caseload data'!R:R,'caseload data'!$A:$A,$B50,'caseload data'!$B:$B,"licence")</f>
        <v>0</v>
      </c>
      <c r="Q50" s="75">
        <f>SUMIFS('caseload data'!S:S,'caseload data'!$A:$A,$B50,'caseload data'!$B:$B,"licence")</f>
        <v>0</v>
      </c>
      <c r="R50" s="75">
        <f>SUMIFS('caseload data'!T:T,'caseload data'!$A:$A,$B50,'caseload data'!$B:$B,"licence")</f>
        <v>0</v>
      </c>
      <c r="S50" s="75">
        <f>SUMIFS('caseload data'!V:V,'caseload data'!$A:$A,B50,'caseload data'!$B:$B,"licence")</f>
        <v>0</v>
      </c>
      <c r="T50" s="91"/>
      <c r="U50" s="141" t="s">
        <v>27</v>
      </c>
      <c r="V50" s="66" t="e">
        <f>C50/$S$50</f>
        <v>#DIV/0!</v>
      </c>
      <c r="W50" s="66" t="e">
        <f t="shared" ref="W50:AK50" si="203">D50/$S$50</f>
        <v>#DIV/0!</v>
      </c>
      <c r="X50" s="66" t="e">
        <f t="shared" si="203"/>
        <v>#DIV/0!</v>
      </c>
      <c r="Y50" s="66" t="e">
        <f t="shared" si="203"/>
        <v>#DIV/0!</v>
      </c>
      <c r="Z50" s="66" t="e">
        <f t="shared" si="203"/>
        <v>#DIV/0!</v>
      </c>
      <c r="AA50" s="66" t="e">
        <f t="shared" si="203"/>
        <v>#DIV/0!</v>
      </c>
      <c r="AB50" s="66" t="e">
        <f t="shared" si="203"/>
        <v>#DIV/0!</v>
      </c>
      <c r="AC50" s="66" t="e">
        <f t="shared" si="203"/>
        <v>#DIV/0!</v>
      </c>
      <c r="AD50" s="66" t="e">
        <f t="shared" si="203"/>
        <v>#DIV/0!</v>
      </c>
      <c r="AE50" s="66" t="e">
        <f t="shared" si="203"/>
        <v>#DIV/0!</v>
      </c>
      <c r="AF50" s="66" t="e">
        <f t="shared" si="203"/>
        <v>#DIV/0!</v>
      </c>
      <c r="AG50" s="66" t="e">
        <f t="shared" si="203"/>
        <v>#DIV/0!</v>
      </c>
      <c r="AH50" s="66" t="e">
        <f t="shared" si="203"/>
        <v>#DIV/0!</v>
      </c>
      <c r="AI50" s="66" t="e">
        <f t="shared" si="203"/>
        <v>#DIV/0!</v>
      </c>
      <c r="AJ50" s="66" t="e">
        <f t="shared" si="203"/>
        <v>#DIV/0!</v>
      </c>
      <c r="AK50" s="66" t="e">
        <f t="shared" si="203"/>
        <v>#DIV/0!</v>
      </c>
    </row>
    <row r="51" spans="2:37" x14ac:dyDescent="0.15">
      <c r="B51" s="141" t="s">
        <v>28</v>
      </c>
      <c r="C51" s="75">
        <f>SUMIFS('caseload data'!E:E,'caseload data'!$A:$A,$B51,'caseload data'!$B:$B,"licence")</f>
        <v>0</v>
      </c>
      <c r="D51" s="75">
        <f>SUMIFS('caseload data'!F:F,'caseload data'!$A:$A,$B51,'caseload data'!$B:$B,"licence")</f>
        <v>0</v>
      </c>
      <c r="E51" s="75">
        <f>SUMIFS('caseload data'!G:G,'caseload data'!$A:$A,$B51,'caseload data'!$B:$B,"licence")</f>
        <v>0</v>
      </c>
      <c r="F51" s="75">
        <f>SUMIFS('caseload data'!H:H,'caseload data'!$A:$A,$B51,'caseload data'!$B:$B,"licence")</f>
        <v>0</v>
      </c>
      <c r="G51" s="75">
        <f>SUMIFS('caseload data'!I:I,'caseload data'!$A:$A,$B51,'caseload data'!$B:$B,"licence")</f>
        <v>0</v>
      </c>
      <c r="H51" s="75">
        <f>SUMIFS('caseload data'!J:J,'caseload data'!$A:$A,$B51,'caseload data'!$B:$B,"licence")</f>
        <v>0</v>
      </c>
      <c r="I51" s="75">
        <f>SUMIFS('caseload data'!K:K,'caseload data'!$A:$A,$B51,'caseload data'!$B:$B,"licence")</f>
        <v>0</v>
      </c>
      <c r="J51" s="75">
        <f>SUMIFS('caseload data'!L:L,'caseload data'!$A:$A,$B51,'caseload data'!$B:$B,"licence")</f>
        <v>0</v>
      </c>
      <c r="K51" s="75">
        <f>SUMIFS('caseload data'!M:M,'caseload data'!$A:$A,$B51,'caseload data'!$B:$B,"licence")</f>
        <v>0</v>
      </c>
      <c r="L51" s="75">
        <f>SUMIFS('caseload data'!N:N,'caseload data'!$A:$A,$B51,'caseload data'!$B:$B,"licence")</f>
        <v>0</v>
      </c>
      <c r="M51" s="75">
        <f>SUMIFS('caseload data'!O:O,'caseload data'!$A:$A,$B51,'caseload data'!$B:$B,"licence")</f>
        <v>0</v>
      </c>
      <c r="N51" s="75">
        <f>SUMIFS('caseload data'!P:P,'caseload data'!$A:$A,$B51,'caseload data'!$B:$B,"licence")</f>
        <v>0</v>
      </c>
      <c r="O51" s="75">
        <f>SUMIFS('caseload data'!Q:Q,'caseload data'!$A:$A,$B51,'caseload data'!$B:$B,"licence")</f>
        <v>0</v>
      </c>
      <c r="P51" s="75">
        <f>SUMIFS('caseload data'!R:R,'caseload data'!$A:$A,$B51,'caseload data'!$B:$B,"licence")</f>
        <v>0</v>
      </c>
      <c r="Q51" s="75">
        <f>SUMIFS('caseload data'!S:S,'caseload data'!$A:$A,$B51,'caseload data'!$B:$B,"licence")</f>
        <v>0</v>
      </c>
      <c r="R51" s="75">
        <f>SUMIFS('caseload data'!T:T,'caseload data'!$A:$A,$B51,'caseload data'!$B:$B,"licence")</f>
        <v>0</v>
      </c>
      <c r="S51" s="75">
        <f>SUMIFS('caseload data'!V:V,'caseload data'!$A:$A,B51,'caseload data'!$B:$B,"licence")</f>
        <v>0</v>
      </c>
      <c r="T51" s="91"/>
      <c r="U51" s="141" t="s">
        <v>28</v>
      </c>
      <c r="V51" s="66" t="e">
        <f>C51/$S$51</f>
        <v>#DIV/0!</v>
      </c>
      <c r="W51" s="66" t="e">
        <f t="shared" ref="W51:AK51" si="204">D51/$S$51</f>
        <v>#DIV/0!</v>
      </c>
      <c r="X51" s="66" t="e">
        <f t="shared" si="204"/>
        <v>#DIV/0!</v>
      </c>
      <c r="Y51" s="66" t="e">
        <f t="shared" si="204"/>
        <v>#DIV/0!</v>
      </c>
      <c r="Z51" s="66" t="e">
        <f t="shared" si="204"/>
        <v>#DIV/0!</v>
      </c>
      <c r="AA51" s="66" t="e">
        <f t="shared" si="204"/>
        <v>#DIV/0!</v>
      </c>
      <c r="AB51" s="66" t="e">
        <f t="shared" si="204"/>
        <v>#DIV/0!</v>
      </c>
      <c r="AC51" s="66" t="e">
        <f t="shared" si="204"/>
        <v>#DIV/0!</v>
      </c>
      <c r="AD51" s="66" t="e">
        <f t="shared" si="204"/>
        <v>#DIV/0!</v>
      </c>
      <c r="AE51" s="66" t="e">
        <f t="shared" si="204"/>
        <v>#DIV/0!</v>
      </c>
      <c r="AF51" s="66" t="e">
        <f t="shared" si="204"/>
        <v>#DIV/0!</v>
      </c>
      <c r="AG51" s="66" t="e">
        <f t="shared" si="204"/>
        <v>#DIV/0!</v>
      </c>
      <c r="AH51" s="66" t="e">
        <f t="shared" si="204"/>
        <v>#DIV/0!</v>
      </c>
      <c r="AI51" s="66" t="e">
        <f t="shared" si="204"/>
        <v>#DIV/0!</v>
      </c>
      <c r="AJ51" s="66" t="e">
        <f t="shared" si="204"/>
        <v>#DIV/0!</v>
      </c>
      <c r="AK51" s="66" t="e">
        <f t="shared" si="204"/>
        <v>#DIV/0!</v>
      </c>
    </row>
    <row r="52" spans="2:37" x14ac:dyDescent="0.15">
      <c r="B52" s="110" t="s">
        <v>1083</v>
      </c>
      <c r="C52" s="110">
        <f>SUMIF('caseload data'!$B:$B,"licence",'caseload data'!E:E)</f>
        <v>0</v>
      </c>
      <c r="D52" s="110">
        <f>SUMIF('caseload data'!$B:$B,"licence",'caseload data'!F:F)</f>
        <v>0</v>
      </c>
      <c r="E52" s="110">
        <f>SUMIF('caseload data'!$B:$B,"licence",'caseload data'!G:G)</f>
        <v>0</v>
      </c>
      <c r="F52" s="110">
        <f>SUMIF('caseload data'!$B:$B,"licence",'caseload data'!H:H)</f>
        <v>0</v>
      </c>
      <c r="G52" s="110">
        <f>SUMIF('caseload data'!$B:$B,"licence",'caseload data'!I:I)</f>
        <v>0</v>
      </c>
      <c r="H52" s="110">
        <f>SUMIF('caseload data'!$B:$B,"licence",'caseload data'!J:J)</f>
        <v>0</v>
      </c>
      <c r="I52" s="110">
        <f>SUMIF('caseload data'!$B:$B,"licence",'caseload data'!K:K)</f>
        <v>0</v>
      </c>
      <c r="J52" s="110">
        <f>SUMIF('caseload data'!$B:$B,"licence",'caseload data'!L:L)</f>
        <v>0</v>
      </c>
      <c r="K52" s="110">
        <f>SUMIF('caseload data'!$B:$B,"licence",'caseload data'!M:M)</f>
        <v>0</v>
      </c>
      <c r="L52" s="110">
        <f>SUMIF('caseload data'!$B:$B,"licence",'caseload data'!N:N)</f>
        <v>0</v>
      </c>
      <c r="M52" s="110">
        <f>SUMIF('caseload data'!$B:$B,"licence",'caseload data'!O:O)</f>
        <v>0</v>
      </c>
      <c r="N52" s="110">
        <f>SUMIF('caseload data'!$B:$B,"licence",'caseload data'!P:P)</f>
        <v>0</v>
      </c>
      <c r="O52" s="110">
        <f>SUMIF('caseload data'!$B:$B,"licence",'caseload data'!Q:Q)</f>
        <v>0</v>
      </c>
      <c r="P52" s="110">
        <f>SUMIF('caseload data'!$B:$B,"licence",'caseload data'!R:R)</f>
        <v>0</v>
      </c>
      <c r="Q52" s="110">
        <f>SUMIF('caseload data'!$B:$B,"licence",'caseload data'!S:S)</f>
        <v>0</v>
      </c>
      <c r="R52" s="110">
        <f>SUMIF('caseload data'!$B:$B,"licence",'caseload data'!T:T)</f>
        <v>0</v>
      </c>
      <c r="S52" s="110">
        <f>SUMIF('caseload data'!$B:$B,"licence",'caseload data'!V:V)</f>
        <v>0</v>
      </c>
      <c r="T52" s="91"/>
      <c r="U52" s="110" t="s">
        <v>1083</v>
      </c>
      <c r="V52" s="115" t="e">
        <f>C52/$S$52</f>
        <v>#DIV/0!</v>
      </c>
      <c r="W52" s="115" t="e">
        <f t="shared" ref="W52:AK52" si="205">D52/$S$52</f>
        <v>#DIV/0!</v>
      </c>
      <c r="X52" s="115" t="e">
        <f t="shared" si="205"/>
        <v>#DIV/0!</v>
      </c>
      <c r="Y52" s="115" t="e">
        <f t="shared" si="205"/>
        <v>#DIV/0!</v>
      </c>
      <c r="Z52" s="115" t="e">
        <f t="shared" si="205"/>
        <v>#DIV/0!</v>
      </c>
      <c r="AA52" s="115" t="e">
        <f t="shared" si="205"/>
        <v>#DIV/0!</v>
      </c>
      <c r="AB52" s="115" t="e">
        <f t="shared" si="205"/>
        <v>#DIV/0!</v>
      </c>
      <c r="AC52" s="115" t="e">
        <f t="shared" si="205"/>
        <v>#DIV/0!</v>
      </c>
      <c r="AD52" s="115" t="e">
        <f t="shared" si="205"/>
        <v>#DIV/0!</v>
      </c>
      <c r="AE52" s="115" t="e">
        <f t="shared" si="205"/>
        <v>#DIV/0!</v>
      </c>
      <c r="AF52" s="115" t="e">
        <f t="shared" si="205"/>
        <v>#DIV/0!</v>
      </c>
      <c r="AG52" s="115" t="e">
        <f t="shared" si="205"/>
        <v>#DIV/0!</v>
      </c>
      <c r="AH52" s="115" t="e">
        <f t="shared" si="205"/>
        <v>#DIV/0!</v>
      </c>
      <c r="AI52" s="115" t="e">
        <f t="shared" si="205"/>
        <v>#DIV/0!</v>
      </c>
      <c r="AJ52" s="115" t="e">
        <f t="shared" si="205"/>
        <v>#DIV/0!</v>
      </c>
      <c r="AK52" s="115" t="e">
        <f t="shared" si="205"/>
        <v>#DIV/0!</v>
      </c>
    </row>
    <row r="54" spans="2:37" ht="22.5" customHeight="1" x14ac:dyDescent="0.2">
      <c r="C54" s="505" t="s">
        <v>1089</v>
      </c>
      <c r="D54" s="506"/>
      <c r="E54" s="506"/>
      <c r="F54" s="506"/>
      <c r="G54" s="506"/>
      <c r="H54" s="506"/>
      <c r="I54" s="506"/>
      <c r="J54" s="506"/>
      <c r="K54" s="506"/>
      <c r="L54" s="506"/>
      <c r="M54" s="506"/>
      <c r="N54" s="506"/>
      <c r="O54" s="506"/>
      <c r="P54" s="506"/>
      <c r="Q54" s="506"/>
      <c r="R54" s="506"/>
      <c r="S54" s="507"/>
      <c r="V54" s="505" t="s">
        <v>1090</v>
      </c>
      <c r="W54" s="506"/>
      <c r="X54" s="506"/>
      <c r="Y54" s="506"/>
      <c r="Z54" s="506"/>
      <c r="AA54" s="506"/>
      <c r="AB54" s="506"/>
      <c r="AC54" s="506"/>
      <c r="AD54" s="506"/>
      <c r="AE54" s="506"/>
      <c r="AF54" s="506"/>
      <c r="AG54" s="506"/>
      <c r="AH54" s="506"/>
      <c r="AI54" s="506"/>
      <c r="AJ54" s="506"/>
      <c r="AK54" s="506"/>
    </row>
    <row r="55" spans="2:37" ht="15.75" customHeight="1" x14ac:dyDescent="0.15">
      <c r="B55" s="139"/>
      <c r="C55" s="38" t="s">
        <v>864</v>
      </c>
      <c r="D55" s="38" t="s">
        <v>865</v>
      </c>
      <c r="E55" s="38" t="s">
        <v>866</v>
      </c>
      <c r="F55" s="38" t="s">
        <v>867</v>
      </c>
      <c r="G55" s="38" t="s">
        <v>868</v>
      </c>
      <c r="H55" s="38" t="s">
        <v>869</v>
      </c>
      <c r="I55" s="38" t="s">
        <v>870</v>
      </c>
      <c r="J55" s="38" t="s">
        <v>871</v>
      </c>
      <c r="K55" s="38" t="s">
        <v>872</v>
      </c>
      <c r="L55" s="38" t="s">
        <v>873</v>
      </c>
      <c r="M55" s="38" t="s">
        <v>874</v>
      </c>
      <c r="N55" s="38" t="s">
        <v>875</v>
      </c>
      <c r="O55" s="38" t="s">
        <v>876</v>
      </c>
      <c r="P55" s="38" t="s">
        <v>877</v>
      </c>
      <c r="Q55" s="38" t="s">
        <v>878</v>
      </c>
      <c r="R55" s="38" t="s">
        <v>879</v>
      </c>
      <c r="S55" s="39" t="s">
        <v>881</v>
      </c>
      <c r="T55" s="91"/>
      <c r="U55" s="231"/>
      <c r="V55" s="38" t="s">
        <v>864</v>
      </c>
      <c r="W55" s="38" t="s">
        <v>865</v>
      </c>
      <c r="X55" s="38" t="s">
        <v>866</v>
      </c>
      <c r="Y55" s="38" t="s">
        <v>867</v>
      </c>
      <c r="Z55" s="38" t="s">
        <v>868</v>
      </c>
      <c r="AA55" s="38" t="s">
        <v>869</v>
      </c>
      <c r="AB55" s="38" t="s">
        <v>870</v>
      </c>
      <c r="AC55" s="38" t="s">
        <v>871</v>
      </c>
      <c r="AD55" s="38" t="s">
        <v>872</v>
      </c>
      <c r="AE55" s="38" t="s">
        <v>873</v>
      </c>
      <c r="AF55" s="38" t="s">
        <v>874</v>
      </c>
      <c r="AG55" s="38" t="s">
        <v>875</v>
      </c>
      <c r="AH55" s="38" t="s">
        <v>876</v>
      </c>
      <c r="AI55" s="38" t="s">
        <v>877</v>
      </c>
      <c r="AJ55" s="38" t="s">
        <v>878</v>
      </c>
      <c r="AK55" s="38" t="s">
        <v>879</v>
      </c>
    </row>
    <row r="56" spans="2:37" x14ac:dyDescent="0.15">
      <c r="B56" s="141" t="s">
        <v>17</v>
      </c>
      <c r="C56" s="75">
        <f>SUMIFS('caseload data'!E:E,'caseload data'!$A:$A,$B56,'caseload data'!$B:$B,"community")</f>
        <v>0</v>
      </c>
      <c r="D56" s="75">
        <f>SUMIFS('caseload data'!F:F,'caseload data'!$A:$A,$B56,'caseload data'!$B:$B,"community")</f>
        <v>0</v>
      </c>
      <c r="E56" s="75">
        <f>SUMIFS('caseload data'!G:G,'caseload data'!$A:$A,$B56,'caseload data'!$B:$B,"community")</f>
        <v>0</v>
      </c>
      <c r="F56" s="75">
        <f>SUMIFS('caseload data'!H:H,'caseload data'!$A:$A,$B56,'caseload data'!$B:$B,"community")</f>
        <v>0</v>
      </c>
      <c r="G56" s="75">
        <f>SUMIFS('caseload data'!I:I,'caseload data'!$A:$A,$B56,'caseload data'!$B:$B,"community")</f>
        <v>0</v>
      </c>
      <c r="H56" s="75">
        <f>SUMIFS('caseload data'!J:J,'caseload data'!$A:$A,$B56,'caseload data'!$B:$B,"community")</f>
        <v>0</v>
      </c>
      <c r="I56" s="75">
        <f>SUMIFS('caseload data'!K:K,'caseload data'!$A:$A,$B56,'caseload data'!$B:$B,"community")</f>
        <v>0</v>
      </c>
      <c r="J56" s="75">
        <f>SUMIFS('caseload data'!L:L,'caseload data'!$A:$A,$B56,'caseload data'!$B:$B,"community")</f>
        <v>0</v>
      </c>
      <c r="K56" s="75">
        <f>SUMIFS('caseload data'!M:M,'caseload data'!$A:$A,$B56,'caseload data'!$B:$B,"community")</f>
        <v>0</v>
      </c>
      <c r="L56" s="75">
        <f>SUMIFS('caseload data'!N:N,'caseload data'!$A:$A,$B56,'caseload data'!$B:$B,"community")</f>
        <v>0</v>
      </c>
      <c r="M56" s="75">
        <f>SUMIFS('caseload data'!O:O,'caseload data'!$A:$A,$B56,'caseload data'!$B:$B,"community")</f>
        <v>0</v>
      </c>
      <c r="N56" s="75">
        <f>SUMIFS('caseload data'!P:P,'caseload data'!$A:$A,$B56,'caseload data'!$B:$B,"community")</f>
        <v>0</v>
      </c>
      <c r="O56" s="75">
        <f>SUMIFS('caseload data'!Q:Q,'caseload data'!$A:$A,$B56,'caseload data'!$B:$B,"community")</f>
        <v>0</v>
      </c>
      <c r="P56" s="75">
        <f>SUMIFS('caseload data'!R:R,'caseload data'!$A:$A,$B56,'caseload data'!$B:$B,"community")</f>
        <v>0</v>
      </c>
      <c r="Q56" s="75">
        <f>SUMIFS('caseload data'!S:S,'caseload data'!$A:$A,$B56,'caseload data'!$B:$B,"community")</f>
        <v>0</v>
      </c>
      <c r="R56" s="75">
        <f>SUMIFS('caseload data'!T:T,'caseload data'!$A:$A,$B56,'caseload data'!$B:$B,"community")</f>
        <v>0</v>
      </c>
      <c r="S56" s="75">
        <f>SUMIFS('caseload data'!V:V,'caseload data'!$A:$A,B56,'caseload data'!$B:$B,"community")</f>
        <v>0</v>
      </c>
      <c r="T56" s="91"/>
      <c r="U56" s="141" t="s">
        <v>17</v>
      </c>
      <c r="V56" s="66" t="e">
        <f>C56/$S$56</f>
        <v>#DIV/0!</v>
      </c>
      <c r="W56" s="66" t="e">
        <f t="shared" ref="W56:AK56" si="206">D56/$S$56</f>
        <v>#DIV/0!</v>
      </c>
      <c r="X56" s="66" t="e">
        <f t="shared" si="206"/>
        <v>#DIV/0!</v>
      </c>
      <c r="Y56" s="66" t="e">
        <f t="shared" si="206"/>
        <v>#DIV/0!</v>
      </c>
      <c r="Z56" s="66" t="e">
        <f t="shared" si="206"/>
        <v>#DIV/0!</v>
      </c>
      <c r="AA56" s="66" t="e">
        <f t="shared" si="206"/>
        <v>#DIV/0!</v>
      </c>
      <c r="AB56" s="66" t="e">
        <f t="shared" si="206"/>
        <v>#DIV/0!</v>
      </c>
      <c r="AC56" s="66" t="e">
        <f t="shared" si="206"/>
        <v>#DIV/0!</v>
      </c>
      <c r="AD56" s="66" t="e">
        <f t="shared" si="206"/>
        <v>#DIV/0!</v>
      </c>
      <c r="AE56" s="66" t="e">
        <f t="shared" si="206"/>
        <v>#DIV/0!</v>
      </c>
      <c r="AF56" s="66" t="e">
        <f t="shared" si="206"/>
        <v>#DIV/0!</v>
      </c>
      <c r="AG56" s="66" t="e">
        <f t="shared" si="206"/>
        <v>#DIV/0!</v>
      </c>
      <c r="AH56" s="66" t="e">
        <f t="shared" si="206"/>
        <v>#DIV/0!</v>
      </c>
      <c r="AI56" s="66" t="e">
        <f t="shared" si="206"/>
        <v>#DIV/0!</v>
      </c>
      <c r="AJ56" s="66" t="e">
        <f t="shared" si="206"/>
        <v>#DIV/0!</v>
      </c>
      <c r="AK56" s="66" t="e">
        <f t="shared" si="206"/>
        <v>#DIV/0!</v>
      </c>
    </row>
    <row r="57" spans="2:37" x14ac:dyDescent="0.15">
      <c r="B57" s="141" t="s">
        <v>18</v>
      </c>
      <c r="C57" s="75">
        <f>SUMIFS('caseload data'!E:E,'caseload data'!$A:$A,$B57,'caseload data'!$B:$B,"community")</f>
        <v>0</v>
      </c>
      <c r="D57" s="75">
        <f>SUMIFS('caseload data'!F:F,'caseload data'!$A:$A,$B57,'caseload data'!$B:$B,"community")</f>
        <v>0</v>
      </c>
      <c r="E57" s="75">
        <f>SUMIFS('caseload data'!G:G,'caseload data'!$A:$A,$B57,'caseload data'!$B:$B,"community")</f>
        <v>0</v>
      </c>
      <c r="F57" s="75">
        <f>SUMIFS('caseload data'!H:H,'caseload data'!$A:$A,$B57,'caseload data'!$B:$B,"community")</f>
        <v>0</v>
      </c>
      <c r="G57" s="75">
        <f>SUMIFS('caseload data'!I:I,'caseload data'!$A:$A,$B57,'caseload data'!$B:$B,"community")</f>
        <v>0</v>
      </c>
      <c r="H57" s="75">
        <f>SUMIFS('caseload data'!J:J,'caseload data'!$A:$A,$B57,'caseload data'!$B:$B,"community")</f>
        <v>0</v>
      </c>
      <c r="I57" s="75">
        <f>SUMIFS('caseload data'!K:K,'caseload data'!$A:$A,$B57,'caseload data'!$B:$B,"community")</f>
        <v>0</v>
      </c>
      <c r="J57" s="75">
        <f>SUMIFS('caseload data'!L:L,'caseload data'!$A:$A,$B57,'caseload data'!$B:$B,"community")</f>
        <v>0</v>
      </c>
      <c r="K57" s="75">
        <f>SUMIFS('caseload data'!M:M,'caseload data'!$A:$A,$B57,'caseload data'!$B:$B,"community")</f>
        <v>0</v>
      </c>
      <c r="L57" s="75">
        <f>SUMIFS('caseload data'!N:N,'caseload data'!$A:$A,$B57,'caseload data'!$B:$B,"community")</f>
        <v>0</v>
      </c>
      <c r="M57" s="75">
        <f>SUMIFS('caseload data'!O:O,'caseload data'!$A:$A,$B57,'caseload data'!$B:$B,"community")</f>
        <v>0</v>
      </c>
      <c r="N57" s="75">
        <f>SUMIFS('caseload data'!P:P,'caseload data'!$A:$A,$B57,'caseload data'!$B:$B,"community")</f>
        <v>0</v>
      </c>
      <c r="O57" s="75">
        <f>SUMIFS('caseload data'!Q:Q,'caseload data'!$A:$A,$B57,'caseload data'!$B:$B,"community")</f>
        <v>0</v>
      </c>
      <c r="P57" s="75">
        <f>SUMIFS('caseload data'!R:R,'caseload data'!$A:$A,$B57,'caseload data'!$B:$B,"community")</f>
        <v>0</v>
      </c>
      <c r="Q57" s="75">
        <f>SUMIFS('caseload data'!S:S,'caseload data'!$A:$A,$B57,'caseload data'!$B:$B,"community")</f>
        <v>0</v>
      </c>
      <c r="R57" s="75">
        <f>SUMIFS('caseload data'!T:T,'caseload data'!$A:$A,$B57,'caseload data'!$B:$B,"community")</f>
        <v>0</v>
      </c>
      <c r="S57" s="75">
        <f>SUMIFS('caseload data'!V:V,'caseload data'!$A:$A,B57,'caseload data'!$B:$B,"community")</f>
        <v>0</v>
      </c>
      <c r="T57" s="91"/>
      <c r="U57" s="141" t="s">
        <v>18</v>
      </c>
      <c r="V57" s="66" t="e">
        <f>C57/$S$57</f>
        <v>#DIV/0!</v>
      </c>
      <c r="W57" s="66" t="e">
        <f t="shared" ref="W57:AK57" si="207">D57/$S$57</f>
        <v>#DIV/0!</v>
      </c>
      <c r="X57" s="66" t="e">
        <f t="shared" si="207"/>
        <v>#DIV/0!</v>
      </c>
      <c r="Y57" s="66" t="e">
        <f t="shared" si="207"/>
        <v>#DIV/0!</v>
      </c>
      <c r="Z57" s="66" t="e">
        <f t="shared" si="207"/>
        <v>#DIV/0!</v>
      </c>
      <c r="AA57" s="66" t="e">
        <f t="shared" si="207"/>
        <v>#DIV/0!</v>
      </c>
      <c r="AB57" s="66" t="e">
        <f t="shared" si="207"/>
        <v>#DIV/0!</v>
      </c>
      <c r="AC57" s="66" t="e">
        <f t="shared" si="207"/>
        <v>#DIV/0!</v>
      </c>
      <c r="AD57" s="66" t="e">
        <f t="shared" si="207"/>
        <v>#DIV/0!</v>
      </c>
      <c r="AE57" s="66" t="e">
        <f t="shared" si="207"/>
        <v>#DIV/0!</v>
      </c>
      <c r="AF57" s="66" t="e">
        <f t="shared" si="207"/>
        <v>#DIV/0!</v>
      </c>
      <c r="AG57" s="66" t="e">
        <f t="shared" si="207"/>
        <v>#DIV/0!</v>
      </c>
      <c r="AH57" s="66" t="e">
        <f t="shared" si="207"/>
        <v>#DIV/0!</v>
      </c>
      <c r="AI57" s="66" t="e">
        <f t="shared" si="207"/>
        <v>#DIV/0!</v>
      </c>
      <c r="AJ57" s="66" t="e">
        <f t="shared" si="207"/>
        <v>#DIV/0!</v>
      </c>
      <c r="AK57" s="66" t="e">
        <f t="shared" si="207"/>
        <v>#DIV/0!</v>
      </c>
    </row>
    <row r="58" spans="2:37" x14ac:dyDescent="0.15">
      <c r="B58" s="141" t="s">
        <v>19</v>
      </c>
      <c r="C58" s="75">
        <f>SUMIFS('caseload data'!E:E,'caseload data'!$A:$A,$B58,'caseload data'!$B:$B,"community")</f>
        <v>0</v>
      </c>
      <c r="D58" s="75">
        <f>SUMIFS('caseload data'!F:F,'caseload data'!$A:$A,$B58,'caseload data'!$B:$B,"community")</f>
        <v>0</v>
      </c>
      <c r="E58" s="75">
        <f>SUMIFS('caseload data'!G:G,'caseload data'!$A:$A,$B58,'caseload data'!$B:$B,"community")</f>
        <v>0</v>
      </c>
      <c r="F58" s="75">
        <f>SUMIFS('caseload data'!H:H,'caseload data'!$A:$A,$B58,'caseload data'!$B:$B,"community")</f>
        <v>0</v>
      </c>
      <c r="G58" s="75">
        <f>SUMIFS('caseload data'!I:I,'caseload data'!$A:$A,$B58,'caseload data'!$B:$B,"community")</f>
        <v>0</v>
      </c>
      <c r="H58" s="75">
        <f>SUMIFS('caseload data'!J:J,'caseload data'!$A:$A,$B58,'caseload data'!$B:$B,"community")</f>
        <v>0</v>
      </c>
      <c r="I58" s="75">
        <f>SUMIFS('caseload data'!K:K,'caseload data'!$A:$A,$B58,'caseload data'!$B:$B,"community")</f>
        <v>0</v>
      </c>
      <c r="J58" s="75">
        <f>SUMIFS('caseload data'!L:L,'caseload data'!$A:$A,$B58,'caseload data'!$B:$B,"community")</f>
        <v>0</v>
      </c>
      <c r="K58" s="75">
        <f>SUMIFS('caseload data'!M:M,'caseload data'!$A:$A,$B58,'caseload data'!$B:$B,"community")</f>
        <v>0</v>
      </c>
      <c r="L58" s="75">
        <f>SUMIFS('caseload data'!N:N,'caseload data'!$A:$A,$B58,'caseload data'!$B:$B,"community")</f>
        <v>0</v>
      </c>
      <c r="M58" s="75">
        <f>SUMIFS('caseload data'!O:O,'caseload data'!$A:$A,$B58,'caseload data'!$B:$B,"community")</f>
        <v>0</v>
      </c>
      <c r="N58" s="75">
        <f>SUMIFS('caseload data'!P:P,'caseload data'!$A:$A,$B58,'caseload data'!$B:$B,"community")</f>
        <v>0</v>
      </c>
      <c r="O58" s="75">
        <f>SUMIFS('caseload data'!Q:Q,'caseload data'!$A:$A,$B58,'caseload data'!$B:$B,"community")</f>
        <v>0</v>
      </c>
      <c r="P58" s="75">
        <f>SUMIFS('caseload data'!R:R,'caseload data'!$A:$A,$B58,'caseload data'!$B:$B,"community")</f>
        <v>0</v>
      </c>
      <c r="Q58" s="75">
        <f>SUMIFS('caseload data'!S:S,'caseload data'!$A:$A,$B58,'caseload data'!$B:$B,"community")</f>
        <v>0</v>
      </c>
      <c r="R58" s="75">
        <f>SUMIFS('caseload data'!T:T,'caseload data'!$A:$A,$B58,'caseload data'!$B:$B,"community")</f>
        <v>0</v>
      </c>
      <c r="S58" s="75">
        <f>SUMIFS('caseload data'!V:V,'caseload data'!$A:$A,B58,'caseload data'!$B:$B,"community")</f>
        <v>0</v>
      </c>
      <c r="T58" s="91"/>
      <c r="U58" s="141" t="s">
        <v>19</v>
      </c>
      <c r="V58" s="66" t="e">
        <f>C58/$S$58</f>
        <v>#DIV/0!</v>
      </c>
      <c r="W58" s="66" t="e">
        <f t="shared" ref="W58:AK58" si="208">D58/$S$58</f>
        <v>#DIV/0!</v>
      </c>
      <c r="X58" s="66" t="e">
        <f t="shared" si="208"/>
        <v>#DIV/0!</v>
      </c>
      <c r="Y58" s="66" t="e">
        <f t="shared" si="208"/>
        <v>#DIV/0!</v>
      </c>
      <c r="Z58" s="66" t="e">
        <f t="shared" si="208"/>
        <v>#DIV/0!</v>
      </c>
      <c r="AA58" s="66" t="e">
        <f t="shared" si="208"/>
        <v>#DIV/0!</v>
      </c>
      <c r="AB58" s="66" t="e">
        <f t="shared" si="208"/>
        <v>#DIV/0!</v>
      </c>
      <c r="AC58" s="66" t="e">
        <f t="shared" si="208"/>
        <v>#DIV/0!</v>
      </c>
      <c r="AD58" s="66" t="e">
        <f t="shared" si="208"/>
        <v>#DIV/0!</v>
      </c>
      <c r="AE58" s="66" t="e">
        <f t="shared" si="208"/>
        <v>#DIV/0!</v>
      </c>
      <c r="AF58" s="66" t="e">
        <f t="shared" si="208"/>
        <v>#DIV/0!</v>
      </c>
      <c r="AG58" s="66" t="e">
        <f t="shared" si="208"/>
        <v>#DIV/0!</v>
      </c>
      <c r="AH58" s="66" t="e">
        <f t="shared" si="208"/>
        <v>#DIV/0!</v>
      </c>
      <c r="AI58" s="66" t="e">
        <f t="shared" si="208"/>
        <v>#DIV/0!</v>
      </c>
      <c r="AJ58" s="66" t="e">
        <f t="shared" si="208"/>
        <v>#DIV/0!</v>
      </c>
      <c r="AK58" s="66" t="e">
        <f t="shared" si="208"/>
        <v>#DIV/0!</v>
      </c>
    </row>
    <row r="59" spans="2:37" x14ac:dyDescent="0.15">
      <c r="B59" s="141" t="s">
        <v>20</v>
      </c>
      <c r="C59" s="75">
        <f>SUMIFS('caseload data'!E:E,'caseload data'!$A:$A,$B59,'caseload data'!$B:$B,"community")</f>
        <v>0</v>
      </c>
      <c r="D59" s="75">
        <f>SUMIFS('caseload data'!F:F,'caseload data'!$A:$A,$B59,'caseload data'!$B:$B,"community")</f>
        <v>0</v>
      </c>
      <c r="E59" s="75">
        <f>SUMIFS('caseload data'!G:G,'caseload data'!$A:$A,$B59,'caseload data'!$B:$B,"community")</f>
        <v>0</v>
      </c>
      <c r="F59" s="75">
        <f>SUMIFS('caseload data'!H:H,'caseload data'!$A:$A,$B59,'caseload data'!$B:$B,"community")</f>
        <v>0</v>
      </c>
      <c r="G59" s="75">
        <f>SUMIFS('caseload data'!I:I,'caseload data'!$A:$A,$B59,'caseload data'!$B:$B,"community")</f>
        <v>0</v>
      </c>
      <c r="H59" s="75">
        <f>SUMIFS('caseload data'!J:J,'caseload data'!$A:$A,$B59,'caseload data'!$B:$B,"community")</f>
        <v>0</v>
      </c>
      <c r="I59" s="75">
        <f>SUMIFS('caseload data'!K:K,'caseload data'!$A:$A,$B59,'caseload data'!$B:$B,"community")</f>
        <v>0</v>
      </c>
      <c r="J59" s="75">
        <f>SUMIFS('caseload data'!L:L,'caseload data'!$A:$A,$B59,'caseload data'!$B:$B,"community")</f>
        <v>0</v>
      </c>
      <c r="K59" s="75">
        <f>SUMIFS('caseload data'!M:M,'caseload data'!$A:$A,$B59,'caseload data'!$B:$B,"community")</f>
        <v>0</v>
      </c>
      <c r="L59" s="75">
        <f>SUMIFS('caseload data'!N:N,'caseload data'!$A:$A,$B59,'caseload data'!$B:$B,"community")</f>
        <v>0</v>
      </c>
      <c r="M59" s="75">
        <f>SUMIFS('caseload data'!O:O,'caseload data'!$A:$A,$B59,'caseload data'!$B:$B,"community")</f>
        <v>0</v>
      </c>
      <c r="N59" s="75">
        <f>SUMIFS('caseload data'!P:P,'caseload data'!$A:$A,$B59,'caseload data'!$B:$B,"community")</f>
        <v>0</v>
      </c>
      <c r="O59" s="75">
        <f>SUMIFS('caseload data'!Q:Q,'caseload data'!$A:$A,$B59,'caseload data'!$B:$B,"community")</f>
        <v>0</v>
      </c>
      <c r="P59" s="75">
        <f>SUMIFS('caseload data'!R:R,'caseload data'!$A:$A,$B59,'caseload data'!$B:$B,"community")</f>
        <v>0</v>
      </c>
      <c r="Q59" s="75">
        <f>SUMIFS('caseload data'!S:S,'caseload data'!$A:$A,$B59,'caseload data'!$B:$B,"community")</f>
        <v>0</v>
      </c>
      <c r="R59" s="75">
        <f>SUMIFS('caseload data'!T:T,'caseload data'!$A:$A,$B59,'caseload data'!$B:$B,"community")</f>
        <v>0</v>
      </c>
      <c r="S59" s="75">
        <f>SUMIFS('caseload data'!V:V,'caseload data'!$A:$A,B59,'caseload data'!$B:$B,"community")</f>
        <v>0</v>
      </c>
      <c r="T59" s="91"/>
      <c r="U59" s="141" t="s">
        <v>20</v>
      </c>
      <c r="V59" s="66" t="e">
        <f>C59/$S$59</f>
        <v>#DIV/0!</v>
      </c>
      <c r="W59" s="66" t="e">
        <f t="shared" ref="W59:AK59" si="209">D59/$S$59</f>
        <v>#DIV/0!</v>
      </c>
      <c r="X59" s="66" t="e">
        <f t="shared" si="209"/>
        <v>#DIV/0!</v>
      </c>
      <c r="Y59" s="66" t="e">
        <f t="shared" si="209"/>
        <v>#DIV/0!</v>
      </c>
      <c r="Z59" s="66" t="e">
        <f t="shared" si="209"/>
        <v>#DIV/0!</v>
      </c>
      <c r="AA59" s="66" t="e">
        <f t="shared" si="209"/>
        <v>#DIV/0!</v>
      </c>
      <c r="AB59" s="66" t="e">
        <f t="shared" si="209"/>
        <v>#DIV/0!</v>
      </c>
      <c r="AC59" s="66" t="e">
        <f t="shared" si="209"/>
        <v>#DIV/0!</v>
      </c>
      <c r="AD59" s="66" t="e">
        <f t="shared" si="209"/>
        <v>#DIV/0!</v>
      </c>
      <c r="AE59" s="66" t="e">
        <f t="shared" si="209"/>
        <v>#DIV/0!</v>
      </c>
      <c r="AF59" s="66" t="e">
        <f t="shared" si="209"/>
        <v>#DIV/0!</v>
      </c>
      <c r="AG59" s="66" t="e">
        <f t="shared" si="209"/>
        <v>#DIV/0!</v>
      </c>
      <c r="AH59" s="66" t="e">
        <f t="shared" si="209"/>
        <v>#DIV/0!</v>
      </c>
      <c r="AI59" s="66" t="e">
        <f t="shared" si="209"/>
        <v>#DIV/0!</v>
      </c>
      <c r="AJ59" s="66" t="e">
        <f t="shared" si="209"/>
        <v>#DIV/0!</v>
      </c>
      <c r="AK59" s="66" t="e">
        <f t="shared" si="209"/>
        <v>#DIV/0!</v>
      </c>
    </row>
    <row r="60" spans="2:37" x14ac:dyDescent="0.15">
      <c r="B60" s="141" t="s">
        <v>21</v>
      </c>
      <c r="C60" s="75">
        <f>SUMIFS('caseload data'!E:E,'caseload data'!$A:$A,$B60,'caseload data'!$B:$B,"community")</f>
        <v>0</v>
      </c>
      <c r="D60" s="75">
        <f>SUMIFS('caseload data'!F:F,'caseload data'!$A:$A,$B60,'caseload data'!$B:$B,"community")</f>
        <v>0</v>
      </c>
      <c r="E60" s="75">
        <f>SUMIFS('caseload data'!G:G,'caseload data'!$A:$A,$B60,'caseload data'!$B:$B,"community")</f>
        <v>0</v>
      </c>
      <c r="F60" s="75">
        <f>SUMIFS('caseload data'!H:H,'caseload data'!$A:$A,$B60,'caseload data'!$B:$B,"community")</f>
        <v>0</v>
      </c>
      <c r="G60" s="75">
        <f>SUMIFS('caseload data'!I:I,'caseload data'!$A:$A,$B60,'caseload data'!$B:$B,"community")</f>
        <v>0</v>
      </c>
      <c r="H60" s="75">
        <f>SUMIFS('caseload data'!J:J,'caseload data'!$A:$A,$B60,'caseload data'!$B:$B,"community")</f>
        <v>0</v>
      </c>
      <c r="I60" s="75">
        <f>SUMIFS('caseload data'!K:K,'caseload data'!$A:$A,$B60,'caseload data'!$B:$B,"community")</f>
        <v>0</v>
      </c>
      <c r="J60" s="75">
        <f>SUMIFS('caseload data'!L:L,'caseload data'!$A:$A,$B60,'caseload data'!$B:$B,"community")</f>
        <v>0</v>
      </c>
      <c r="K60" s="75">
        <f>SUMIFS('caseload data'!M:M,'caseload data'!$A:$A,$B60,'caseload data'!$B:$B,"community")</f>
        <v>0</v>
      </c>
      <c r="L60" s="75">
        <f>SUMIFS('caseload data'!N:N,'caseload data'!$A:$A,$B60,'caseload data'!$B:$B,"community")</f>
        <v>0</v>
      </c>
      <c r="M60" s="75">
        <f>SUMIFS('caseload data'!O:O,'caseload data'!$A:$A,$B60,'caseload data'!$B:$B,"community")</f>
        <v>0</v>
      </c>
      <c r="N60" s="75">
        <f>SUMIFS('caseload data'!P:P,'caseload data'!$A:$A,$B60,'caseload data'!$B:$B,"community")</f>
        <v>0</v>
      </c>
      <c r="O60" s="75">
        <f>SUMIFS('caseload data'!Q:Q,'caseload data'!$A:$A,$B60,'caseload data'!$B:$B,"community")</f>
        <v>0</v>
      </c>
      <c r="P60" s="75">
        <f>SUMIFS('caseload data'!R:R,'caseload data'!$A:$A,$B60,'caseload data'!$B:$B,"community")</f>
        <v>0</v>
      </c>
      <c r="Q60" s="75">
        <f>SUMIFS('caseload data'!S:S,'caseload data'!$A:$A,$B60,'caseload data'!$B:$B,"community")</f>
        <v>0</v>
      </c>
      <c r="R60" s="75">
        <f>SUMIFS('caseload data'!T:T,'caseload data'!$A:$A,$B60,'caseload data'!$B:$B,"community")</f>
        <v>0</v>
      </c>
      <c r="S60" s="75">
        <f>SUMIFS('caseload data'!V:V,'caseload data'!$A:$A,B60,'caseload data'!$B:$B,"community")</f>
        <v>0</v>
      </c>
      <c r="T60" s="91"/>
      <c r="U60" s="141" t="s">
        <v>21</v>
      </c>
      <c r="V60" s="66" t="e">
        <f>C60/$S$60</f>
        <v>#DIV/0!</v>
      </c>
      <c r="W60" s="66" t="e">
        <f t="shared" ref="W60:AK60" si="210">D60/$S$60</f>
        <v>#DIV/0!</v>
      </c>
      <c r="X60" s="66" t="e">
        <f t="shared" si="210"/>
        <v>#DIV/0!</v>
      </c>
      <c r="Y60" s="66" t="e">
        <f t="shared" si="210"/>
        <v>#DIV/0!</v>
      </c>
      <c r="Z60" s="66" t="e">
        <f t="shared" si="210"/>
        <v>#DIV/0!</v>
      </c>
      <c r="AA60" s="66" t="e">
        <f t="shared" si="210"/>
        <v>#DIV/0!</v>
      </c>
      <c r="AB60" s="66" t="e">
        <f t="shared" si="210"/>
        <v>#DIV/0!</v>
      </c>
      <c r="AC60" s="66" t="e">
        <f t="shared" si="210"/>
        <v>#DIV/0!</v>
      </c>
      <c r="AD60" s="66" t="e">
        <f t="shared" si="210"/>
        <v>#DIV/0!</v>
      </c>
      <c r="AE60" s="66" t="e">
        <f t="shared" si="210"/>
        <v>#DIV/0!</v>
      </c>
      <c r="AF60" s="66" t="e">
        <f t="shared" si="210"/>
        <v>#DIV/0!</v>
      </c>
      <c r="AG60" s="66" t="e">
        <f t="shared" si="210"/>
        <v>#DIV/0!</v>
      </c>
      <c r="AH60" s="66" t="e">
        <f t="shared" si="210"/>
        <v>#DIV/0!</v>
      </c>
      <c r="AI60" s="66" t="e">
        <f t="shared" si="210"/>
        <v>#DIV/0!</v>
      </c>
      <c r="AJ60" s="66" t="e">
        <f t="shared" si="210"/>
        <v>#DIV/0!</v>
      </c>
      <c r="AK60" s="66" t="e">
        <f t="shared" si="210"/>
        <v>#DIV/0!</v>
      </c>
    </row>
    <row r="61" spans="2:37" x14ac:dyDescent="0.15">
      <c r="B61" s="141" t="s">
        <v>22</v>
      </c>
      <c r="C61" s="75">
        <f>SUMIFS('caseload data'!E:E,'caseload data'!$A:$A,$B61,'caseload data'!$B:$B,"community")</f>
        <v>0</v>
      </c>
      <c r="D61" s="75">
        <f>SUMIFS('caseload data'!F:F,'caseload data'!$A:$A,$B61,'caseload data'!$B:$B,"community")</f>
        <v>0</v>
      </c>
      <c r="E61" s="75">
        <f>SUMIFS('caseload data'!G:G,'caseload data'!$A:$A,$B61,'caseload data'!$B:$B,"community")</f>
        <v>0</v>
      </c>
      <c r="F61" s="75">
        <f>SUMIFS('caseload data'!H:H,'caseload data'!$A:$A,$B61,'caseload data'!$B:$B,"community")</f>
        <v>0</v>
      </c>
      <c r="G61" s="75">
        <f>SUMIFS('caseload data'!I:I,'caseload data'!$A:$A,$B61,'caseload data'!$B:$B,"community")</f>
        <v>0</v>
      </c>
      <c r="H61" s="75">
        <f>SUMIFS('caseload data'!J:J,'caseload data'!$A:$A,$B61,'caseload data'!$B:$B,"community")</f>
        <v>0</v>
      </c>
      <c r="I61" s="75">
        <f>SUMIFS('caseload data'!K:K,'caseload data'!$A:$A,$B61,'caseload data'!$B:$B,"community")</f>
        <v>0</v>
      </c>
      <c r="J61" s="75">
        <f>SUMIFS('caseload data'!L:L,'caseload data'!$A:$A,$B61,'caseload data'!$B:$B,"community")</f>
        <v>0</v>
      </c>
      <c r="K61" s="75">
        <f>SUMIFS('caseload data'!M:M,'caseload data'!$A:$A,$B61,'caseload data'!$B:$B,"community")</f>
        <v>0</v>
      </c>
      <c r="L61" s="75">
        <f>SUMIFS('caseload data'!N:N,'caseload data'!$A:$A,$B61,'caseload data'!$B:$B,"community")</f>
        <v>0</v>
      </c>
      <c r="M61" s="75">
        <f>SUMIFS('caseload data'!O:O,'caseload data'!$A:$A,$B61,'caseload data'!$B:$B,"community")</f>
        <v>0</v>
      </c>
      <c r="N61" s="75">
        <f>SUMIFS('caseload data'!P:P,'caseload data'!$A:$A,$B61,'caseload data'!$B:$B,"community")</f>
        <v>0</v>
      </c>
      <c r="O61" s="75">
        <f>SUMIFS('caseload data'!Q:Q,'caseload data'!$A:$A,$B61,'caseload data'!$B:$B,"community")</f>
        <v>0</v>
      </c>
      <c r="P61" s="75">
        <f>SUMIFS('caseload data'!R:R,'caseload data'!$A:$A,$B61,'caseload data'!$B:$B,"community")</f>
        <v>0</v>
      </c>
      <c r="Q61" s="75">
        <f>SUMIFS('caseload data'!S:S,'caseload data'!$A:$A,$B61,'caseload data'!$B:$B,"community")</f>
        <v>0</v>
      </c>
      <c r="R61" s="75">
        <f>SUMIFS('caseload data'!T:T,'caseload data'!$A:$A,$B61,'caseload data'!$B:$B,"community")</f>
        <v>0</v>
      </c>
      <c r="S61" s="75">
        <f>SUMIFS('caseload data'!V:V,'caseload data'!$A:$A,B61,'caseload data'!$B:$B,"community")</f>
        <v>0</v>
      </c>
      <c r="T61" s="91"/>
      <c r="U61" s="141" t="s">
        <v>22</v>
      </c>
      <c r="V61" s="66" t="e">
        <f>C61/$S$61</f>
        <v>#DIV/0!</v>
      </c>
      <c r="W61" s="66" t="e">
        <f t="shared" ref="W61:AK61" si="211">D61/$S$61</f>
        <v>#DIV/0!</v>
      </c>
      <c r="X61" s="66" t="e">
        <f t="shared" si="211"/>
        <v>#DIV/0!</v>
      </c>
      <c r="Y61" s="66" t="e">
        <f t="shared" si="211"/>
        <v>#DIV/0!</v>
      </c>
      <c r="Z61" s="66" t="e">
        <f t="shared" si="211"/>
        <v>#DIV/0!</v>
      </c>
      <c r="AA61" s="66" t="e">
        <f t="shared" si="211"/>
        <v>#DIV/0!</v>
      </c>
      <c r="AB61" s="66" t="e">
        <f t="shared" si="211"/>
        <v>#DIV/0!</v>
      </c>
      <c r="AC61" s="66" t="e">
        <f t="shared" si="211"/>
        <v>#DIV/0!</v>
      </c>
      <c r="AD61" s="66" t="e">
        <f t="shared" si="211"/>
        <v>#DIV/0!</v>
      </c>
      <c r="AE61" s="66" t="e">
        <f t="shared" si="211"/>
        <v>#DIV/0!</v>
      </c>
      <c r="AF61" s="66" t="e">
        <f t="shared" si="211"/>
        <v>#DIV/0!</v>
      </c>
      <c r="AG61" s="66" t="e">
        <f t="shared" si="211"/>
        <v>#DIV/0!</v>
      </c>
      <c r="AH61" s="66" t="e">
        <f t="shared" si="211"/>
        <v>#DIV/0!</v>
      </c>
      <c r="AI61" s="66" t="e">
        <f t="shared" si="211"/>
        <v>#DIV/0!</v>
      </c>
      <c r="AJ61" s="66" t="e">
        <f t="shared" si="211"/>
        <v>#DIV/0!</v>
      </c>
      <c r="AK61" s="66" t="e">
        <f t="shared" si="211"/>
        <v>#DIV/0!</v>
      </c>
    </row>
    <row r="62" spans="2:37" x14ac:dyDescent="0.15">
      <c r="B62" s="141" t="s">
        <v>23</v>
      </c>
      <c r="C62" s="75">
        <f>SUMIFS('caseload data'!E:E,'caseload data'!$A:$A,$B62,'caseload data'!$B:$B,"community")</f>
        <v>0</v>
      </c>
      <c r="D62" s="75">
        <f>SUMIFS('caseload data'!F:F,'caseload data'!$A:$A,$B62,'caseload data'!$B:$B,"community")</f>
        <v>0</v>
      </c>
      <c r="E62" s="75">
        <f>SUMIFS('caseload data'!G:G,'caseload data'!$A:$A,$B62,'caseload data'!$B:$B,"community")</f>
        <v>0</v>
      </c>
      <c r="F62" s="75">
        <f>SUMIFS('caseload data'!H:H,'caseload data'!$A:$A,$B62,'caseload data'!$B:$B,"community")</f>
        <v>0</v>
      </c>
      <c r="G62" s="75">
        <f>SUMIFS('caseload data'!I:I,'caseload data'!$A:$A,$B62,'caseload data'!$B:$B,"community")</f>
        <v>0</v>
      </c>
      <c r="H62" s="75">
        <f>SUMIFS('caseload data'!J:J,'caseload data'!$A:$A,$B62,'caseload data'!$B:$B,"community")</f>
        <v>0</v>
      </c>
      <c r="I62" s="75">
        <f>SUMIFS('caseload data'!K:K,'caseload data'!$A:$A,$B62,'caseload data'!$B:$B,"community")</f>
        <v>0</v>
      </c>
      <c r="J62" s="75">
        <f>SUMIFS('caseload data'!L:L,'caseload data'!$A:$A,$B62,'caseload data'!$B:$B,"community")</f>
        <v>0</v>
      </c>
      <c r="K62" s="75">
        <f>SUMIFS('caseload data'!M:M,'caseload data'!$A:$A,$B62,'caseload data'!$B:$B,"community")</f>
        <v>0</v>
      </c>
      <c r="L62" s="75">
        <f>SUMIFS('caseload data'!N:N,'caseload data'!$A:$A,$B62,'caseload data'!$B:$B,"community")</f>
        <v>0</v>
      </c>
      <c r="M62" s="75">
        <f>SUMIFS('caseload data'!O:O,'caseload data'!$A:$A,$B62,'caseload data'!$B:$B,"community")</f>
        <v>0</v>
      </c>
      <c r="N62" s="75">
        <f>SUMIFS('caseload data'!P:P,'caseload data'!$A:$A,$B62,'caseload data'!$B:$B,"community")</f>
        <v>0</v>
      </c>
      <c r="O62" s="75">
        <f>SUMIFS('caseload data'!Q:Q,'caseload data'!$A:$A,$B62,'caseload data'!$B:$B,"community")</f>
        <v>0</v>
      </c>
      <c r="P62" s="75">
        <f>SUMIFS('caseload data'!R:R,'caseload data'!$A:$A,$B62,'caseload data'!$B:$B,"community")</f>
        <v>0</v>
      </c>
      <c r="Q62" s="75">
        <f>SUMIFS('caseload data'!S:S,'caseload data'!$A:$A,$B62,'caseload data'!$B:$B,"community")</f>
        <v>0</v>
      </c>
      <c r="R62" s="75">
        <f>SUMIFS('caseload data'!T:T,'caseload data'!$A:$A,$B62,'caseload data'!$B:$B,"community")</f>
        <v>0</v>
      </c>
      <c r="S62" s="75">
        <f>SUMIFS('caseload data'!V:V,'caseload data'!$A:$A,B62,'caseload data'!$B:$B,"community")</f>
        <v>0</v>
      </c>
      <c r="T62" s="91"/>
      <c r="U62" s="141" t="s">
        <v>23</v>
      </c>
      <c r="V62" s="66" t="e">
        <f>C62/$S$62</f>
        <v>#DIV/0!</v>
      </c>
      <c r="W62" s="66" t="e">
        <f t="shared" ref="W62:AK62" si="212">D62/$S$62</f>
        <v>#DIV/0!</v>
      </c>
      <c r="X62" s="66" t="e">
        <f t="shared" si="212"/>
        <v>#DIV/0!</v>
      </c>
      <c r="Y62" s="66" t="e">
        <f t="shared" si="212"/>
        <v>#DIV/0!</v>
      </c>
      <c r="Z62" s="66" t="e">
        <f t="shared" si="212"/>
        <v>#DIV/0!</v>
      </c>
      <c r="AA62" s="66" t="e">
        <f t="shared" si="212"/>
        <v>#DIV/0!</v>
      </c>
      <c r="AB62" s="66" t="e">
        <f t="shared" si="212"/>
        <v>#DIV/0!</v>
      </c>
      <c r="AC62" s="66" t="e">
        <f t="shared" si="212"/>
        <v>#DIV/0!</v>
      </c>
      <c r="AD62" s="66" t="e">
        <f t="shared" si="212"/>
        <v>#DIV/0!</v>
      </c>
      <c r="AE62" s="66" t="e">
        <f t="shared" si="212"/>
        <v>#DIV/0!</v>
      </c>
      <c r="AF62" s="66" t="e">
        <f t="shared" si="212"/>
        <v>#DIV/0!</v>
      </c>
      <c r="AG62" s="66" t="e">
        <f t="shared" si="212"/>
        <v>#DIV/0!</v>
      </c>
      <c r="AH62" s="66" t="e">
        <f t="shared" si="212"/>
        <v>#DIV/0!</v>
      </c>
      <c r="AI62" s="66" t="e">
        <f t="shared" si="212"/>
        <v>#DIV/0!</v>
      </c>
      <c r="AJ62" s="66" t="e">
        <f t="shared" si="212"/>
        <v>#DIV/0!</v>
      </c>
      <c r="AK62" s="66" t="e">
        <f t="shared" si="212"/>
        <v>#DIV/0!</v>
      </c>
    </row>
    <row r="63" spans="2:37" x14ac:dyDescent="0.15">
      <c r="B63" s="141" t="s">
        <v>24</v>
      </c>
      <c r="C63" s="75">
        <f>SUMIFS('caseload data'!E:E,'caseload data'!$A:$A,$B63,'caseload data'!$B:$B,"community")</f>
        <v>0</v>
      </c>
      <c r="D63" s="75">
        <f>SUMIFS('caseload data'!F:F,'caseload data'!$A:$A,$B63,'caseload data'!$B:$B,"community")</f>
        <v>0</v>
      </c>
      <c r="E63" s="75">
        <f>SUMIFS('caseload data'!G:G,'caseload data'!$A:$A,$B63,'caseload data'!$B:$B,"community")</f>
        <v>0</v>
      </c>
      <c r="F63" s="75">
        <f>SUMIFS('caseload data'!H:H,'caseload data'!$A:$A,$B63,'caseload data'!$B:$B,"community")</f>
        <v>0</v>
      </c>
      <c r="G63" s="75">
        <f>SUMIFS('caseload data'!I:I,'caseload data'!$A:$A,$B63,'caseload data'!$B:$B,"community")</f>
        <v>0</v>
      </c>
      <c r="H63" s="75">
        <f>SUMIFS('caseload data'!J:J,'caseload data'!$A:$A,$B63,'caseload data'!$B:$B,"community")</f>
        <v>0</v>
      </c>
      <c r="I63" s="75">
        <f>SUMIFS('caseload data'!K:K,'caseload data'!$A:$A,$B63,'caseload data'!$B:$B,"community")</f>
        <v>0</v>
      </c>
      <c r="J63" s="75">
        <f>SUMIFS('caseload data'!L:L,'caseload data'!$A:$A,$B63,'caseload data'!$B:$B,"community")</f>
        <v>0</v>
      </c>
      <c r="K63" s="75">
        <f>SUMIFS('caseload data'!M:M,'caseload data'!$A:$A,$B63,'caseload data'!$B:$B,"community")</f>
        <v>0</v>
      </c>
      <c r="L63" s="75">
        <f>SUMIFS('caseload data'!N:N,'caseload data'!$A:$A,$B63,'caseload data'!$B:$B,"community")</f>
        <v>0</v>
      </c>
      <c r="M63" s="75">
        <f>SUMIFS('caseload data'!O:O,'caseload data'!$A:$A,$B63,'caseload data'!$B:$B,"community")</f>
        <v>0</v>
      </c>
      <c r="N63" s="75">
        <f>SUMIFS('caseload data'!P:P,'caseload data'!$A:$A,$B63,'caseload data'!$B:$B,"community")</f>
        <v>0</v>
      </c>
      <c r="O63" s="75">
        <f>SUMIFS('caseload data'!Q:Q,'caseload data'!$A:$A,$B63,'caseload data'!$B:$B,"community")</f>
        <v>0</v>
      </c>
      <c r="P63" s="75">
        <f>SUMIFS('caseload data'!R:R,'caseload data'!$A:$A,$B63,'caseload data'!$B:$B,"community")</f>
        <v>0</v>
      </c>
      <c r="Q63" s="75">
        <f>SUMIFS('caseload data'!S:S,'caseload data'!$A:$A,$B63,'caseload data'!$B:$B,"community")</f>
        <v>0</v>
      </c>
      <c r="R63" s="75">
        <f>SUMIFS('caseload data'!T:T,'caseload data'!$A:$A,$B63,'caseload data'!$B:$B,"community")</f>
        <v>0</v>
      </c>
      <c r="S63" s="75">
        <f>SUMIFS('caseload data'!V:V,'caseload data'!$A:$A,B63,'caseload data'!$B:$B,"community")</f>
        <v>0</v>
      </c>
      <c r="T63" s="91"/>
      <c r="U63" s="141" t="s">
        <v>24</v>
      </c>
      <c r="V63" s="66" t="e">
        <f t="shared" ref="V63:AK63" si="213">C63/$S$63</f>
        <v>#DIV/0!</v>
      </c>
      <c r="W63" s="66" t="e">
        <f t="shared" si="213"/>
        <v>#DIV/0!</v>
      </c>
      <c r="X63" s="66" t="e">
        <f t="shared" si="213"/>
        <v>#DIV/0!</v>
      </c>
      <c r="Y63" s="66" t="e">
        <f t="shared" si="213"/>
        <v>#DIV/0!</v>
      </c>
      <c r="Z63" s="66" t="e">
        <f t="shared" si="213"/>
        <v>#DIV/0!</v>
      </c>
      <c r="AA63" s="66" t="e">
        <f t="shared" si="213"/>
        <v>#DIV/0!</v>
      </c>
      <c r="AB63" s="66" t="e">
        <f t="shared" si="213"/>
        <v>#DIV/0!</v>
      </c>
      <c r="AC63" s="66" t="e">
        <f t="shared" si="213"/>
        <v>#DIV/0!</v>
      </c>
      <c r="AD63" s="66" t="e">
        <f t="shared" si="213"/>
        <v>#DIV/0!</v>
      </c>
      <c r="AE63" s="66" t="e">
        <f t="shared" si="213"/>
        <v>#DIV/0!</v>
      </c>
      <c r="AF63" s="66" t="e">
        <f t="shared" si="213"/>
        <v>#DIV/0!</v>
      </c>
      <c r="AG63" s="66" t="e">
        <f t="shared" si="213"/>
        <v>#DIV/0!</v>
      </c>
      <c r="AH63" s="66" t="e">
        <f t="shared" si="213"/>
        <v>#DIV/0!</v>
      </c>
      <c r="AI63" s="66" t="e">
        <f t="shared" si="213"/>
        <v>#DIV/0!</v>
      </c>
      <c r="AJ63" s="66" t="e">
        <f t="shared" si="213"/>
        <v>#DIV/0!</v>
      </c>
      <c r="AK63" s="66" t="e">
        <f t="shared" si="213"/>
        <v>#DIV/0!</v>
      </c>
    </row>
    <row r="64" spans="2:37" x14ac:dyDescent="0.15">
      <c r="B64" s="141" t="s">
        <v>25</v>
      </c>
      <c r="C64" s="75">
        <f>SUMIFS('caseload data'!E:E,'caseload data'!$A:$A,$B64,'caseload data'!$B:$B,"community")</f>
        <v>0</v>
      </c>
      <c r="D64" s="75">
        <f>SUMIFS('caseload data'!F:F,'caseload data'!$A:$A,$B64,'caseload data'!$B:$B,"community")</f>
        <v>0</v>
      </c>
      <c r="E64" s="75">
        <f>SUMIFS('caseload data'!G:G,'caseload data'!$A:$A,$B64,'caseload data'!$B:$B,"community")</f>
        <v>0</v>
      </c>
      <c r="F64" s="75">
        <f>SUMIFS('caseload data'!H:H,'caseload data'!$A:$A,$B64,'caseload data'!$B:$B,"community")</f>
        <v>0</v>
      </c>
      <c r="G64" s="75">
        <f>SUMIFS('caseload data'!I:I,'caseload data'!$A:$A,$B64,'caseload data'!$B:$B,"community")</f>
        <v>0</v>
      </c>
      <c r="H64" s="75">
        <f>SUMIFS('caseload data'!J:J,'caseload data'!$A:$A,$B64,'caseload data'!$B:$B,"community")</f>
        <v>0</v>
      </c>
      <c r="I64" s="75">
        <f>SUMIFS('caseload data'!K:K,'caseload data'!$A:$A,$B64,'caseload data'!$B:$B,"community")</f>
        <v>0</v>
      </c>
      <c r="J64" s="75">
        <f>SUMIFS('caseload data'!L:L,'caseload data'!$A:$A,$B64,'caseload data'!$B:$B,"community")</f>
        <v>0</v>
      </c>
      <c r="K64" s="75">
        <f>SUMIFS('caseload data'!M:M,'caseload data'!$A:$A,$B64,'caseload data'!$B:$B,"community")</f>
        <v>0</v>
      </c>
      <c r="L64" s="75">
        <f>SUMIFS('caseload data'!N:N,'caseload data'!$A:$A,$B64,'caseload data'!$B:$B,"community")</f>
        <v>0</v>
      </c>
      <c r="M64" s="75">
        <f>SUMIFS('caseload data'!O:O,'caseload data'!$A:$A,$B64,'caseload data'!$B:$B,"community")</f>
        <v>0</v>
      </c>
      <c r="N64" s="75">
        <f>SUMIFS('caseload data'!P:P,'caseload data'!$A:$A,$B64,'caseload data'!$B:$B,"community")</f>
        <v>0</v>
      </c>
      <c r="O64" s="75">
        <f>SUMIFS('caseload data'!Q:Q,'caseload data'!$A:$A,$B64,'caseload data'!$B:$B,"community")</f>
        <v>0</v>
      </c>
      <c r="P64" s="75">
        <f>SUMIFS('caseload data'!R:R,'caseload data'!$A:$A,$B64,'caseload data'!$B:$B,"community")</f>
        <v>0</v>
      </c>
      <c r="Q64" s="75">
        <f>SUMIFS('caseload data'!S:S,'caseload data'!$A:$A,$B64,'caseload data'!$B:$B,"community")</f>
        <v>0</v>
      </c>
      <c r="R64" s="75">
        <f>SUMIFS('caseload data'!T:T,'caseload data'!$A:$A,$B64,'caseload data'!$B:$B,"community")</f>
        <v>0</v>
      </c>
      <c r="S64" s="75">
        <f>SUMIFS('caseload data'!V:V,'caseload data'!$A:$A,B64,'caseload data'!$B:$B,"community")</f>
        <v>0</v>
      </c>
      <c r="T64" s="91"/>
      <c r="U64" s="141" t="s">
        <v>25</v>
      </c>
      <c r="V64" s="66" t="e">
        <f t="shared" ref="V64:AK64" si="214">C64/$S$64</f>
        <v>#DIV/0!</v>
      </c>
      <c r="W64" s="66" t="e">
        <f t="shared" si="214"/>
        <v>#DIV/0!</v>
      </c>
      <c r="X64" s="66" t="e">
        <f t="shared" si="214"/>
        <v>#DIV/0!</v>
      </c>
      <c r="Y64" s="66" t="e">
        <f t="shared" si="214"/>
        <v>#DIV/0!</v>
      </c>
      <c r="Z64" s="66" t="e">
        <f t="shared" si="214"/>
        <v>#DIV/0!</v>
      </c>
      <c r="AA64" s="66" t="e">
        <f t="shared" si="214"/>
        <v>#DIV/0!</v>
      </c>
      <c r="AB64" s="66" t="e">
        <f t="shared" si="214"/>
        <v>#DIV/0!</v>
      </c>
      <c r="AC64" s="66" t="e">
        <f t="shared" si="214"/>
        <v>#DIV/0!</v>
      </c>
      <c r="AD64" s="66" t="e">
        <f t="shared" si="214"/>
        <v>#DIV/0!</v>
      </c>
      <c r="AE64" s="66" t="e">
        <f t="shared" si="214"/>
        <v>#DIV/0!</v>
      </c>
      <c r="AF64" s="66" t="e">
        <f t="shared" si="214"/>
        <v>#DIV/0!</v>
      </c>
      <c r="AG64" s="66" t="e">
        <f t="shared" si="214"/>
        <v>#DIV/0!</v>
      </c>
      <c r="AH64" s="66" t="e">
        <f t="shared" si="214"/>
        <v>#DIV/0!</v>
      </c>
      <c r="AI64" s="66" t="e">
        <f t="shared" si="214"/>
        <v>#DIV/0!</v>
      </c>
      <c r="AJ64" s="66" t="e">
        <f t="shared" si="214"/>
        <v>#DIV/0!</v>
      </c>
      <c r="AK64" s="66" t="e">
        <f t="shared" si="214"/>
        <v>#DIV/0!</v>
      </c>
    </row>
    <row r="65" spans="2:37" x14ac:dyDescent="0.15">
      <c r="B65" s="141" t="s">
        <v>26</v>
      </c>
      <c r="C65" s="75">
        <f>SUMIFS('caseload data'!E:E,'caseload data'!$A:$A,$B65,'caseload data'!$B:$B,"community")</f>
        <v>0</v>
      </c>
      <c r="D65" s="75">
        <f>SUMIFS('caseload data'!F:F,'caseload data'!$A:$A,$B65,'caseload data'!$B:$B,"community")</f>
        <v>0</v>
      </c>
      <c r="E65" s="75">
        <f>SUMIFS('caseload data'!G:G,'caseload data'!$A:$A,$B65,'caseload data'!$B:$B,"community")</f>
        <v>0</v>
      </c>
      <c r="F65" s="75">
        <f>SUMIFS('caseload data'!H:H,'caseload data'!$A:$A,$B65,'caseload data'!$B:$B,"community")</f>
        <v>0</v>
      </c>
      <c r="G65" s="75">
        <f>SUMIFS('caseload data'!I:I,'caseload data'!$A:$A,$B65,'caseload data'!$B:$B,"community")</f>
        <v>0</v>
      </c>
      <c r="H65" s="75">
        <f>SUMIFS('caseload data'!J:J,'caseload data'!$A:$A,$B65,'caseload data'!$B:$B,"community")</f>
        <v>0</v>
      </c>
      <c r="I65" s="75">
        <f>SUMIFS('caseload data'!K:K,'caseload data'!$A:$A,$B65,'caseload data'!$B:$B,"community")</f>
        <v>0</v>
      </c>
      <c r="J65" s="75">
        <f>SUMIFS('caseload data'!L:L,'caseload data'!$A:$A,$B65,'caseload data'!$B:$B,"community")</f>
        <v>0</v>
      </c>
      <c r="K65" s="75">
        <f>SUMIFS('caseload data'!M:M,'caseload data'!$A:$A,$B65,'caseload data'!$B:$B,"community")</f>
        <v>0</v>
      </c>
      <c r="L65" s="75">
        <f>SUMIFS('caseload data'!N:N,'caseload data'!$A:$A,$B65,'caseload data'!$B:$B,"community")</f>
        <v>0</v>
      </c>
      <c r="M65" s="75">
        <f>SUMIFS('caseload data'!O:O,'caseload data'!$A:$A,$B65,'caseload data'!$B:$B,"community")</f>
        <v>0</v>
      </c>
      <c r="N65" s="75">
        <f>SUMIFS('caseload data'!P:P,'caseload data'!$A:$A,$B65,'caseload data'!$B:$B,"community")</f>
        <v>0</v>
      </c>
      <c r="O65" s="75">
        <f>SUMIFS('caseload data'!Q:Q,'caseload data'!$A:$A,$B65,'caseload data'!$B:$B,"community")</f>
        <v>0</v>
      </c>
      <c r="P65" s="75">
        <f>SUMIFS('caseload data'!R:R,'caseload data'!$A:$A,$B65,'caseload data'!$B:$B,"community")</f>
        <v>0</v>
      </c>
      <c r="Q65" s="75">
        <f>SUMIFS('caseload data'!S:S,'caseload data'!$A:$A,$B65,'caseload data'!$B:$B,"community")</f>
        <v>0</v>
      </c>
      <c r="R65" s="75">
        <f>SUMIFS('caseload data'!T:T,'caseload data'!$A:$A,$B65,'caseload data'!$B:$B,"community")</f>
        <v>0</v>
      </c>
      <c r="S65" s="75">
        <f>SUMIFS('caseload data'!V:V,'caseload data'!$A:$A,B65,'caseload data'!$B:$B,"community")</f>
        <v>0</v>
      </c>
      <c r="T65" s="91"/>
      <c r="U65" s="141" t="s">
        <v>26</v>
      </c>
      <c r="V65" s="66" t="e">
        <f>C65/$S$65</f>
        <v>#DIV/0!</v>
      </c>
      <c r="W65" s="66" t="e">
        <f t="shared" ref="W65:AK65" si="215">D65/$S$65</f>
        <v>#DIV/0!</v>
      </c>
      <c r="X65" s="66" t="e">
        <f t="shared" si="215"/>
        <v>#DIV/0!</v>
      </c>
      <c r="Y65" s="66" t="e">
        <f t="shared" si="215"/>
        <v>#DIV/0!</v>
      </c>
      <c r="Z65" s="66" t="e">
        <f t="shared" si="215"/>
        <v>#DIV/0!</v>
      </c>
      <c r="AA65" s="66" t="e">
        <f t="shared" si="215"/>
        <v>#DIV/0!</v>
      </c>
      <c r="AB65" s="66" t="e">
        <f t="shared" si="215"/>
        <v>#DIV/0!</v>
      </c>
      <c r="AC65" s="66" t="e">
        <f t="shared" si="215"/>
        <v>#DIV/0!</v>
      </c>
      <c r="AD65" s="66" t="e">
        <f t="shared" si="215"/>
        <v>#DIV/0!</v>
      </c>
      <c r="AE65" s="66" t="e">
        <f t="shared" si="215"/>
        <v>#DIV/0!</v>
      </c>
      <c r="AF65" s="66" t="e">
        <f t="shared" si="215"/>
        <v>#DIV/0!</v>
      </c>
      <c r="AG65" s="66" t="e">
        <f t="shared" si="215"/>
        <v>#DIV/0!</v>
      </c>
      <c r="AH65" s="66" t="e">
        <f t="shared" si="215"/>
        <v>#DIV/0!</v>
      </c>
      <c r="AI65" s="66" t="e">
        <f t="shared" si="215"/>
        <v>#DIV/0!</v>
      </c>
      <c r="AJ65" s="66" t="e">
        <f t="shared" si="215"/>
        <v>#DIV/0!</v>
      </c>
      <c r="AK65" s="66" t="e">
        <f t="shared" si="215"/>
        <v>#DIV/0!</v>
      </c>
    </row>
    <row r="66" spans="2:37" x14ac:dyDescent="0.15">
      <c r="B66" s="141" t="s">
        <v>27</v>
      </c>
      <c r="C66" s="75">
        <f>SUMIFS('caseload data'!E:E,'caseload data'!$A:$A,$B66,'caseload data'!$B:$B,"community")</f>
        <v>0</v>
      </c>
      <c r="D66" s="75">
        <f>SUMIFS('caseload data'!F:F,'caseload data'!$A:$A,$B66,'caseload data'!$B:$B,"community")</f>
        <v>0</v>
      </c>
      <c r="E66" s="75">
        <f>SUMIFS('caseload data'!G:G,'caseload data'!$A:$A,$B66,'caseload data'!$B:$B,"community")</f>
        <v>0</v>
      </c>
      <c r="F66" s="75">
        <f>SUMIFS('caseload data'!H:H,'caseload data'!$A:$A,$B66,'caseload data'!$B:$B,"community")</f>
        <v>0</v>
      </c>
      <c r="G66" s="75">
        <f>SUMIFS('caseload data'!I:I,'caseload data'!$A:$A,$B66,'caseload data'!$B:$B,"community")</f>
        <v>0</v>
      </c>
      <c r="H66" s="75">
        <f>SUMIFS('caseload data'!J:J,'caseload data'!$A:$A,$B66,'caseload data'!$B:$B,"community")</f>
        <v>0</v>
      </c>
      <c r="I66" s="75">
        <f>SUMIFS('caseload data'!K:K,'caseload data'!$A:$A,$B66,'caseload data'!$B:$B,"community")</f>
        <v>0</v>
      </c>
      <c r="J66" s="75">
        <f>SUMIFS('caseload data'!L:L,'caseload data'!$A:$A,$B66,'caseload data'!$B:$B,"community")</f>
        <v>0</v>
      </c>
      <c r="K66" s="75">
        <f>SUMIFS('caseload data'!M:M,'caseload data'!$A:$A,$B66,'caseload data'!$B:$B,"community")</f>
        <v>0</v>
      </c>
      <c r="L66" s="75">
        <f>SUMIFS('caseload data'!N:N,'caseload data'!$A:$A,$B66,'caseload data'!$B:$B,"community")</f>
        <v>0</v>
      </c>
      <c r="M66" s="75">
        <f>SUMIFS('caseload data'!O:O,'caseload data'!$A:$A,$B66,'caseload data'!$B:$B,"community")</f>
        <v>0</v>
      </c>
      <c r="N66" s="75">
        <f>SUMIFS('caseload data'!P:P,'caseload data'!$A:$A,$B66,'caseload data'!$B:$B,"community")</f>
        <v>0</v>
      </c>
      <c r="O66" s="75">
        <f>SUMIFS('caseload data'!Q:Q,'caseload data'!$A:$A,$B66,'caseload data'!$B:$B,"community")</f>
        <v>0</v>
      </c>
      <c r="P66" s="75">
        <f>SUMIFS('caseload data'!R:R,'caseload data'!$A:$A,$B66,'caseload data'!$B:$B,"community")</f>
        <v>0</v>
      </c>
      <c r="Q66" s="75">
        <f>SUMIFS('caseload data'!S:S,'caseload data'!$A:$A,$B66,'caseload data'!$B:$B,"community")</f>
        <v>0</v>
      </c>
      <c r="R66" s="75">
        <f>SUMIFS('caseload data'!T:T,'caseload data'!$A:$A,$B66,'caseload data'!$B:$B,"community")</f>
        <v>0</v>
      </c>
      <c r="S66" s="75">
        <f>SUMIFS('caseload data'!V:V,'caseload data'!$A:$A,B66,'caseload data'!$B:$B,"community")</f>
        <v>0</v>
      </c>
      <c r="T66" s="91"/>
      <c r="U66" s="141" t="s">
        <v>27</v>
      </c>
      <c r="V66" s="66" t="e">
        <f>C66/$S$66</f>
        <v>#DIV/0!</v>
      </c>
      <c r="W66" s="66" t="e">
        <f t="shared" ref="W66:AK66" si="216">D66/$S$66</f>
        <v>#DIV/0!</v>
      </c>
      <c r="X66" s="66" t="e">
        <f t="shared" si="216"/>
        <v>#DIV/0!</v>
      </c>
      <c r="Y66" s="66" t="e">
        <f t="shared" si="216"/>
        <v>#DIV/0!</v>
      </c>
      <c r="Z66" s="66" t="e">
        <f t="shared" si="216"/>
        <v>#DIV/0!</v>
      </c>
      <c r="AA66" s="66" t="e">
        <f t="shared" si="216"/>
        <v>#DIV/0!</v>
      </c>
      <c r="AB66" s="66" t="e">
        <f t="shared" si="216"/>
        <v>#DIV/0!</v>
      </c>
      <c r="AC66" s="66" t="e">
        <f t="shared" si="216"/>
        <v>#DIV/0!</v>
      </c>
      <c r="AD66" s="66" t="e">
        <f t="shared" si="216"/>
        <v>#DIV/0!</v>
      </c>
      <c r="AE66" s="66" t="e">
        <f t="shared" si="216"/>
        <v>#DIV/0!</v>
      </c>
      <c r="AF66" s="66" t="e">
        <f t="shared" si="216"/>
        <v>#DIV/0!</v>
      </c>
      <c r="AG66" s="66" t="e">
        <f t="shared" si="216"/>
        <v>#DIV/0!</v>
      </c>
      <c r="AH66" s="66" t="e">
        <f t="shared" si="216"/>
        <v>#DIV/0!</v>
      </c>
      <c r="AI66" s="66" t="e">
        <f t="shared" si="216"/>
        <v>#DIV/0!</v>
      </c>
      <c r="AJ66" s="66" t="e">
        <f t="shared" si="216"/>
        <v>#DIV/0!</v>
      </c>
      <c r="AK66" s="66" t="e">
        <f t="shared" si="216"/>
        <v>#DIV/0!</v>
      </c>
    </row>
    <row r="67" spans="2:37" x14ac:dyDescent="0.15">
      <c r="B67" s="141" t="s">
        <v>28</v>
      </c>
      <c r="C67" s="75">
        <f>SUMIFS('caseload data'!E:E,'caseload data'!$A:$A,$B67,'caseload data'!$B:$B,"community")</f>
        <v>0</v>
      </c>
      <c r="D67" s="75">
        <f>SUMIFS('caseload data'!F:F,'caseload data'!$A:$A,$B67,'caseload data'!$B:$B,"community")</f>
        <v>0</v>
      </c>
      <c r="E67" s="75">
        <f>SUMIFS('caseload data'!G:G,'caseload data'!$A:$A,$B67,'caseload data'!$B:$B,"community")</f>
        <v>0</v>
      </c>
      <c r="F67" s="75">
        <f>SUMIFS('caseload data'!H:H,'caseload data'!$A:$A,$B67,'caseload data'!$B:$B,"community")</f>
        <v>0</v>
      </c>
      <c r="G67" s="75">
        <f>SUMIFS('caseload data'!I:I,'caseload data'!$A:$A,$B67,'caseload data'!$B:$B,"community")</f>
        <v>0</v>
      </c>
      <c r="H67" s="75">
        <f>SUMIFS('caseload data'!J:J,'caseload data'!$A:$A,$B67,'caseload data'!$B:$B,"community")</f>
        <v>0</v>
      </c>
      <c r="I67" s="75">
        <f>SUMIFS('caseload data'!K:K,'caseload data'!$A:$A,$B67,'caseload data'!$B:$B,"community")</f>
        <v>0</v>
      </c>
      <c r="J67" s="75">
        <f>SUMIFS('caseload data'!L:L,'caseload data'!$A:$A,$B67,'caseload data'!$B:$B,"community")</f>
        <v>0</v>
      </c>
      <c r="K67" s="75">
        <f>SUMIFS('caseload data'!M:M,'caseload data'!$A:$A,$B67,'caseload data'!$B:$B,"community")</f>
        <v>0</v>
      </c>
      <c r="L67" s="75">
        <f>SUMIFS('caseload data'!N:N,'caseload data'!$A:$A,$B67,'caseload data'!$B:$B,"community")</f>
        <v>0</v>
      </c>
      <c r="M67" s="75">
        <f>SUMIFS('caseload data'!O:O,'caseload data'!$A:$A,$B67,'caseload data'!$B:$B,"community")</f>
        <v>0</v>
      </c>
      <c r="N67" s="75">
        <f>SUMIFS('caseload data'!P:P,'caseload data'!$A:$A,$B67,'caseload data'!$B:$B,"community")</f>
        <v>0</v>
      </c>
      <c r="O67" s="75">
        <f>SUMIFS('caseload data'!Q:Q,'caseload data'!$A:$A,$B67,'caseload data'!$B:$B,"community")</f>
        <v>0</v>
      </c>
      <c r="P67" s="75">
        <f>SUMIFS('caseload data'!R:R,'caseload data'!$A:$A,$B67,'caseload data'!$B:$B,"community")</f>
        <v>0</v>
      </c>
      <c r="Q67" s="75">
        <f>SUMIFS('caseload data'!S:S,'caseload data'!$A:$A,$B67,'caseload data'!$B:$B,"community")</f>
        <v>0</v>
      </c>
      <c r="R67" s="75">
        <f>SUMIFS('caseload data'!T:T,'caseload data'!$A:$A,$B67,'caseload data'!$B:$B,"community")</f>
        <v>0</v>
      </c>
      <c r="S67" s="75">
        <f>SUMIFS('caseload data'!V:V,'caseload data'!$A:$A,B67,'caseload data'!$B:$B,"community")</f>
        <v>0</v>
      </c>
      <c r="T67" s="91"/>
      <c r="U67" s="141" t="s">
        <v>28</v>
      </c>
      <c r="V67" s="66" t="e">
        <f>C67/$S$67</f>
        <v>#DIV/0!</v>
      </c>
      <c r="W67" s="66" t="e">
        <f t="shared" ref="W67:AK67" si="217">D67/$S$67</f>
        <v>#DIV/0!</v>
      </c>
      <c r="X67" s="66" t="e">
        <f t="shared" si="217"/>
        <v>#DIV/0!</v>
      </c>
      <c r="Y67" s="66" t="e">
        <f t="shared" si="217"/>
        <v>#DIV/0!</v>
      </c>
      <c r="Z67" s="66" t="e">
        <f t="shared" si="217"/>
        <v>#DIV/0!</v>
      </c>
      <c r="AA67" s="66" t="e">
        <f t="shared" si="217"/>
        <v>#DIV/0!</v>
      </c>
      <c r="AB67" s="66" t="e">
        <f t="shared" si="217"/>
        <v>#DIV/0!</v>
      </c>
      <c r="AC67" s="66" t="e">
        <f t="shared" si="217"/>
        <v>#DIV/0!</v>
      </c>
      <c r="AD67" s="66" t="e">
        <f t="shared" si="217"/>
        <v>#DIV/0!</v>
      </c>
      <c r="AE67" s="66" t="e">
        <f t="shared" si="217"/>
        <v>#DIV/0!</v>
      </c>
      <c r="AF67" s="66" t="e">
        <f t="shared" si="217"/>
        <v>#DIV/0!</v>
      </c>
      <c r="AG67" s="66" t="e">
        <f t="shared" si="217"/>
        <v>#DIV/0!</v>
      </c>
      <c r="AH67" s="66" t="e">
        <f t="shared" si="217"/>
        <v>#DIV/0!</v>
      </c>
      <c r="AI67" s="66" t="e">
        <f t="shared" si="217"/>
        <v>#DIV/0!</v>
      </c>
      <c r="AJ67" s="66" t="e">
        <f t="shared" si="217"/>
        <v>#DIV/0!</v>
      </c>
      <c r="AK67" s="66" t="e">
        <f t="shared" si="217"/>
        <v>#DIV/0!</v>
      </c>
    </row>
    <row r="68" spans="2:37" x14ac:dyDescent="0.15">
      <c r="B68" s="110" t="s">
        <v>1083</v>
      </c>
      <c r="C68" s="110">
        <f>SUMIF('caseload data'!$B:$B,"community",'caseload data'!E:E)</f>
        <v>0</v>
      </c>
      <c r="D68" s="110">
        <f>SUMIF('caseload data'!$B:$B,"community",'caseload data'!F:F)</f>
        <v>0</v>
      </c>
      <c r="E68" s="110">
        <f>SUMIF('caseload data'!$B:$B,"community",'caseload data'!G:G)</f>
        <v>0</v>
      </c>
      <c r="F68" s="110">
        <f>SUMIF('caseload data'!$B:$B,"community",'caseload data'!H:H)</f>
        <v>0</v>
      </c>
      <c r="G68" s="110">
        <f>SUMIF('caseload data'!$B:$B,"community",'caseload data'!I:I)</f>
        <v>0</v>
      </c>
      <c r="H68" s="110">
        <f>SUMIF('caseload data'!$B:$B,"community",'caseload data'!J:J)</f>
        <v>0</v>
      </c>
      <c r="I68" s="110">
        <f>SUMIF('caseload data'!$B:$B,"community",'caseload data'!K:K)</f>
        <v>0</v>
      </c>
      <c r="J68" s="110">
        <f>SUMIF('caseload data'!$B:$B,"community",'caseload data'!L:L)</f>
        <v>0</v>
      </c>
      <c r="K68" s="110">
        <f>SUMIF('caseload data'!$B:$B,"community",'caseload data'!M:M)</f>
        <v>0</v>
      </c>
      <c r="L68" s="110">
        <f>SUMIF('caseload data'!$B:$B,"community",'caseload data'!N:N)</f>
        <v>0</v>
      </c>
      <c r="M68" s="110">
        <f>SUMIF('caseload data'!$B:$B,"community",'caseload data'!O:O)</f>
        <v>0</v>
      </c>
      <c r="N68" s="110">
        <f>SUMIF('caseload data'!$B:$B,"community",'caseload data'!P:P)</f>
        <v>0</v>
      </c>
      <c r="O68" s="110">
        <f>SUMIF('caseload data'!$B:$B,"community",'caseload data'!Q:Q)</f>
        <v>0</v>
      </c>
      <c r="P68" s="110">
        <f>SUMIF('caseload data'!$B:$B,"community",'caseload data'!R:R)</f>
        <v>0</v>
      </c>
      <c r="Q68" s="110">
        <f>SUMIF('caseload data'!$B:$B,"community",'caseload data'!S:S)</f>
        <v>0</v>
      </c>
      <c r="R68" s="110">
        <f>SUMIF('caseload data'!$B:$B,"community",'caseload data'!T:T)</f>
        <v>0</v>
      </c>
      <c r="S68" s="110">
        <f>SUMIF('caseload data'!$B:$B,"community",'caseload data'!V:V)</f>
        <v>0</v>
      </c>
      <c r="T68" s="91"/>
      <c r="U68" s="110" t="s">
        <v>1083</v>
      </c>
      <c r="V68" s="115" t="e">
        <f>C68/$S$68</f>
        <v>#DIV/0!</v>
      </c>
      <c r="W68" s="115" t="e">
        <f t="shared" ref="W68:AK68" si="218">D68/$S$68</f>
        <v>#DIV/0!</v>
      </c>
      <c r="X68" s="115" t="e">
        <f t="shared" si="218"/>
        <v>#DIV/0!</v>
      </c>
      <c r="Y68" s="115" t="e">
        <f t="shared" si="218"/>
        <v>#DIV/0!</v>
      </c>
      <c r="Z68" s="115" t="e">
        <f t="shared" si="218"/>
        <v>#DIV/0!</v>
      </c>
      <c r="AA68" s="115" t="e">
        <f t="shared" si="218"/>
        <v>#DIV/0!</v>
      </c>
      <c r="AB68" s="115" t="e">
        <f t="shared" si="218"/>
        <v>#DIV/0!</v>
      </c>
      <c r="AC68" s="115" t="e">
        <f t="shared" si="218"/>
        <v>#DIV/0!</v>
      </c>
      <c r="AD68" s="115" t="e">
        <f t="shared" si="218"/>
        <v>#DIV/0!</v>
      </c>
      <c r="AE68" s="115" t="e">
        <f t="shared" si="218"/>
        <v>#DIV/0!</v>
      </c>
      <c r="AF68" s="115" t="e">
        <f t="shared" si="218"/>
        <v>#DIV/0!</v>
      </c>
      <c r="AG68" s="115" t="e">
        <f t="shared" si="218"/>
        <v>#DIV/0!</v>
      </c>
      <c r="AH68" s="115" t="e">
        <f t="shared" si="218"/>
        <v>#DIV/0!</v>
      </c>
      <c r="AI68" s="115" t="e">
        <f t="shared" si="218"/>
        <v>#DIV/0!</v>
      </c>
      <c r="AJ68" s="115" t="e">
        <f t="shared" si="218"/>
        <v>#DIV/0!</v>
      </c>
      <c r="AK68" s="115" t="e">
        <f t="shared" si="218"/>
        <v>#DIV/0!</v>
      </c>
    </row>
  </sheetData>
  <mergeCells count="11">
    <mergeCell ref="C54:S54"/>
    <mergeCell ref="V38:AK38"/>
    <mergeCell ref="V54:AK54"/>
    <mergeCell ref="A2:AN2"/>
    <mergeCell ref="C4:S4"/>
    <mergeCell ref="C21:S21"/>
    <mergeCell ref="AA1:AM1"/>
    <mergeCell ref="A1:Z1"/>
    <mergeCell ref="V4:AK4"/>
    <mergeCell ref="V21:AK21"/>
    <mergeCell ref="C38:S38"/>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0"/>
  <dimension ref="A1:AO104"/>
  <sheetViews>
    <sheetView showGridLines="0" topLeftCell="A16" zoomScale="85" zoomScaleNormal="85" workbookViewId="0">
      <selection activeCell="B5" sqref="B5"/>
    </sheetView>
  </sheetViews>
  <sheetFormatPr baseColWidth="10" defaultColWidth="8.83203125" defaultRowHeight="14" x14ac:dyDescent="0.15"/>
  <cols>
    <col min="1" max="1" width="2.5" customWidth="1"/>
    <col min="2" max="2" width="36.1640625" customWidth="1"/>
    <col min="20" max="20" width="33" customWidth="1"/>
  </cols>
  <sheetData>
    <row r="1" spans="1:41" ht="63" customHeight="1" x14ac:dyDescent="0.15">
      <c r="A1" s="482" t="s">
        <v>1091</v>
      </c>
      <c r="B1" s="482"/>
      <c r="C1" s="482"/>
      <c r="D1" s="482"/>
      <c r="E1" s="482"/>
      <c r="F1" s="482"/>
      <c r="G1" s="482"/>
      <c r="H1" s="482"/>
      <c r="I1" s="482"/>
      <c r="J1" s="482"/>
      <c r="K1" s="482"/>
      <c r="L1" s="482"/>
      <c r="M1" s="482"/>
      <c r="N1" s="482"/>
      <c r="O1" s="482"/>
      <c r="P1" s="482"/>
      <c r="Q1" s="482"/>
      <c r="R1" s="482"/>
      <c r="S1" s="482"/>
      <c r="T1" s="482"/>
      <c r="U1" s="482"/>
      <c r="V1" s="482"/>
      <c r="W1" s="482"/>
      <c r="X1" s="482"/>
      <c r="Y1" s="482"/>
      <c r="Z1" s="482"/>
      <c r="AA1" s="482"/>
      <c r="AB1" s="482"/>
      <c r="AC1" s="482"/>
      <c r="AD1" s="482"/>
      <c r="AE1" s="482"/>
      <c r="AF1" s="482"/>
      <c r="AG1" s="482"/>
      <c r="AH1" s="482"/>
      <c r="AI1" s="482"/>
      <c r="AJ1" s="482"/>
      <c r="AK1" s="482"/>
      <c r="AL1" s="482"/>
      <c r="AM1" s="482"/>
      <c r="AN1" s="482"/>
      <c r="AO1" s="482"/>
    </row>
    <row r="2" spans="1:41" ht="56.25" customHeight="1" x14ac:dyDescent="0.15">
      <c r="A2" s="524"/>
      <c r="B2" s="524"/>
      <c r="C2" s="524"/>
      <c r="D2" s="524"/>
      <c r="E2" s="524"/>
      <c r="F2" s="524"/>
      <c r="G2" s="524"/>
      <c r="H2" s="524"/>
      <c r="I2" s="524"/>
      <c r="J2" s="524"/>
      <c r="K2" s="524"/>
      <c r="L2" s="524"/>
      <c r="M2" s="524"/>
      <c r="N2" s="524"/>
      <c r="O2" s="524"/>
      <c r="P2" s="524"/>
      <c r="Q2" s="524"/>
      <c r="R2" s="524"/>
      <c r="S2" s="524"/>
      <c r="T2" s="524"/>
      <c r="U2" s="524"/>
      <c r="V2" s="524"/>
      <c r="W2" s="524"/>
      <c r="X2" s="524"/>
      <c r="Y2" s="524"/>
      <c r="Z2" s="524"/>
      <c r="AA2" s="524"/>
      <c r="AB2" s="524"/>
      <c r="AC2" s="524"/>
      <c r="AD2" s="524"/>
      <c r="AE2" s="524"/>
      <c r="AF2" s="524"/>
      <c r="AG2" s="524"/>
      <c r="AH2" s="524"/>
      <c r="AI2" s="524"/>
      <c r="AJ2" s="524"/>
      <c r="AK2" s="524"/>
      <c r="AL2" s="524"/>
      <c r="AM2" s="524"/>
      <c r="AN2" s="524"/>
      <c r="AO2" s="524"/>
    </row>
    <row r="3" spans="1:41"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28" x14ac:dyDescent="0.15">
      <c r="B4" s="143" t="s">
        <v>935</v>
      </c>
    </row>
    <row r="5" spans="1:41" ht="25.5" customHeight="1" x14ac:dyDescent="0.15">
      <c r="B5" s="242" t="s">
        <v>22</v>
      </c>
      <c r="P5" s="40"/>
      <c r="Q5" s="40"/>
    </row>
    <row r="6" spans="1:41" x14ac:dyDescent="0.15">
      <c r="B6" s="46"/>
    </row>
    <row r="8" spans="1:41" ht="28.5" customHeight="1" x14ac:dyDescent="0.15">
      <c r="B8" s="289" t="str">
        <f>HLOOKUP($B$5,Region_Table,2,0)</f>
        <v>Corporate Services - N54</v>
      </c>
      <c r="C8" s="517" t="s">
        <v>1092</v>
      </c>
      <c r="D8" s="518"/>
      <c r="E8" s="518"/>
      <c r="F8" s="518"/>
      <c r="G8" s="518"/>
      <c r="H8" s="518"/>
      <c r="I8" s="518"/>
      <c r="J8" s="518"/>
      <c r="K8" s="518"/>
      <c r="L8" s="518"/>
      <c r="M8" s="522"/>
      <c r="N8" s="522"/>
      <c r="O8" s="523"/>
      <c r="P8" s="512">
        <f>SUMIF('caseload data'!C:C,'divisional &amp; regional caseload'!B8,'caseload data'!V:V)</f>
        <v>0</v>
      </c>
      <c r="Q8" s="513"/>
      <c r="R8" s="514"/>
      <c r="S8" s="91"/>
      <c r="T8" s="289" t="str">
        <f>HLOOKUP($B$5,Region_Table,3,0)</f>
        <v>County Durham and Darlington</v>
      </c>
      <c r="U8" s="517" t="s">
        <v>1092</v>
      </c>
      <c r="V8" s="518"/>
      <c r="W8" s="518"/>
      <c r="X8" s="518"/>
      <c r="Y8" s="518"/>
      <c r="Z8" s="518"/>
      <c r="AA8" s="518"/>
      <c r="AB8" s="518"/>
      <c r="AC8" s="518"/>
      <c r="AD8" s="518"/>
      <c r="AE8" s="518"/>
      <c r="AF8" s="518"/>
      <c r="AG8" s="519"/>
      <c r="AH8" s="512">
        <f>SUMIF('caseload data'!C:C,'divisional &amp; regional caseload'!T8,'caseload data'!V:V)</f>
        <v>0</v>
      </c>
      <c r="AI8" s="515"/>
      <c r="AJ8" s="516"/>
    </row>
    <row r="9" spans="1:41" x14ac:dyDescent="0.15">
      <c r="B9" s="95" t="s">
        <v>1000</v>
      </c>
      <c r="C9" s="38" t="s">
        <v>864</v>
      </c>
      <c r="D9" s="38" t="s">
        <v>865</v>
      </c>
      <c r="E9" s="38" t="s">
        <v>866</v>
      </c>
      <c r="F9" s="38" t="s">
        <v>867</v>
      </c>
      <c r="G9" s="38" t="s">
        <v>868</v>
      </c>
      <c r="H9" s="38" t="s">
        <v>869</v>
      </c>
      <c r="I9" s="38" t="s">
        <v>870</v>
      </c>
      <c r="J9" s="38" t="s">
        <v>871</v>
      </c>
      <c r="K9" s="38" t="s">
        <v>872</v>
      </c>
      <c r="L9" s="38" t="s">
        <v>873</v>
      </c>
      <c r="M9" s="38" t="s">
        <v>874</v>
      </c>
      <c r="N9" s="38" t="s">
        <v>875</v>
      </c>
      <c r="O9" s="38" t="s">
        <v>876</v>
      </c>
      <c r="P9" s="38" t="s">
        <v>877</v>
      </c>
      <c r="Q9" s="38" t="s">
        <v>878</v>
      </c>
      <c r="R9" s="38" t="s">
        <v>879</v>
      </c>
      <c r="S9" s="91"/>
      <c r="T9" s="95" t="s">
        <v>1000</v>
      </c>
      <c r="U9" s="38" t="s">
        <v>864</v>
      </c>
      <c r="V9" s="38" t="s">
        <v>865</v>
      </c>
      <c r="W9" s="38" t="s">
        <v>866</v>
      </c>
      <c r="X9" s="38" t="s">
        <v>867</v>
      </c>
      <c r="Y9" s="38" t="s">
        <v>868</v>
      </c>
      <c r="Z9" s="38" t="s">
        <v>869</v>
      </c>
      <c r="AA9" s="38" t="s">
        <v>870</v>
      </c>
      <c r="AB9" s="38" t="s">
        <v>871</v>
      </c>
      <c r="AC9" s="38" t="s">
        <v>872</v>
      </c>
      <c r="AD9" s="38" t="s">
        <v>873</v>
      </c>
      <c r="AE9" s="38" t="s">
        <v>874</v>
      </c>
      <c r="AF9" s="38" t="s">
        <v>875</v>
      </c>
      <c r="AG9" s="38" t="s">
        <v>876</v>
      </c>
      <c r="AH9" s="38" t="s">
        <v>877</v>
      </c>
      <c r="AI9" s="38" t="s">
        <v>878</v>
      </c>
      <c r="AJ9" s="38" t="s">
        <v>879</v>
      </c>
    </row>
    <row r="10" spans="1:41" x14ac:dyDescent="0.15">
      <c r="B10" s="96" t="s">
        <v>997</v>
      </c>
      <c r="C10" s="94">
        <f>SUMIFS('caseload data'!E:E,'caseload data'!$D:$D,"PO",'caseload data'!$C:$C,'divisional &amp; regional caseload'!$B$8)</f>
        <v>0</v>
      </c>
      <c r="D10" s="94">
        <f>SUMIFS('caseload data'!F:F,'caseload data'!$D:$D,"PO",'caseload data'!$C:$C,'divisional &amp; regional caseload'!$B$8)</f>
        <v>0</v>
      </c>
      <c r="E10" s="94">
        <f>SUMIFS('caseload data'!G:G,'caseload data'!$D:$D,"PO",'caseload data'!$C:$C,'divisional &amp; regional caseload'!$B$8)</f>
        <v>0</v>
      </c>
      <c r="F10" s="94">
        <f>SUMIFS('caseload data'!H:H,'caseload data'!$D:$D,"PO",'caseload data'!$C:$C,'divisional &amp; regional caseload'!$B$8)</f>
        <v>0</v>
      </c>
      <c r="G10" s="94">
        <f>SUMIFS('caseload data'!I:I,'caseload data'!$D:$D,"PO",'caseload data'!$C:$C,'divisional &amp; regional caseload'!$B$8)</f>
        <v>0</v>
      </c>
      <c r="H10" s="94">
        <f>SUMIFS('caseload data'!J:J,'caseload data'!$D:$D,"PO",'caseload data'!$C:$C,'divisional &amp; regional caseload'!$B$8)</f>
        <v>0</v>
      </c>
      <c r="I10" s="94">
        <f>SUMIFS('caseload data'!K:K,'caseload data'!$D:$D,"PO",'caseload data'!$C:$C,'divisional &amp; regional caseload'!$B$8)</f>
        <v>0</v>
      </c>
      <c r="J10" s="94">
        <f>SUMIFS('caseload data'!L:L,'caseload data'!$D:$D,"PO",'caseload data'!$C:$C,'divisional &amp; regional caseload'!$B$8)</f>
        <v>0</v>
      </c>
      <c r="K10" s="94">
        <f>SUMIFS('caseload data'!M:M,'caseload data'!$D:$D,"PO",'caseload data'!$C:$C,'divisional &amp; regional caseload'!$B$8)</f>
        <v>0</v>
      </c>
      <c r="L10" s="94">
        <f>SUMIFS('caseload data'!N:N,'caseload data'!$D:$D,"PO",'caseload data'!$C:$C,'divisional &amp; regional caseload'!$B$8)</f>
        <v>0</v>
      </c>
      <c r="M10" s="94">
        <f>SUMIFS('caseload data'!O:O,'caseload data'!$D:$D,"PO",'caseload data'!$C:$C,'divisional &amp; regional caseload'!$B$8)</f>
        <v>0</v>
      </c>
      <c r="N10" s="94">
        <f>SUMIFS('caseload data'!P:P,'caseload data'!$D:$D,"PO",'caseload data'!$C:$C,'divisional &amp; regional caseload'!$B$8)</f>
        <v>0</v>
      </c>
      <c r="O10" s="94">
        <f>SUMIFS('caseload data'!Q:Q,'caseload data'!$D:$D,"PO",'caseload data'!$C:$C,'divisional &amp; regional caseload'!$B$8)</f>
        <v>0</v>
      </c>
      <c r="P10" s="94">
        <f>SUMIFS('caseload data'!R:R,'caseload data'!$D:$D,"PO",'caseload data'!$C:$C,'divisional &amp; regional caseload'!$B$8)</f>
        <v>0</v>
      </c>
      <c r="Q10" s="94">
        <f>SUMIFS('caseload data'!S:S,'caseload data'!$D:$D,"PO",'caseload data'!$C:$C,'divisional &amp; regional caseload'!$B$8)</f>
        <v>0</v>
      </c>
      <c r="R10" s="94">
        <f>SUMIFS('caseload data'!T:T,'caseload data'!$D:$D,"PO",'caseload data'!$C:$C,'divisional &amp; regional caseload'!$B$8)</f>
        <v>0</v>
      </c>
      <c r="S10" s="91"/>
      <c r="T10" s="96" t="s">
        <v>997</v>
      </c>
      <c r="U10" s="94">
        <f>SUMIFS('caseload data'!E:E,'caseload data'!$D:$D,"PO",'caseload data'!$C:$C,'divisional &amp; regional caseload'!$T$8)</f>
        <v>0</v>
      </c>
      <c r="V10" s="94">
        <f>SUMIFS('caseload data'!F:F,'caseload data'!$D:$D,"PO",'caseload data'!$C:$C,'divisional &amp; regional caseload'!$T$8)</f>
        <v>0</v>
      </c>
      <c r="W10" s="94">
        <f>SUMIFS('caseload data'!G:G,'caseload data'!$D:$D,"PO",'caseload data'!$C:$C,'divisional &amp; regional caseload'!$T$8)</f>
        <v>0</v>
      </c>
      <c r="X10" s="94">
        <f>SUMIFS('caseload data'!H:H,'caseload data'!$D:$D,"PO",'caseload data'!$C:$C,'divisional &amp; regional caseload'!$T$8)</f>
        <v>0</v>
      </c>
      <c r="Y10" s="94">
        <f>SUMIFS('caseload data'!I:I,'caseload data'!$D:$D,"PO",'caseload data'!$C:$C,'divisional &amp; regional caseload'!$T$8)</f>
        <v>0</v>
      </c>
      <c r="Z10" s="94">
        <f>SUMIFS('caseload data'!J:J,'caseload data'!$D:$D,"PO",'caseload data'!$C:$C,'divisional &amp; regional caseload'!$T$8)</f>
        <v>0</v>
      </c>
      <c r="AA10" s="94">
        <f>SUMIFS('caseload data'!K:K,'caseload data'!$D:$D,"PO",'caseload data'!$C:$C,'divisional &amp; regional caseload'!$T$8)</f>
        <v>0</v>
      </c>
      <c r="AB10" s="94">
        <f>SUMIFS('caseload data'!L:L,'caseload data'!$D:$D,"PO",'caseload data'!$C:$C,'divisional &amp; regional caseload'!$T$8)</f>
        <v>0</v>
      </c>
      <c r="AC10" s="94">
        <f>SUMIFS('caseload data'!M:M,'caseload data'!$D:$D,"PO",'caseload data'!$C:$C,'divisional &amp; regional caseload'!$T$8)</f>
        <v>0</v>
      </c>
      <c r="AD10" s="94">
        <f>SUMIFS('caseload data'!N:N,'caseload data'!$D:$D,"PO",'caseload data'!$C:$C,'divisional &amp; regional caseload'!$T$8)</f>
        <v>0</v>
      </c>
      <c r="AE10" s="94">
        <f>SUMIFS('caseload data'!O:O,'caseload data'!$D:$D,"PO",'caseload data'!$C:$C,'divisional &amp; regional caseload'!$T$8)</f>
        <v>0</v>
      </c>
      <c r="AF10" s="94">
        <f>SUMIFS('caseload data'!P:P,'caseload data'!$D:$D,"PO",'caseload data'!$C:$C,'divisional &amp; regional caseload'!$T$8)</f>
        <v>0</v>
      </c>
      <c r="AG10" s="94">
        <f>SUMIFS('caseload data'!Q:Q,'caseload data'!$D:$D,"PO",'caseload data'!$C:$C,'divisional &amp; regional caseload'!$T$8)</f>
        <v>0</v>
      </c>
      <c r="AH10" s="94">
        <f>SUMIFS('caseload data'!R:R,'caseload data'!$D:$D,"PO",'caseload data'!$C:$C,'divisional &amp; regional caseload'!$T$8)</f>
        <v>0</v>
      </c>
      <c r="AI10" s="94">
        <f>SUMIFS('caseload data'!S:S,'caseload data'!$D:$D,"PO",'caseload data'!$C:$C,'divisional &amp; regional caseload'!$T$8)</f>
        <v>0</v>
      </c>
      <c r="AJ10" s="94">
        <f>SUMIFS('caseload data'!T:T,'caseload data'!$D:$D,"PO",'caseload data'!$C:$C,'divisional &amp; regional caseload'!$T$8)</f>
        <v>0</v>
      </c>
    </row>
    <row r="11" spans="1:41" x14ac:dyDescent="0.15">
      <c r="B11" s="97" t="s">
        <v>1002</v>
      </c>
      <c r="C11" s="94">
        <f>SUMIFS('caseload data'!E:E,'caseload data'!$D:$D,"PSO",'caseload data'!$C:$C,'divisional &amp; regional caseload'!$B$8)</f>
        <v>0</v>
      </c>
      <c r="D11" s="94">
        <f>SUMIFS('caseload data'!F:F,'caseload data'!$D:$D,"PSO",'caseload data'!$C:$C,'divisional &amp; regional caseload'!$B$8)</f>
        <v>0</v>
      </c>
      <c r="E11" s="94">
        <f>SUMIFS('caseload data'!G:G,'caseload data'!$D:$D,"PSO",'caseload data'!$C:$C,'divisional &amp; regional caseload'!$B$8)</f>
        <v>0</v>
      </c>
      <c r="F11" s="94">
        <f>SUMIFS('caseload data'!H:H,'caseload data'!$D:$D,"PSO",'caseload data'!$C:$C,'divisional &amp; regional caseload'!$B$8)</f>
        <v>0</v>
      </c>
      <c r="G11" s="94">
        <f>SUMIFS('caseload data'!I:I,'caseload data'!$D:$D,"PSO",'caseload data'!$C:$C,'divisional &amp; regional caseload'!$B$8)</f>
        <v>0</v>
      </c>
      <c r="H11" s="94">
        <f>SUMIFS('caseload data'!J:J,'caseload data'!$D:$D,"PSO",'caseload data'!$C:$C,'divisional &amp; regional caseload'!$B$8)</f>
        <v>0</v>
      </c>
      <c r="I11" s="94">
        <f>SUMIFS('caseload data'!K:K,'caseload data'!$D:$D,"PSO",'caseload data'!$C:$C,'divisional &amp; regional caseload'!$B$8)</f>
        <v>0</v>
      </c>
      <c r="J11" s="94">
        <f>SUMIFS('caseload data'!L:L,'caseload data'!$D:$D,"PSO",'caseload data'!$C:$C,'divisional &amp; regional caseload'!$B$8)</f>
        <v>0</v>
      </c>
      <c r="K11" s="94">
        <f>SUMIFS('caseload data'!M:M,'caseload data'!$D:$D,"PSO",'caseload data'!$C:$C,'divisional &amp; regional caseload'!$B$8)</f>
        <v>0</v>
      </c>
      <c r="L11" s="94">
        <f>SUMIFS('caseload data'!N:N,'caseload data'!$D:$D,"PSO",'caseload data'!$C:$C,'divisional &amp; regional caseload'!$B$8)</f>
        <v>0</v>
      </c>
      <c r="M11" s="94">
        <f>SUMIFS('caseload data'!O:O,'caseload data'!$D:$D,"PSO",'caseload data'!$C:$C,'divisional &amp; regional caseload'!$B$8)</f>
        <v>0</v>
      </c>
      <c r="N11" s="94">
        <f>SUMIFS('caseload data'!P:P,'caseload data'!$D:$D,"PSO",'caseload data'!$C:$C,'divisional &amp; regional caseload'!$B$8)</f>
        <v>0</v>
      </c>
      <c r="O11" s="94">
        <f>SUMIFS('caseload data'!Q:Q,'caseload data'!$D:$D,"PSO",'caseload data'!$C:$C,'divisional &amp; regional caseload'!$B$8)</f>
        <v>0</v>
      </c>
      <c r="P11" s="94">
        <f>SUMIFS('caseload data'!R:R,'caseload data'!$D:$D,"PSO",'caseload data'!$C:$C,'divisional &amp; regional caseload'!$B$8)</f>
        <v>0</v>
      </c>
      <c r="Q11" s="94">
        <f>SUMIFS('caseload data'!S:S,'caseload data'!$D:$D,"PSO",'caseload data'!$C:$C,'divisional &amp; regional caseload'!$B$8)</f>
        <v>0</v>
      </c>
      <c r="R11" s="94">
        <f>SUMIFS('caseload data'!T:T,'caseload data'!$D:$D,"PSO",'caseload data'!$C:$C,'divisional &amp; regional caseload'!$B$8)</f>
        <v>0</v>
      </c>
      <c r="S11" s="91"/>
      <c r="T11" s="97" t="s">
        <v>1002</v>
      </c>
      <c r="U11" s="94">
        <f>SUMIFS('caseload data'!E:E,'caseload data'!$D:$D,"PSO",'caseload data'!$C:$C,'divisional &amp; regional caseload'!$T$8)</f>
        <v>0</v>
      </c>
      <c r="V11" s="94">
        <f>SUMIFS('caseload data'!F:F,'caseload data'!$D:$D,"PSO",'caseload data'!$C:$C,'divisional &amp; regional caseload'!$T$8)</f>
        <v>0</v>
      </c>
      <c r="W11" s="94">
        <f>SUMIFS('caseload data'!G:G,'caseload data'!$D:$D,"PSO",'caseload data'!$C:$C,'divisional &amp; regional caseload'!$T$8)</f>
        <v>0</v>
      </c>
      <c r="X11" s="94">
        <f>SUMIFS('caseload data'!H:H,'caseload data'!$D:$D,"PSO",'caseload data'!$C:$C,'divisional &amp; regional caseload'!$T$8)</f>
        <v>0</v>
      </c>
      <c r="Y11" s="94">
        <f>SUMIFS('caseload data'!I:I,'caseload data'!$D:$D,"PSO",'caseload data'!$C:$C,'divisional &amp; regional caseload'!$T$8)</f>
        <v>0</v>
      </c>
      <c r="Z11" s="94">
        <f>SUMIFS('caseload data'!J:J,'caseload data'!$D:$D,"PSO",'caseload data'!$C:$C,'divisional &amp; regional caseload'!$T$8)</f>
        <v>0</v>
      </c>
      <c r="AA11" s="94">
        <f>SUMIFS('caseload data'!K:K,'caseload data'!$D:$D,"PSO",'caseload data'!$C:$C,'divisional &amp; regional caseload'!$T$8)</f>
        <v>0</v>
      </c>
      <c r="AB11" s="94">
        <f>SUMIFS('caseload data'!L:L,'caseload data'!$D:$D,"PSO",'caseload data'!$C:$C,'divisional &amp; regional caseload'!$T$8)</f>
        <v>0</v>
      </c>
      <c r="AC11" s="94">
        <f>SUMIFS('caseload data'!M:M,'caseload data'!$D:$D,"PSO",'caseload data'!$C:$C,'divisional &amp; regional caseload'!$T$8)</f>
        <v>0</v>
      </c>
      <c r="AD11" s="94">
        <f>SUMIFS('caseload data'!N:N,'caseload data'!$D:$D,"PSO",'caseload data'!$C:$C,'divisional &amp; regional caseload'!$T$8)</f>
        <v>0</v>
      </c>
      <c r="AE11" s="94">
        <f>SUMIFS('caseload data'!O:O,'caseload data'!$D:$D,"PSO",'caseload data'!$C:$C,'divisional &amp; regional caseload'!$T$8)</f>
        <v>0</v>
      </c>
      <c r="AF11" s="94">
        <f>SUMIFS('caseload data'!P:P,'caseload data'!$D:$D,"PSO",'caseload data'!$C:$C,'divisional &amp; regional caseload'!$T$8)</f>
        <v>0</v>
      </c>
      <c r="AG11" s="94">
        <f>SUMIFS('caseload data'!Q:Q,'caseload data'!$D:$D,"PSO",'caseload data'!$C:$C,'divisional &amp; regional caseload'!$T$8)</f>
        <v>0</v>
      </c>
      <c r="AH11" s="94">
        <f>SUMIFS('caseload data'!R:R,'caseload data'!$D:$D,"PSO",'caseload data'!$C:$C,'divisional &amp; regional caseload'!$T$8)</f>
        <v>0</v>
      </c>
      <c r="AI11" s="94">
        <f>SUMIFS('caseload data'!S:S,'caseload data'!$D:$D,"PSO",'caseload data'!$C:$C,'divisional &amp; regional caseload'!$T$8)</f>
        <v>0</v>
      </c>
      <c r="AJ11" s="94">
        <f>SUMIFS('caseload data'!T:T,'caseload data'!$D:$D,"PSO",'caseload data'!$C:$C,'divisional &amp; regional caseload'!$T$8)</f>
        <v>0</v>
      </c>
    </row>
    <row r="12" spans="1:41" x14ac:dyDescent="0.15">
      <c r="B12" s="97" t="s">
        <v>1003</v>
      </c>
      <c r="C12" s="94">
        <f>SUMIFS('caseload data'!E:E,'caseload data'!$D:$D,"TPO",'caseload data'!$C:$C,'divisional &amp; regional caseload'!$B$8)</f>
        <v>0</v>
      </c>
      <c r="D12" s="94">
        <f>SUMIFS('caseload data'!F:F,'caseload data'!$D:$D,"TPO",'caseload data'!$C:$C,'divisional &amp; regional caseload'!$B$8)</f>
        <v>0</v>
      </c>
      <c r="E12" s="94">
        <f>SUMIFS('caseload data'!G:G,'caseload data'!$D:$D,"TPO",'caseload data'!$C:$C,'divisional &amp; regional caseload'!$B$8)</f>
        <v>0</v>
      </c>
      <c r="F12" s="94">
        <f>SUMIFS('caseload data'!H:H,'caseload data'!$D:$D,"TPO",'caseload data'!$C:$C,'divisional &amp; regional caseload'!$B$8)</f>
        <v>0</v>
      </c>
      <c r="G12" s="94">
        <f>SUMIFS('caseload data'!I:I,'caseload data'!$D:$D,"TPO",'caseload data'!$C:$C,'divisional &amp; regional caseload'!$B$8)</f>
        <v>0</v>
      </c>
      <c r="H12" s="94">
        <f>SUMIFS('caseload data'!J:J,'caseload data'!$D:$D,"TPO",'caseload data'!$C:$C,'divisional &amp; regional caseload'!$B$8)</f>
        <v>0</v>
      </c>
      <c r="I12" s="94">
        <f>SUMIFS('caseload data'!K:K,'caseload data'!$D:$D,"TPO",'caseload data'!$C:$C,'divisional &amp; regional caseload'!$B$8)</f>
        <v>0</v>
      </c>
      <c r="J12" s="94">
        <f>SUMIFS('caseload data'!L:L,'caseload data'!$D:$D,"TPO",'caseload data'!$C:$C,'divisional &amp; regional caseload'!$B$8)</f>
        <v>0</v>
      </c>
      <c r="K12" s="94">
        <f>SUMIFS('caseload data'!M:M,'caseload data'!$D:$D,"TPO",'caseload data'!$C:$C,'divisional &amp; regional caseload'!$B$8)</f>
        <v>0</v>
      </c>
      <c r="L12" s="94">
        <f>SUMIFS('caseload data'!N:N,'caseload data'!$D:$D,"TPO",'caseload data'!$C:$C,'divisional &amp; regional caseload'!$B$8)</f>
        <v>0</v>
      </c>
      <c r="M12" s="94">
        <f>SUMIFS('caseload data'!O:O,'caseload data'!$D:$D,"TPO",'caseload data'!$C:$C,'divisional &amp; regional caseload'!$B$8)</f>
        <v>0</v>
      </c>
      <c r="N12" s="94">
        <f>SUMIFS('caseload data'!P:P,'caseload data'!$D:$D,"TPO",'caseload data'!$C:$C,'divisional &amp; regional caseload'!$B$8)</f>
        <v>0</v>
      </c>
      <c r="O12" s="94">
        <f>SUMIFS('caseload data'!Q:Q,'caseload data'!$D:$D,"TPO",'caseload data'!$C:$C,'divisional &amp; regional caseload'!$B$8)</f>
        <v>0</v>
      </c>
      <c r="P12" s="94">
        <f>SUMIFS('caseload data'!R:R,'caseload data'!$D:$D,"TPO",'caseload data'!$C:$C,'divisional &amp; regional caseload'!$B$8)</f>
        <v>0</v>
      </c>
      <c r="Q12" s="94">
        <f>SUMIFS('caseload data'!S:S,'caseload data'!$D:$D,"TPO",'caseload data'!$C:$C,'divisional &amp; regional caseload'!$B$8)</f>
        <v>0</v>
      </c>
      <c r="R12" s="94">
        <f>SUMIFS('caseload data'!T:T,'caseload data'!$D:$D,"TPO",'caseload data'!$C:$C,'divisional &amp; regional caseload'!$B$8)</f>
        <v>0</v>
      </c>
      <c r="S12" s="91"/>
      <c r="T12" s="97" t="s">
        <v>1003</v>
      </c>
      <c r="U12" s="94">
        <f>SUMIFS('caseload data'!E:E,'caseload data'!$D:$D,"TPO",'caseload data'!$C:$C,'divisional &amp; regional caseload'!$T$8)</f>
        <v>0</v>
      </c>
      <c r="V12" s="94">
        <f>SUMIFS('caseload data'!F:F,'caseload data'!$D:$D,"TPO",'caseload data'!$C:$C,'divisional &amp; regional caseload'!$T$8)</f>
        <v>0</v>
      </c>
      <c r="W12" s="94">
        <f>SUMIFS('caseload data'!G:G,'caseload data'!$D:$D,"TPO",'caseload data'!$C:$C,'divisional &amp; regional caseload'!$T$8)</f>
        <v>0</v>
      </c>
      <c r="X12" s="94">
        <f>SUMIFS('caseload data'!H:H,'caseload data'!$D:$D,"TPO",'caseload data'!$C:$C,'divisional &amp; regional caseload'!$T$8)</f>
        <v>0</v>
      </c>
      <c r="Y12" s="94">
        <f>SUMIFS('caseload data'!I:I,'caseload data'!$D:$D,"TPO",'caseload data'!$C:$C,'divisional &amp; regional caseload'!$T$8)</f>
        <v>0</v>
      </c>
      <c r="Z12" s="94">
        <f>SUMIFS('caseload data'!J:J,'caseload data'!$D:$D,"TPO",'caseload data'!$C:$C,'divisional &amp; regional caseload'!$T$8)</f>
        <v>0</v>
      </c>
      <c r="AA12" s="94">
        <f>SUMIFS('caseload data'!K:K,'caseload data'!$D:$D,"TPO",'caseload data'!$C:$C,'divisional &amp; regional caseload'!$T$8)</f>
        <v>0</v>
      </c>
      <c r="AB12" s="94">
        <f>SUMIFS('caseload data'!L:L,'caseload data'!$D:$D,"TPO",'caseload data'!$C:$C,'divisional &amp; regional caseload'!$T$8)</f>
        <v>0</v>
      </c>
      <c r="AC12" s="94">
        <f>SUMIFS('caseload data'!M:M,'caseload data'!$D:$D,"TPO",'caseload data'!$C:$C,'divisional &amp; regional caseload'!$T$8)</f>
        <v>0</v>
      </c>
      <c r="AD12" s="94">
        <f>SUMIFS('caseload data'!N:N,'caseload data'!$D:$D,"TPO",'caseload data'!$C:$C,'divisional &amp; regional caseload'!$T$8)</f>
        <v>0</v>
      </c>
      <c r="AE12" s="94">
        <f>SUMIFS('caseload data'!O:O,'caseload data'!$D:$D,"TPO",'caseload data'!$C:$C,'divisional &amp; regional caseload'!$T$8)</f>
        <v>0</v>
      </c>
      <c r="AF12" s="94">
        <f>SUMIFS('caseload data'!P:P,'caseload data'!$D:$D,"TPO",'caseload data'!$C:$C,'divisional &amp; regional caseload'!$T$8)</f>
        <v>0</v>
      </c>
      <c r="AG12" s="94">
        <f>SUMIFS('caseload data'!Q:Q,'caseload data'!$D:$D,"TPO",'caseload data'!$C:$C,'divisional &amp; regional caseload'!$T$8)</f>
        <v>0</v>
      </c>
      <c r="AH12" s="94">
        <f>SUMIFS('caseload data'!R:R,'caseload data'!$D:$D,"TPO",'caseload data'!$C:$C,'divisional &amp; regional caseload'!$T$8)</f>
        <v>0</v>
      </c>
      <c r="AI12" s="94">
        <f>SUMIFS('caseload data'!S:S,'caseload data'!$D:$D,"TPO",'caseload data'!$C:$C,'divisional &amp; regional caseload'!$T$8)</f>
        <v>0</v>
      </c>
      <c r="AJ12" s="94">
        <f>SUMIFS('caseload data'!T:T,'caseload data'!$D:$D,"TPO",'caseload data'!$C:$C,'divisional &amp; regional caseload'!$T$8)</f>
        <v>0</v>
      </c>
    </row>
    <row r="13" spans="1:41" x14ac:dyDescent="0.15">
      <c r="B13" s="98" t="s">
        <v>1004</v>
      </c>
      <c r="C13" s="94">
        <f>SUMIFS('caseload data'!E:E,'caseload data'!$D:$D,"SPO",'caseload data'!$C:$C,'divisional &amp; regional caseload'!$B$8)</f>
        <v>0</v>
      </c>
      <c r="D13" s="94">
        <f>SUMIFS('caseload data'!F:F,'caseload data'!$D:$D,"SPO",'caseload data'!$C:$C,'divisional &amp; regional caseload'!$B$8)</f>
        <v>0</v>
      </c>
      <c r="E13" s="94">
        <f>SUMIFS('caseload data'!G:G,'caseload data'!$D:$D,"SPO",'caseload data'!$C:$C,'divisional &amp; regional caseload'!$B$8)</f>
        <v>0</v>
      </c>
      <c r="F13" s="94">
        <f>SUMIFS('caseload data'!H:H,'caseload data'!$D:$D,"SPO",'caseload data'!$C:$C,'divisional &amp; regional caseload'!$B$8)</f>
        <v>0</v>
      </c>
      <c r="G13" s="94">
        <f>SUMIFS('caseload data'!I:I,'caseload data'!$D:$D,"SPO",'caseload data'!$C:$C,'divisional &amp; regional caseload'!$B$8)</f>
        <v>0</v>
      </c>
      <c r="H13" s="94">
        <f>SUMIFS('caseload data'!J:J,'caseload data'!$D:$D,"SPO",'caseload data'!$C:$C,'divisional &amp; regional caseload'!$B$8)</f>
        <v>0</v>
      </c>
      <c r="I13" s="94">
        <f>SUMIFS('caseload data'!K:K,'caseload data'!$D:$D,"SPO",'caseload data'!$C:$C,'divisional &amp; regional caseload'!$B$8)</f>
        <v>0</v>
      </c>
      <c r="J13" s="94">
        <f>SUMIFS('caseload data'!L:L,'caseload data'!$D:$D,"SPO",'caseload data'!$C:$C,'divisional &amp; regional caseload'!$B$8)</f>
        <v>0</v>
      </c>
      <c r="K13" s="94">
        <f>SUMIFS('caseload data'!M:M,'caseload data'!$D:$D,"SPO",'caseload data'!$C:$C,'divisional &amp; regional caseload'!$B$8)</f>
        <v>0</v>
      </c>
      <c r="L13" s="94">
        <f>SUMIFS('caseload data'!N:N,'caseload data'!$D:$D,"SPO",'caseload data'!$C:$C,'divisional &amp; regional caseload'!$B$8)</f>
        <v>0</v>
      </c>
      <c r="M13" s="94">
        <f>SUMIFS('caseload data'!O:O,'caseload data'!$D:$D,"SPO",'caseload data'!$C:$C,'divisional &amp; regional caseload'!$B$8)</f>
        <v>0</v>
      </c>
      <c r="N13" s="94">
        <f>SUMIFS('caseload data'!P:P,'caseload data'!$D:$D,"SPO",'caseload data'!$C:$C,'divisional &amp; regional caseload'!$B$8)</f>
        <v>0</v>
      </c>
      <c r="O13" s="94">
        <f>SUMIFS('caseload data'!Q:Q,'caseload data'!$D:$D,"SPO",'caseload data'!$C:$C,'divisional &amp; regional caseload'!$B$8)</f>
        <v>0</v>
      </c>
      <c r="P13" s="94">
        <f>SUMIFS('caseload data'!R:R,'caseload data'!$D:$D,"SPO",'caseload data'!$C:$C,'divisional &amp; regional caseload'!$B$8)</f>
        <v>0</v>
      </c>
      <c r="Q13" s="94">
        <f>SUMIFS('caseload data'!S:S,'caseload data'!$D:$D,"SPO",'caseload data'!$C:$C,'divisional &amp; regional caseload'!$B$8)</f>
        <v>0</v>
      </c>
      <c r="R13" s="94">
        <f>SUMIFS('caseload data'!T:T,'caseload data'!$D:$D,"SPO",'caseload data'!$C:$C,'divisional &amp; regional caseload'!$B$8)</f>
        <v>0</v>
      </c>
      <c r="S13" s="91"/>
      <c r="T13" s="98" t="s">
        <v>1004</v>
      </c>
      <c r="U13" s="94">
        <f>SUMIFS('caseload data'!E:E,'caseload data'!$D:$D,"SPO",'caseload data'!$C:$C,'divisional &amp; regional caseload'!$T$8)</f>
        <v>0</v>
      </c>
      <c r="V13" s="94">
        <f>SUMIFS('caseload data'!F:F,'caseload data'!$D:$D,"SPO",'caseload data'!$C:$C,'divisional &amp; regional caseload'!$T$8)</f>
        <v>0</v>
      </c>
      <c r="W13" s="94">
        <f>SUMIFS('caseload data'!G:G,'caseload data'!$D:$D,"SPO",'caseload data'!$C:$C,'divisional &amp; regional caseload'!$T$8)</f>
        <v>0</v>
      </c>
      <c r="X13" s="94">
        <f>SUMIFS('caseload data'!H:H,'caseload data'!$D:$D,"SPO",'caseload data'!$C:$C,'divisional &amp; regional caseload'!$T$8)</f>
        <v>0</v>
      </c>
      <c r="Y13" s="94">
        <f>SUMIFS('caseload data'!I:I,'caseload data'!$D:$D,"SPO",'caseload data'!$C:$C,'divisional &amp; regional caseload'!$T$8)</f>
        <v>0</v>
      </c>
      <c r="Z13" s="94">
        <f>SUMIFS('caseload data'!J:J,'caseload data'!$D:$D,"SPO",'caseload data'!$C:$C,'divisional &amp; regional caseload'!$T$8)</f>
        <v>0</v>
      </c>
      <c r="AA13" s="94">
        <f>SUMIFS('caseload data'!K:K,'caseload data'!$D:$D,"SPO",'caseload data'!$C:$C,'divisional &amp; regional caseload'!$T$8)</f>
        <v>0</v>
      </c>
      <c r="AB13" s="94">
        <f>SUMIFS('caseload data'!L:L,'caseload data'!$D:$D,"SPO",'caseload data'!$C:$C,'divisional &amp; regional caseload'!$T$8)</f>
        <v>0</v>
      </c>
      <c r="AC13" s="94">
        <f>SUMIFS('caseload data'!M:M,'caseload data'!$D:$D,"SPO",'caseload data'!$C:$C,'divisional &amp; regional caseload'!$T$8)</f>
        <v>0</v>
      </c>
      <c r="AD13" s="94">
        <f>SUMIFS('caseload data'!N:N,'caseload data'!$D:$D,"SPO",'caseload data'!$C:$C,'divisional &amp; regional caseload'!$T$8)</f>
        <v>0</v>
      </c>
      <c r="AE13" s="94">
        <f>SUMIFS('caseload data'!O:O,'caseload data'!$D:$D,"SPO",'caseload data'!$C:$C,'divisional &amp; regional caseload'!$T$8)</f>
        <v>0</v>
      </c>
      <c r="AF13" s="94">
        <f>SUMIFS('caseload data'!P:P,'caseload data'!$D:$D,"SPO",'caseload data'!$C:$C,'divisional &amp; regional caseload'!$T$8)</f>
        <v>0</v>
      </c>
      <c r="AG13" s="94">
        <f>SUMIFS('caseload data'!Q:Q,'caseload data'!$D:$D,"SPO",'caseload data'!$C:$C,'divisional &amp; regional caseload'!$T$8)</f>
        <v>0</v>
      </c>
      <c r="AH13" s="94">
        <f>SUMIFS('caseload data'!R:R,'caseload data'!$D:$D,"SPO",'caseload data'!$C:$C,'divisional &amp; regional caseload'!$T$8)</f>
        <v>0</v>
      </c>
      <c r="AI13" s="94">
        <f>SUMIFS('caseload data'!S:S,'caseload data'!$D:$D,"SPO",'caseload data'!$C:$C,'divisional &amp; regional caseload'!$T$8)</f>
        <v>0</v>
      </c>
      <c r="AJ13" s="94">
        <f>SUMIFS('caseload data'!T:T,'caseload data'!$D:$D,"SPO",'caseload data'!$C:$C,'divisional &amp; regional caseload'!$T$8)</f>
        <v>0</v>
      </c>
    </row>
    <row r="14" spans="1:41" x14ac:dyDescent="0.15">
      <c r="B14" s="91"/>
      <c r="C14" s="91"/>
      <c r="D14" s="91"/>
      <c r="E14" s="91"/>
      <c r="F14" s="91"/>
      <c r="G14" s="91"/>
      <c r="H14" s="91"/>
      <c r="I14" s="91"/>
      <c r="J14" s="91"/>
      <c r="K14" s="91"/>
      <c r="L14" s="91"/>
      <c r="M14" s="91"/>
      <c r="N14" s="91"/>
      <c r="O14" s="91"/>
      <c r="P14" s="91"/>
      <c r="Q14" s="91"/>
      <c r="R14" s="91"/>
      <c r="S14" s="91"/>
      <c r="T14" s="91"/>
      <c r="U14" s="91"/>
      <c r="V14" s="91"/>
      <c r="W14" s="91"/>
      <c r="X14" s="91"/>
      <c r="Y14" s="91"/>
      <c r="Z14" s="91"/>
      <c r="AA14" s="91"/>
    </row>
    <row r="15" spans="1:41" ht="30" customHeight="1" x14ac:dyDescent="0.15">
      <c r="B15" s="289" t="str">
        <f>HLOOKUP($B$5,Region_Table,4,0)</f>
        <v>Gateshead and South Tyneside</v>
      </c>
      <c r="C15" s="517" t="s">
        <v>1092</v>
      </c>
      <c r="D15" s="518"/>
      <c r="E15" s="518"/>
      <c r="F15" s="518"/>
      <c r="G15" s="518"/>
      <c r="H15" s="518"/>
      <c r="I15" s="518"/>
      <c r="J15" s="518"/>
      <c r="K15" s="518"/>
      <c r="L15" s="518"/>
      <c r="M15" s="522"/>
      <c r="N15" s="522"/>
      <c r="O15" s="523"/>
      <c r="P15" s="512">
        <f>SUMIF('caseload data'!$C:$C,'divisional &amp; regional caseload'!B15,'caseload data'!V:V)</f>
        <v>0</v>
      </c>
      <c r="Q15" s="513"/>
      <c r="R15" s="514"/>
      <c r="S15" s="91"/>
      <c r="T15" s="289" t="str">
        <f>HLOOKUP($B$5,Region_Table,5,0)</f>
        <v>Inactive Level 2(N54)</v>
      </c>
      <c r="U15" s="517" t="s">
        <v>1092</v>
      </c>
      <c r="V15" s="518"/>
      <c r="W15" s="518"/>
      <c r="X15" s="518"/>
      <c r="Y15" s="518"/>
      <c r="Z15" s="518"/>
      <c r="AA15" s="518"/>
      <c r="AB15" s="518"/>
      <c r="AC15" s="518"/>
      <c r="AD15" s="518"/>
      <c r="AE15" s="518"/>
      <c r="AF15" s="518"/>
      <c r="AG15" s="519"/>
      <c r="AH15" s="512">
        <f>SUMIF('caseload data'!$C:$C,'divisional &amp; regional caseload'!T15,'caseload data'!V:V)</f>
        <v>0</v>
      </c>
      <c r="AI15" s="513"/>
      <c r="AJ15" s="514"/>
    </row>
    <row r="16" spans="1:41" x14ac:dyDescent="0.15">
      <c r="B16" s="95" t="s">
        <v>1000</v>
      </c>
      <c r="C16" s="38" t="s">
        <v>864</v>
      </c>
      <c r="D16" s="38" t="s">
        <v>865</v>
      </c>
      <c r="E16" s="38" t="s">
        <v>866</v>
      </c>
      <c r="F16" s="38" t="s">
        <v>867</v>
      </c>
      <c r="G16" s="38" t="s">
        <v>868</v>
      </c>
      <c r="H16" s="38" t="s">
        <v>869</v>
      </c>
      <c r="I16" s="38" t="s">
        <v>870</v>
      </c>
      <c r="J16" s="38" t="s">
        <v>871</v>
      </c>
      <c r="K16" s="38" t="s">
        <v>872</v>
      </c>
      <c r="L16" s="38" t="s">
        <v>873</v>
      </c>
      <c r="M16" s="38" t="s">
        <v>874</v>
      </c>
      <c r="N16" s="38" t="s">
        <v>875</v>
      </c>
      <c r="O16" s="38" t="s">
        <v>876</v>
      </c>
      <c r="P16" s="38" t="s">
        <v>877</v>
      </c>
      <c r="Q16" s="38" t="s">
        <v>878</v>
      </c>
      <c r="R16" s="38" t="s">
        <v>879</v>
      </c>
      <c r="S16" s="91"/>
      <c r="T16" s="95" t="s">
        <v>1000</v>
      </c>
      <c r="U16" s="38" t="s">
        <v>864</v>
      </c>
      <c r="V16" s="38" t="s">
        <v>865</v>
      </c>
      <c r="W16" s="38" t="s">
        <v>866</v>
      </c>
      <c r="X16" s="38" t="s">
        <v>867</v>
      </c>
      <c r="Y16" s="38" t="s">
        <v>868</v>
      </c>
      <c r="Z16" s="38" t="s">
        <v>869</v>
      </c>
      <c r="AA16" s="38" t="s">
        <v>870</v>
      </c>
      <c r="AB16" s="38" t="s">
        <v>871</v>
      </c>
      <c r="AC16" s="38" t="s">
        <v>872</v>
      </c>
      <c r="AD16" s="38" t="s">
        <v>873</v>
      </c>
      <c r="AE16" s="38" t="s">
        <v>874</v>
      </c>
      <c r="AF16" s="38" t="s">
        <v>875</v>
      </c>
      <c r="AG16" s="38" t="s">
        <v>876</v>
      </c>
      <c r="AH16" s="38" t="s">
        <v>877</v>
      </c>
      <c r="AI16" s="38" t="s">
        <v>878</v>
      </c>
      <c r="AJ16" s="38" t="s">
        <v>879</v>
      </c>
    </row>
    <row r="17" spans="2:36" x14ac:dyDescent="0.15">
      <c r="B17" s="96" t="s">
        <v>997</v>
      </c>
      <c r="C17" s="94">
        <f>SUMIFS('caseload data'!E:E,'caseload data'!$D:$D,"PO",'caseload data'!$C:$C,'divisional &amp; regional caseload'!$B$15)</f>
        <v>0</v>
      </c>
      <c r="D17" s="94">
        <f>SUMIFS('caseload data'!F:F,'caseload data'!$D:$D,"PO",'caseload data'!$C:$C,'divisional &amp; regional caseload'!$B$15)</f>
        <v>0</v>
      </c>
      <c r="E17" s="94">
        <f>SUMIFS('caseload data'!G:G,'caseload data'!$D:$D,"PO",'caseload data'!$C:$C,'divisional &amp; regional caseload'!$B$15)</f>
        <v>0</v>
      </c>
      <c r="F17" s="94">
        <f>SUMIFS('caseload data'!H:H,'caseload data'!$D:$D,"PO",'caseload data'!$C:$C,'divisional &amp; regional caseload'!$B$15)</f>
        <v>0</v>
      </c>
      <c r="G17" s="94">
        <f>SUMIFS('caseload data'!I:I,'caseload data'!$D:$D,"PO",'caseload data'!$C:$C,'divisional &amp; regional caseload'!$B$15)</f>
        <v>0</v>
      </c>
      <c r="H17" s="94">
        <f>SUMIFS('caseload data'!J:J,'caseload data'!$D:$D,"PO",'caseload data'!$C:$C,'divisional &amp; regional caseload'!$B$15)</f>
        <v>0</v>
      </c>
      <c r="I17" s="94">
        <f>SUMIFS('caseload data'!K:K,'caseload data'!$D:$D,"PO",'caseload data'!$C:$C,'divisional &amp; regional caseload'!$B$15)</f>
        <v>0</v>
      </c>
      <c r="J17" s="94">
        <f>SUMIFS('caseload data'!L:L,'caseload data'!$D:$D,"PO",'caseload data'!$C:$C,'divisional &amp; regional caseload'!$B$15)</f>
        <v>0</v>
      </c>
      <c r="K17" s="94">
        <f>SUMIFS('caseload data'!M:M,'caseload data'!$D:$D,"PO",'caseload data'!$C:$C,'divisional &amp; regional caseload'!$B$15)</f>
        <v>0</v>
      </c>
      <c r="L17" s="94">
        <f>SUMIFS('caseload data'!N:N,'caseload data'!$D:$D,"PO",'caseload data'!$C:$C,'divisional &amp; regional caseload'!$B$15)</f>
        <v>0</v>
      </c>
      <c r="M17" s="94">
        <f>SUMIFS('caseload data'!O:O,'caseload data'!$D:$D,"PO",'caseload data'!$C:$C,'divisional &amp; regional caseload'!$B$15)</f>
        <v>0</v>
      </c>
      <c r="N17" s="94">
        <f>SUMIFS('caseload data'!P:P,'caseload data'!$D:$D,"PO",'caseload data'!$C:$C,'divisional &amp; regional caseload'!$B$15)</f>
        <v>0</v>
      </c>
      <c r="O17" s="94">
        <f>SUMIFS('caseload data'!Q:Q,'caseload data'!$D:$D,"PO",'caseload data'!$C:$C,'divisional &amp; regional caseload'!$B$15)</f>
        <v>0</v>
      </c>
      <c r="P17" s="94">
        <f>SUMIFS('caseload data'!R:R,'caseload data'!$D:$D,"PO",'caseload data'!$C:$C,'divisional &amp; regional caseload'!$B$15)</f>
        <v>0</v>
      </c>
      <c r="Q17" s="94">
        <f>SUMIFS('caseload data'!S:S,'caseload data'!$D:$D,"PO",'caseload data'!$C:$C,'divisional &amp; regional caseload'!$B$15)</f>
        <v>0</v>
      </c>
      <c r="R17" s="94">
        <f>SUMIFS('caseload data'!T:T,'caseload data'!$D:$D,"PO",'caseload data'!$C:$C,'divisional &amp; regional caseload'!$B$15)</f>
        <v>0</v>
      </c>
      <c r="S17" s="91"/>
      <c r="T17" s="96" t="s">
        <v>997</v>
      </c>
      <c r="U17" s="94">
        <f>SUMIFS('caseload data'!E:E,'caseload data'!$D:$D,"PO",'caseload data'!$C:$C,'divisional &amp; regional caseload'!$T$15)</f>
        <v>0</v>
      </c>
      <c r="V17" s="94">
        <f>SUMIFS('caseload data'!F:F,'caseload data'!$D:$D,"PO",'caseload data'!$C:$C,'divisional &amp; regional caseload'!$T$15)</f>
        <v>0</v>
      </c>
      <c r="W17" s="94">
        <f>SUMIFS('caseload data'!G:G,'caseload data'!$D:$D,"PO",'caseload data'!$C:$C,'divisional &amp; regional caseload'!$T$15)</f>
        <v>0</v>
      </c>
      <c r="X17" s="94">
        <f>SUMIFS('caseload data'!H:H,'caseload data'!$D:$D,"PO",'caseload data'!$C:$C,'divisional &amp; regional caseload'!$T$15)</f>
        <v>0</v>
      </c>
      <c r="Y17" s="94">
        <f>SUMIFS('caseload data'!I:I,'caseload data'!$D:$D,"PO",'caseload data'!$C:$C,'divisional &amp; regional caseload'!$T$15)</f>
        <v>0</v>
      </c>
      <c r="Z17" s="94">
        <f>SUMIFS('caseload data'!J:J,'caseload data'!$D:$D,"PO",'caseload data'!$C:$C,'divisional &amp; regional caseload'!$T$15)</f>
        <v>0</v>
      </c>
      <c r="AA17" s="94">
        <f>SUMIFS('caseload data'!K:K,'caseload data'!$D:$D,"PO",'caseload data'!$C:$C,'divisional &amp; regional caseload'!$T$15)</f>
        <v>0</v>
      </c>
      <c r="AB17" s="94">
        <f>SUMIFS('caseload data'!L:L,'caseload data'!$D:$D,"PO",'caseload data'!$C:$C,'divisional &amp; regional caseload'!$T$15)</f>
        <v>0</v>
      </c>
      <c r="AC17" s="94">
        <f>SUMIFS('caseload data'!M:M,'caseload data'!$D:$D,"PO",'caseload data'!$C:$C,'divisional &amp; regional caseload'!$T$15)</f>
        <v>0</v>
      </c>
      <c r="AD17" s="94">
        <f>SUMIFS('caseload data'!N:N,'caseload data'!$D:$D,"PO",'caseload data'!$C:$C,'divisional &amp; regional caseload'!$T$15)</f>
        <v>0</v>
      </c>
      <c r="AE17" s="94">
        <f>SUMIFS('caseload data'!O:O,'caseload data'!$D:$D,"PO",'caseload data'!$C:$C,'divisional &amp; regional caseload'!$T$15)</f>
        <v>0</v>
      </c>
      <c r="AF17" s="94">
        <f>SUMIFS('caseload data'!P:P,'caseload data'!$D:$D,"PO",'caseload data'!$C:$C,'divisional &amp; regional caseload'!$T$15)</f>
        <v>0</v>
      </c>
      <c r="AG17" s="94">
        <f>SUMIFS('caseload data'!Q:Q,'caseload data'!$D:$D,"PO",'caseload data'!$C:$C,'divisional &amp; regional caseload'!$T$15)</f>
        <v>0</v>
      </c>
      <c r="AH17" s="94">
        <f>SUMIFS('caseload data'!R:R,'caseload data'!$D:$D,"PO",'caseload data'!$C:$C,'divisional &amp; regional caseload'!$T$15)</f>
        <v>0</v>
      </c>
      <c r="AI17" s="94">
        <f>SUMIFS('caseload data'!S:S,'caseload data'!$D:$D,"PO",'caseload data'!$C:$C,'divisional &amp; regional caseload'!$T$15)</f>
        <v>0</v>
      </c>
      <c r="AJ17" s="94">
        <f>SUMIFS('caseload data'!T:T,'caseload data'!$D:$D,"PO",'caseload data'!$C:$C,'divisional &amp; regional caseload'!$T$15)</f>
        <v>0</v>
      </c>
    </row>
    <row r="18" spans="2:36" x14ac:dyDescent="0.15">
      <c r="B18" s="97" t="s">
        <v>1002</v>
      </c>
      <c r="C18" s="94">
        <f>SUMIFS('caseload data'!E:E,'caseload data'!$D:$D,"PSO",'caseload data'!$C:$C,'divisional &amp; regional caseload'!$B$15)</f>
        <v>0</v>
      </c>
      <c r="D18" s="94">
        <f>SUMIFS('caseload data'!F:F,'caseload data'!$D:$D,"PSO",'caseload data'!$C:$C,'divisional &amp; regional caseload'!$B$15)</f>
        <v>0</v>
      </c>
      <c r="E18" s="94">
        <f>SUMIFS('caseload data'!G:G,'caseload data'!$D:$D,"PSO",'caseload data'!$C:$C,'divisional &amp; regional caseload'!$B$15)</f>
        <v>0</v>
      </c>
      <c r="F18" s="94">
        <f>SUMIFS('caseload data'!H:H,'caseload data'!$D:$D,"PSO",'caseload data'!$C:$C,'divisional &amp; regional caseload'!$B$15)</f>
        <v>0</v>
      </c>
      <c r="G18" s="94">
        <f>SUMIFS('caseload data'!I:I,'caseload data'!$D:$D,"PSO",'caseload data'!$C:$C,'divisional &amp; regional caseload'!$B$15)</f>
        <v>0</v>
      </c>
      <c r="H18" s="94">
        <f>SUMIFS('caseload data'!J:J,'caseload data'!$D:$D,"PSO",'caseload data'!$C:$C,'divisional &amp; regional caseload'!$B$15)</f>
        <v>0</v>
      </c>
      <c r="I18" s="94">
        <f>SUMIFS('caseload data'!K:K,'caseload data'!$D:$D,"PSO",'caseload data'!$C:$C,'divisional &amp; regional caseload'!$B$15)</f>
        <v>0</v>
      </c>
      <c r="J18" s="94">
        <f>SUMIFS('caseload data'!L:L,'caseload data'!$D:$D,"PSO",'caseload data'!$C:$C,'divisional &amp; regional caseload'!$B$15)</f>
        <v>0</v>
      </c>
      <c r="K18" s="94">
        <f>SUMIFS('caseload data'!M:M,'caseload data'!$D:$D,"PSO",'caseload data'!$C:$C,'divisional &amp; regional caseload'!$B$15)</f>
        <v>0</v>
      </c>
      <c r="L18" s="94">
        <f>SUMIFS('caseload data'!N:N,'caseload data'!$D:$D,"PSO",'caseload data'!$C:$C,'divisional &amp; regional caseload'!$B$15)</f>
        <v>0</v>
      </c>
      <c r="M18" s="94">
        <f>SUMIFS('caseload data'!O:O,'caseload data'!$D:$D,"PSO",'caseload data'!$C:$C,'divisional &amp; regional caseload'!$B$15)</f>
        <v>0</v>
      </c>
      <c r="N18" s="94">
        <f>SUMIFS('caseload data'!P:P,'caseload data'!$D:$D,"PSO",'caseload data'!$C:$C,'divisional &amp; regional caseload'!$B$15)</f>
        <v>0</v>
      </c>
      <c r="O18" s="94">
        <f>SUMIFS('caseload data'!Q:Q,'caseload data'!$D:$D,"PSO",'caseload data'!$C:$C,'divisional &amp; regional caseload'!$B$15)</f>
        <v>0</v>
      </c>
      <c r="P18" s="94">
        <f>SUMIFS('caseload data'!R:R,'caseload data'!$D:$D,"PSO",'caseload data'!$C:$C,'divisional &amp; regional caseload'!$B$15)</f>
        <v>0</v>
      </c>
      <c r="Q18" s="94">
        <f>SUMIFS('caseload data'!S:S,'caseload data'!$D:$D,"PSO",'caseload data'!$C:$C,'divisional &amp; regional caseload'!$B$15)</f>
        <v>0</v>
      </c>
      <c r="R18" s="94">
        <f>SUMIFS('caseload data'!T:T,'caseload data'!$D:$D,"PSO",'caseload data'!$C:$C,'divisional &amp; regional caseload'!$B$15)</f>
        <v>0</v>
      </c>
      <c r="S18" s="91"/>
      <c r="T18" s="97" t="s">
        <v>1002</v>
      </c>
      <c r="U18" s="94">
        <f>SUMIFS('caseload data'!E:E,'caseload data'!$D:$D,"PSO",'caseload data'!$C:$C,'divisional &amp; regional caseload'!$T$15)</f>
        <v>0</v>
      </c>
      <c r="V18" s="94">
        <f>SUMIFS('caseload data'!F:F,'caseload data'!$D:$D,"PSO",'caseload data'!$C:$C,'divisional &amp; regional caseload'!$T$15)</f>
        <v>0</v>
      </c>
      <c r="W18" s="94">
        <f>SUMIFS('caseload data'!G:G,'caseload data'!$D:$D,"PSO",'caseload data'!$C:$C,'divisional &amp; regional caseload'!$T$15)</f>
        <v>0</v>
      </c>
      <c r="X18" s="94">
        <f>SUMIFS('caseload data'!H:H,'caseload data'!$D:$D,"PSO",'caseload data'!$C:$C,'divisional &amp; regional caseload'!$T$15)</f>
        <v>0</v>
      </c>
      <c r="Y18" s="94">
        <f>SUMIFS('caseload data'!I:I,'caseload data'!$D:$D,"PSO",'caseload data'!$C:$C,'divisional &amp; regional caseload'!$T$15)</f>
        <v>0</v>
      </c>
      <c r="Z18" s="94">
        <f>SUMIFS('caseload data'!J:J,'caseload data'!$D:$D,"PSO",'caseload data'!$C:$C,'divisional &amp; regional caseload'!$T$15)</f>
        <v>0</v>
      </c>
      <c r="AA18" s="94">
        <f>SUMIFS('caseload data'!K:K,'caseload data'!$D:$D,"PSO",'caseload data'!$C:$C,'divisional &amp; regional caseload'!$T$15)</f>
        <v>0</v>
      </c>
      <c r="AB18" s="94">
        <f>SUMIFS('caseload data'!L:L,'caseload data'!$D:$D,"PSO",'caseload data'!$C:$C,'divisional &amp; regional caseload'!$T$15)</f>
        <v>0</v>
      </c>
      <c r="AC18" s="94">
        <f>SUMIFS('caseload data'!M:M,'caseload data'!$D:$D,"PSO",'caseload data'!$C:$C,'divisional &amp; regional caseload'!$T$15)</f>
        <v>0</v>
      </c>
      <c r="AD18" s="94">
        <f>SUMIFS('caseload data'!N:N,'caseload data'!$D:$D,"PSO",'caseload data'!$C:$C,'divisional &amp; regional caseload'!$T$15)</f>
        <v>0</v>
      </c>
      <c r="AE18" s="94">
        <f>SUMIFS('caseload data'!O:O,'caseload data'!$D:$D,"PSO",'caseload data'!$C:$C,'divisional &amp; regional caseload'!$T$15)</f>
        <v>0</v>
      </c>
      <c r="AF18" s="94">
        <f>SUMIFS('caseload data'!P:P,'caseload data'!$D:$D,"PSO",'caseload data'!$C:$C,'divisional &amp; regional caseload'!$T$15)</f>
        <v>0</v>
      </c>
      <c r="AG18" s="94">
        <f>SUMIFS('caseload data'!Q:Q,'caseload data'!$D:$D,"PSO",'caseload data'!$C:$C,'divisional &amp; regional caseload'!$T$15)</f>
        <v>0</v>
      </c>
      <c r="AH18" s="94">
        <f>SUMIFS('caseload data'!R:R,'caseload data'!$D:$D,"PSO",'caseload data'!$C:$C,'divisional &amp; regional caseload'!$T$15)</f>
        <v>0</v>
      </c>
      <c r="AI18" s="94">
        <f>SUMIFS('caseload data'!S:S,'caseload data'!$D:$D,"PSO",'caseload data'!$C:$C,'divisional &amp; regional caseload'!$T$15)</f>
        <v>0</v>
      </c>
      <c r="AJ18" s="94">
        <f>SUMIFS('caseload data'!T:T,'caseload data'!$D:$D,"PSO",'caseload data'!$C:$C,'divisional &amp; regional caseload'!$T$15)</f>
        <v>0</v>
      </c>
    </row>
    <row r="19" spans="2:36" x14ac:dyDescent="0.15">
      <c r="B19" s="97" t="s">
        <v>1003</v>
      </c>
      <c r="C19" s="94">
        <f>SUMIFS('caseload data'!E:E,'caseload data'!$D:$D,"TPO",'caseload data'!$C:$C,'divisional &amp; regional caseload'!$B$15)</f>
        <v>0</v>
      </c>
      <c r="D19" s="94">
        <f>SUMIFS('caseload data'!F:F,'caseload data'!$D:$D,"TPO",'caseload data'!$C:$C,'divisional &amp; regional caseload'!$B$15)</f>
        <v>0</v>
      </c>
      <c r="E19" s="94">
        <f>SUMIFS('caseload data'!G:G,'caseload data'!$D:$D,"TPO",'caseload data'!$C:$C,'divisional &amp; regional caseload'!$B$15)</f>
        <v>0</v>
      </c>
      <c r="F19" s="94">
        <f>SUMIFS('caseload data'!H:H,'caseload data'!$D:$D,"TPO",'caseload data'!$C:$C,'divisional &amp; regional caseload'!$B$15)</f>
        <v>0</v>
      </c>
      <c r="G19" s="94">
        <f>SUMIFS('caseload data'!I:I,'caseload data'!$D:$D,"TPO",'caseload data'!$C:$C,'divisional &amp; regional caseload'!$B$15)</f>
        <v>0</v>
      </c>
      <c r="H19" s="94">
        <f>SUMIFS('caseload data'!J:J,'caseload data'!$D:$D,"TPO",'caseload data'!$C:$C,'divisional &amp; regional caseload'!$B$15)</f>
        <v>0</v>
      </c>
      <c r="I19" s="94">
        <f>SUMIFS('caseload data'!K:K,'caseload data'!$D:$D,"TPO",'caseload data'!$C:$C,'divisional &amp; regional caseload'!$B$15)</f>
        <v>0</v>
      </c>
      <c r="J19" s="94">
        <f>SUMIFS('caseload data'!L:L,'caseload data'!$D:$D,"TPO",'caseload data'!$C:$C,'divisional &amp; regional caseload'!$B$15)</f>
        <v>0</v>
      </c>
      <c r="K19" s="94">
        <f>SUMIFS('caseload data'!M:M,'caseload data'!$D:$D,"TPO",'caseload data'!$C:$C,'divisional &amp; regional caseload'!$B$15)</f>
        <v>0</v>
      </c>
      <c r="L19" s="94">
        <f>SUMIFS('caseload data'!N:N,'caseload data'!$D:$D,"TPO",'caseload data'!$C:$C,'divisional &amp; regional caseload'!$B$15)</f>
        <v>0</v>
      </c>
      <c r="M19" s="94">
        <f>SUMIFS('caseload data'!O:O,'caseload data'!$D:$D,"TPO",'caseload data'!$C:$C,'divisional &amp; regional caseload'!$B$15)</f>
        <v>0</v>
      </c>
      <c r="N19" s="94">
        <f>SUMIFS('caseload data'!P:P,'caseload data'!$D:$D,"TPO",'caseload data'!$C:$C,'divisional &amp; regional caseload'!$B$15)</f>
        <v>0</v>
      </c>
      <c r="O19" s="94">
        <f>SUMIFS('caseload data'!Q:Q,'caseload data'!$D:$D,"TPO",'caseload data'!$C:$C,'divisional &amp; regional caseload'!$B$15)</f>
        <v>0</v>
      </c>
      <c r="P19" s="94">
        <f>SUMIFS('caseload data'!R:R,'caseload data'!$D:$D,"TPO",'caseload data'!$C:$C,'divisional &amp; regional caseload'!$B$15)</f>
        <v>0</v>
      </c>
      <c r="Q19" s="94">
        <f>SUMIFS('caseload data'!S:S,'caseload data'!$D:$D,"TPO",'caseload data'!$C:$C,'divisional &amp; regional caseload'!$B$15)</f>
        <v>0</v>
      </c>
      <c r="R19" s="94">
        <f>SUMIFS('caseload data'!T:T,'caseload data'!$D:$D,"TPO",'caseload data'!$C:$C,'divisional &amp; regional caseload'!$B$15)</f>
        <v>0</v>
      </c>
      <c r="S19" s="91"/>
      <c r="T19" s="97" t="s">
        <v>1003</v>
      </c>
      <c r="U19" s="94">
        <f>SUMIFS('caseload data'!E:E,'caseload data'!$D:$D,"TPO",'caseload data'!$C:$C,'divisional &amp; regional caseload'!$T$15)</f>
        <v>0</v>
      </c>
      <c r="V19" s="94">
        <f>SUMIFS('caseload data'!F:F,'caseload data'!$D:$D,"TPO",'caseload data'!$C:$C,'divisional &amp; regional caseload'!$T$15)</f>
        <v>0</v>
      </c>
      <c r="W19" s="94">
        <f>SUMIFS('caseload data'!G:G,'caseload data'!$D:$D,"TPO",'caseload data'!$C:$C,'divisional &amp; regional caseload'!$T$15)</f>
        <v>0</v>
      </c>
      <c r="X19" s="94">
        <f>SUMIFS('caseload data'!H:H,'caseload data'!$D:$D,"TPO",'caseload data'!$C:$C,'divisional &amp; regional caseload'!$T$15)</f>
        <v>0</v>
      </c>
      <c r="Y19" s="94">
        <f>SUMIFS('caseload data'!I:I,'caseload data'!$D:$D,"TPO",'caseload data'!$C:$C,'divisional &amp; regional caseload'!$T$15)</f>
        <v>0</v>
      </c>
      <c r="Z19" s="94">
        <f>SUMIFS('caseload data'!J:J,'caseload data'!$D:$D,"TPO",'caseload data'!$C:$C,'divisional &amp; regional caseload'!$T$15)</f>
        <v>0</v>
      </c>
      <c r="AA19" s="94">
        <f>SUMIFS('caseload data'!K:K,'caseload data'!$D:$D,"TPO",'caseload data'!$C:$C,'divisional &amp; regional caseload'!$T$15)</f>
        <v>0</v>
      </c>
      <c r="AB19" s="94">
        <f>SUMIFS('caseload data'!L:L,'caseload data'!$D:$D,"TPO",'caseload data'!$C:$C,'divisional &amp; regional caseload'!$T$15)</f>
        <v>0</v>
      </c>
      <c r="AC19" s="94">
        <f>SUMIFS('caseload data'!M:M,'caseload data'!$D:$D,"TPO",'caseload data'!$C:$C,'divisional &amp; regional caseload'!$T$15)</f>
        <v>0</v>
      </c>
      <c r="AD19" s="94">
        <f>SUMIFS('caseload data'!N:N,'caseload data'!$D:$D,"TPO",'caseload data'!$C:$C,'divisional &amp; regional caseload'!$T$15)</f>
        <v>0</v>
      </c>
      <c r="AE19" s="94">
        <f>SUMIFS('caseload data'!O:O,'caseload data'!$D:$D,"TPO",'caseload data'!$C:$C,'divisional &amp; regional caseload'!$T$15)</f>
        <v>0</v>
      </c>
      <c r="AF19" s="94">
        <f>SUMIFS('caseload data'!P:P,'caseload data'!$D:$D,"TPO",'caseload data'!$C:$C,'divisional &amp; regional caseload'!$T$15)</f>
        <v>0</v>
      </c>
      <c r="AG19" s="94">
        <f>SUMIFS('caseload data'!Q:Q,'caseload data'!$D:$D,"TPO",'caseload data'!$C:$C,'divisional &amp; regional caseload'!$T$15)</f>
        <v>0</v>
      </c>
      <c r="AH19" s="94">
        <f>SUMIFS('caseload data'!R:R,'caseload data'!$D:$D,"TPO",'caseload data'!$C:$C,'divisional &amp; regional caseload'!$T$15)</f>
        <v>0</v>
      </c>
      <c r="AI19" s="94">
        <f>SUMIFS('caseload data'!S:S,'caseload data'!$D:$D,"TPO",'caseload data'!$C:$C,'divisional &amp; regional caseload'!$T$15)</f>
        <v>0</v>
      </c>
      <c r="AJ19" s="94">
        <f>SUMIFS('caseload data'!T:T,'caseload data'!$D:$D,"TPO",'caseload data'!$C:$C,'divisional &amp; regional caseload'!$T$15)</f>
        <v>0</v>
      </c>
    </row>
    <row r="20" spans="2:36" x14ac:dyDescent="0.15">
      <c r="B20" s="98" t="s">
        <v>1004</v>
      </c>
      <c r="C20" s="94">
        <f>SUMIFS('caseload data'!E:E,'caseload data'!$D:$D,"SPO",'caseload data'!$C:$C,'divisional &amp; regional caseload'!$B$15)</f>
        <v>0</v>
      </c>
      <c r="D20" s="94">
        <f>SUMIFS('caseload data'!F:F,'caseload data'!$D:$D,"SPO",'caseload data'!$C:$C,'divisional &amp; regional caseload'!$B$15)</f>
        <v>0</v>
      </c>
      <c r="E20" s="94">
        <f>SUMIFS('caseload data'!G:G,'caseload data'!$D:$D,"SPO",'caseload data'!$C:$C,'divisional &amp; regional caseload'!$B$15)</f>
        <v>0</v>
      </c>
      <c r="F20" s="94">
        <f>SUMIFS('caseload data'!H:H,'caseload data'!$D:$D,"SPO",'caseload data'!$C:$C,'divisional &amp; regional caseload'!$B$15)</f>
        <v>0</v>
      </c>
      <c r="G20" s="94">
        <f>SUMIFS('caseload data'!I:I,'caseload data'!$D:$D,"SPO",'caseload data'!$C:$C,'divisional &amp; regional caseload'!$B$15)</f>
        <v>0</v>
      </c>
      <c r="H20" s="94">
        <f>SUMIFS('caseload data'!J:J,'caseload data'!$D:$D,"SPO",'caseload data'!$C:$C,'divisional &amp; regional caseload'!$B$15)</f>
        <v>0</v>
      </c>
      <c r="I20" s="94">
        <f>SUMIFS('caseload data'!K:K,'caseload data'!$D:$D,"SPO",'caseload data'!$C:$C,'divisional &amp; regional caseload'!$B$15)</f>
        <v>0</v>
      </c>
      <c r="J20" s="94">
        <f>SUMIFS('caseload data'!L:L,'caseload data'!$D:$D,"SPO",'caseload data'!$C:$C,'divisional &amp; regional caseload'!$B$15)</f>
        <v>0</v>
      </c>
      <c r="K20" s="94">
        <f>SUMIFS('caseload data'!M:M,'caseload data'!$D:$D,"SPO",'caseload data'!$C:$C,'divisional &amp; regional caseload'!$B$15)</f>
        <v>0</v>
      </c>
      <c r="L20" s="94">
        <f>SUMIFS('caseload data'!N:N,'caseload data'!$D:$D,"SPO",'caseload data'!$C:$C,'divisional &amp; regional caseload'!$B$15)</f>
        <v>0</v>
      </c>
      <c r="M20" s="94">
        <f>SUMIFS('caseload data'!O:O,'caseload data'!$D:$D,"SPO",'caseload data'!$C:$C,'divisional &amp; regional caseload'!$B$15)</f>
        <v>0</v>
      </c>
      <c r="N20" s="94">
        <f>SUMIFS('caseload data'!P:P,'caseload data'!$D:$D,"SPO",'caseload data'!$C:$C,'divisional &amp; regional caseload'!$B$15)</f>
        <v>0</v>
      </c>
      <c r="O20" s="94">
        <f>SUMIFS('caseload data'!Q:Q,'caseload data'!$D:$D,"SPO",'caseload data'!$C:$C,'divisional &amp; regional caseload'!$B$15)</f>
        <v>0</v>
      </c>
      <c r="P20" s="94">
        <f>SUMIFS('caseload data'!R:R,'caseload data'!$D:$D,"SPO",'caseload data'!$C:$C,'divisional &amp; regional caseload'!$B$15)</f>
        <v>0</v>
      </c>
      <c r="Q20" s="94">
        <f>SUMIFS('caseload data'!S:S,'caseload data'!$D:$D,"SPO",'caseload data'!$C:$C,'divisional &amp; regional caseload'!$B$15)</f>
        <v>0</v>
      </c>
      <c r="R20" s="94">
        <f>SUMIFS('caseload data'!T:T,'caseload data'!$D:$D,"SPO",'caseload data'!$C:$C,'divisional &amp; regional caseload'!$B$15)</f>
        <v>0</v>
      </c>
      <c r="S20" s="91"/>
      <c r="T20" s="98" t="s">
        <v>1004</v>
      </c>
      <c r="U20" s="94">
        <f>SUMIFS('caseload data'!E:E,'caseload data'!$D:$D,"SPO",'caseload data'!$C:$C,'divisional &amp; regional caseload'!$T$15)</f>
        <v>0</v>
      </c>
      <c r="V20" s="94">
        <f>SUMIFS('caseload data'!F:F,'caseload data'!$D:$D,"SPO",'caseload data'!$C:$C,'divisional &amp; regional caseload'!$T$15)</f>
        <v>0</v>
      </c>
      <c r="W20" s="94">
        <f>SUMIFS('caseload data'!G:G,'caseload data'!$D:$D,"SPO",'caseload data'!$C:$C,'divisional &amp; regional caseload'!$T$15)</f>
        <v>0</v>
      </c>
      <c r="X20" s="94">
        <f>SUMIFS('caseload data'!H:H,'caseload data'!$D:$D,"SPO",'caseload data'!$C:$C,'divisional &amp; regional caseload'!$T$15)</f>
        <v>0</v>
      </c>
      <c r="Y20" s="94">
        <f>SUMIFS('caseload data'!I:I,'caseload data'!$D:$D,"SPO",'caseload data'!$C:$C,'divisional &amp; regional caseload'!$T$15)</f>
        <v>0</v>
      </c>
      <c r="Z20" s="94">
        <f>SUMIFS('caseload data'!J:J,'caseload data'!$D:$D,"SPO",'caseload data'!$C:$C,'divisional &amp; regional caseload'!$T$15)</f>
        <v>0</v>
      </c>
      <c r="AA20" s="94">
        <f>SUMIFS('caseload data'!K:K,'caseload data'!$D:$D,"SPO",'caseload data'!$C:$C,'divisional &amp; regional caseload'!$T$15)</f>
        <v>0</v>
      </c>
      <c r="AB20" s="94">
        <f>SUMIFS('caseload data'!L:L,'caseload data'!$D:$D,"SPO",'caseload data'!$C:$C,'divisional &amp; regional caseload'!$T$15)</f>
        <v>0</v>
      </c>
      <c r="AC20" s="94">
        <f>SUMIFS('caseload data'!M:M,'caseload data'!$D:$D,"SPO",'caseload data'!$C:$C,'divisional &amp; regional caseload'!$T$15)</f>
        <v>0</v>
      </c>
      <c r="AD20" s="94">
        <f>SUMIFS('caseload data'!N:N,'caseload data'!$D:$D,"SPO",'caseload data'!$C:$C,'divisional &amp; regional caseload'!$T$15)</f>
        <v>0</v>
      </c>
      <c r="AE20" s="94">
        <f>SUMIFS('caseload data'!O:O,'caseload data'!$D:$D,"SPO",'caseload data'!$C:$C,'divisional &amp; regional caseload'!$T$15)</f>
        <v>0</v>
      </c>
      <c r="AF20" s="94">
        <f>SUMIFS('caseload data'!P:P,'caseload data'!$D:$D,"SPO",'caseload data'!$C:$C,'divisional &amp; regional caseload'!$T$15)</f>
        <v>0</v>
      </c>
      <c r="AG20" s="94">
        <f>SUMIFS('caseload data'!Q:Q,'caseload data'!$D:$D,"SPO",'caseload data'!$C:$C,'divisional &amp; regional caseload'!$T$15)</f>
        <v>0</v>
      </c>
      <c r="AH20" s="94">
        <f>SUMIFS('caseload data'!R:R,'caseload data'!$D:$D,"SPO",'caseload data'!$C:$C,'divisional &amp; regional caseload'!$T$15)</f>
        <v>0</v>
      </c>
      <c r="AI20" s="94">
        <f>SUMIFS('caseload data'!S:S,'caseload data'!$D:$D,"SPO",'caseload data'!$C:$C,'divisional &amp; regional caseload'!$T$15)</f>
        <v>0</v>
      </c>
      <c r="AJ20" s="94">
        <f>SUMIFS('caseload data'!T:T,'caseload data'!$D:$D,"SPO",'caseload data'!$C:$C,'divisional &amp; regional caseload'!$T$15)</f>
        <v>0</v>
      </c>
    </row>
    <row r="21" spans="2:36" x14ac:dyDescent="0.15">
      <c r="B21" s="91"/>
      <c r="C21" s="91"/>
      <c r="D21" s="91"/>
      <c r="E21" s="91"/>
      <c r="F21" s="91"/>
      <c r="G21" s="91"/>
      <c r="H21" s="91"/>
      <c r="I21" s="91"/>
      <c r="J21" s="91"/>
      <c r="K21" s="91"/>
      <c r="L21" s="91"/>
      <c r="M21" s="91"/>
      <c r="N21" s="91"/>
      <c r="O21" s="91"/>
      <c r="P21" s="91"/>
      <c r="Q21" s="91"/>
      <c r="R21" s="91"/>
      <c r="S21" s="91"/>
      <c r="T21" s="91"/>
      <c r="U21" s="91"/>
      <c r="V21" s="91"/>
      <c r="W21" s="91"/>
      <c r="X21" s="91"/>
      <c r="Y21" s="91"/>
      <c r="Z21" s="91"/>
      <c r="AA21" s="91"/>
    </row>
    <row r="22" spans="2:36" ht="30.75" customHeight="1" x14ac:dyDescent="0.15">
      <c r="B22" s="289" t="str">
        <f>HLOOKUP($B$5,Region_Table,6,0)</f>
        <v>Newcastle Upon Tyne - N54</v>
      </c>
      <c r="C22" s="517" t="s">
        <v>1092</v>
      </c>
      <c r="D22" s="518"/>
      <c r="E22" s="518"/>
      <c r="F22" s="518"/>
      <c r="G22" s="518"/>
      <c r="H22" s="518"/>
      <c r="I22" s="518"/>
      <c r="J22" s="518"/>
      <c r="K22" s="518"/>
      <c r="L22" s="518"/>
      <c r="M22" s="522"/>
      <c r="N22" s="522"/>
      <c r="O22" s="523"/>
      <c r="P22" s="512">
        <f>SUMIF('caseload data'!$C:$C,'divisional &amp; regional caseload'!B22,'caseload data'!V:V)</f>
        <v>0</v>
      </c>
      <c r="Q22" s="513"/>
      <c r="R22" s="514"/>
      <c r="S22" s="91"/>
      <c r="T22" s="289" t="str">
        <f>HLOOKUP($B$5,Region_Table,7,0)</f>
        <v>North Tyneside and Northumberland</v>
      </c>
      <c r="U22" s="517" t="s">
        <v>1092</v>
      </c>
      <c r="V22" s="518"/>
      <c r="W22" s="518"/>
      <c r="X22" s="518"/>
      <c r="Y22" s="518"/>
      <c r="Z22" s="518"/>
      <c r="AA22" s="518"/>
      <c r="AB22" s="518"/>
      <c r="AC22" s="518"/>
      <c r="AD22" s="518"/>
      <c r="AE22" s="518"/>
      <c r="AF22" s="518"/>
      <c r="AG22" s="519"/>
      <c r="AH22" s="512">
        <f>SUMIF('caseload data'!$C:$C,'divisional &amp; regional caseload'!T22,'caseload data'!V:V)</f>
        <v>0</v>
      </c>
      <c r="AI22" s="513"/>
      <c r="AJ22" s="514"/>
    </row>
    <row r="23" spans="2:36" x14ac:dyDescent="0.15">
      <c r="B23" s="95" t="s">
        <v>1000</v>
      </c>
      <c r="C23" s="38" t="s">
        <v>864</v>
      </c>
      <c r="D23" s="38" t="s">
        <v>865</v>
      </c>
      <c r="E23" s="38" t="s">
        <v>866</v>
      </c>
      <c r="F23" s="38" t="s">
        <v>867</v>
      </c>
      <c r="G23" s="38" t="s">
        <v>868</v>
      </c>
      <c r="H23" s="38" t="s">
        <v>869</v>
      </c>
      <c r="I23" s="38" t="s">
        <v>870</v>
      </c>
      <c r="J23" s="38" t="s">
        <v>871</v>
      </c>
      <c r="K23" s="38" t="s">
        <v>872</v>
      </c>
      <c r="L23" s="38" t="s">
        <v>873</v>
      </c>
      <c r="M23" s="38" t="s">
        <v>874</v>
      </c>
      <c r="N23" s="38" t="s">
        <v>875</v>
      </c>
      <c r="O23" s="38" t="s">
        <v>876</v>
      </c>
      <c r="P23" s="38" t="s">
        <v>877</v>
      </c>
      <c r="Q23" s="38" t="s">
        <v>878</v>
      </c>
      <c r="R23" s="38" t="s">
        <v>879</v>
      </c>
      <c r="S23" s="91"/>
      <c r="T23" s="95" t="s">
        <v>1000</v>
      </c>
      <c r="U23" s="38" t="s">
        <v>864</v>
      </c>
      <c r="V23" s="38" t="s">
        <v>865</v>
      </c>
      <c r="W23" s="38" t="s">
        <v>866</v>
      </c>
      <c r="X23" s="38" t="s">
        <v>867</v>
      </c>
      <c r="Y23" s="38" t="s">
        <v>868</v>
      </c>
      <c r="Z23" s="38" t="s">
        <v>869</v>
      </c>
      <c r="AA23" s="38" t="s">
        <v>870</v>
      </c>
      <c r="AB23" s="38" t="s">
        <v>871</v>
      </c>
      <c r="AC23" s="38" t="s">
        <v>872</v>
      </c>
      <c r="AD23" s="38" t="s">
        <v>873</v>
      </c>
      <c r="AE23" s="38" t="s">
        <v>874</v>
      </c>
      <c r="AF23" s="38" t="s">
        <v>875</v>
      </c>
      <c r="AG23" s="38" t="s">
        <v>876</v>
      </c>
      <c r="AH23" s="38" t="s">
        <v>877</v>
      </c>
      <c r="AI23" s="38" t="s">
        <v>878</v>
      </c>
      <c r="AJ23" s="38" t="s">
        <v>879</v>
      </c>
    </row>
    <row r="24" spans="2:36" x14ac:dyDescent="0.15">
      <c r="B24" s="96" t="s">
        <v>997</v>
      </c>
      <c r="C24" s="94">
        <f>SUMIFS('caseload data'!E:E,'caseload data'!$D:$D,"PO",'caseload data'!$C:$C,'divisional &amp; regional caseload'!$B$22)</f>
        <v>0</v>
      </c>
      <c r="D24" s="94">
        <f>SUMIFS('caseload data'!F:F,'caseload data'!$D:$D,"PO",'caseload data'!$C:$C,'divisional &amp; regional caseload'!$B$22)</f>
        <v>0</v>
      </c>
      <c r="E24" s="94">
        <f>SUMIFS('caseload data'!G:G,'caseload data'!$D:$D,"PO",'caseload data'!$C:$C,'divisional &amp; regional caseload'!$B$22)</f>
        <v>0</v>
      </c>
      <c r="F24" s="94">
        <f>SUMIFS('caseload data'!H:H,'caseload data'!$D:$D,"PO",'caseload data'!$C:$C,'divisional &amp; regional caseload'!$B$22)</f>
        <v>0</v>
      </c>
      <c r="G24" s="94">
        <f>SUMIFS('caseload data'!I:I,'caseload data'!$D:$D,"PO",'caseload data'!$C:$C,'divisional &amp; regional caseload'!$B$22)</f>
        <v>0</v>
      </c>
      <c r="H24" s="94">
        <f>SUMIFS('caseload data'!J:J,'caseload data'!$D:$D,"PO",'caseload data'!$C:$C,'divisional &amp; regional caseload'!$B$22)</f>
        <v>0</v>
      </c>
      <c r="I24" s="94">
        <f>SUMIFS('caseload data'!K:K,'caseload data'!$D:$D,"PO",'caseload data'!$C:$C,'divisional &amp; regional caseload'!$B$22)</f>
        <v>0</v>
      </c>
      <c r="J24" s="94">
        <f>SUMIFS('caseload data'!L:L,'caseload data'!$D:$D,"PO",'caseload data'!$C:$C,'divisional &amp; regional caseload'!$B$22)</f>
        <v>0</v>
      </c>
      <c r="K24" s="94">
        <f>SUMIFS('caseload data'!M:M,'caseload data'!$D:$D,"PO",'caseload data'!$C:$C,'divisional &amp; regional caseload'!$B$22)</f>
        <v>0</v>
      </c>
      <c r="L24" s="94">
        <f>SUMIFS('caseload data'!N:N,'caseload data'!$D:$D,"PO",'caseload data'!$C:$C,'divisional &amp; regional caseload'!$B$22)</f>
        <v>0</v>
      </c>
      <c r="M24" s="94">
        <f>SUMIFS('caseload data'!O:O,'caseload data'!$D:$D,"PO",'caseload data'!$C:$C,'divisional &amp; regional caseload'!$B$22)</f>
        <v>0</v>
      </c>
      <c r="N24" s="94">
        <f>SUMIFS('caseload data'!P:P,'caseload data'!$D:$D,"PO",'caseload data'!$C:$C,'divisional &amp; regional caseload'!$B$22)</f>
        <v>0</v>
      </c>
      <c r="O24" s="94">
        <f>SUMIFS('caseload data'!Q:Q,'caseload data'!$D:$D,"PO",'caseload data'!$C:$C,'divisional &amp; regional caseload'!$B$22)</f>
        <v>0</v>
      </c>
      <c r="P24" s="94">
        <f>SUMIFS('caseload data'!R:R,'caseload data'!$D:$D,"PO",'caseload data'!$C:$C,'divisional &amp; regional caseload'!$B$22)</f>
        <v>0</v>
      </c>
      <c r="Q24" s="94">
        <f>SUMIFS('caseload data'!S:S,'caseload data'!$D:$D,"PO",'caseload data'!$C:$C,'divisional &amp; regional caseload'!$B$22)</f>
        <v>0</v>
      </c>
      <c r="R24" s="94">
        <f>SUMIFS('caseload data'!T:T,'caseload data'!$D:$D,"PO",'caseload data'!$C:$C,'divisional &amp; regional caseload'!$B$22)</f>
        <v>0</v>
      </c>
      <c r="S24" s="91"/>
      <c r="T24" s="96" t="s">
        <v>997</v>
      </c>
      <c r="U24" s="94">
        <f>SUMIFS('caseload data'!E:E,'caseload data'!$D:$D,"PO",'caseload data'!$C:$C,'divisional &amp; regional caseload'!$T$22)</f>
        <v>0</v>
      </c>
      <c r="V24" s="94">
        <f>SUMIFS('caseload data'!F:F,'caseload data'!$D:$D,"PO",'caseload data'!$C:$C,'divisional &amp; regional caseload'!$T$22)</f>
        <v>0</v>
      </c>
      <c r="W24" s="94">
        <f>SUMIFS('caseload data'!G:G,'caseload data'!$D:$D,"PO",'caseload data'!$C:$C,'divisional &amp; regional caseload'!$T$22)</f>
        <v>0</v>
      </c>
      <c r="X24" s="94">
        <f>SUMIFS('caseload data'!H:H,'caseload data'!$D:$D,"PO",'caseload data'!$C:$C,'divisional &amp; regional caseload'!$T$22)</f>
        <v>0</v>
      </c>
      <c r="Y24" s="94">
        <f>SUMIFS('caseload data'!I:I,'caseload data'!$D:$D,"PO",'caseload data'!$C:$C,'divisional &amp; regional caseload'!$T$22)</f>
        <v>0</v>
      </c>
      <c r="Z24" s="94">
        <f>SUMIFS('caseload data'!J:J,'caseload data'!$D:$D,"PO",'caseload data'!$C:$C,'divisional &amp; regional caseload'!$T$22)</f>
        <v>0</v>
      </c>
      <c r="AA24" s="94">
        <f>SUMIFS('caseload data'!K:K,'caseload data'!$D:$D,"PO",'caseload data'!$C:$C,'divisional &amp; regional caseload'!$T$22)</f>
        <v>0</v>
      </c>
      <c r="AB24" s="94">
        <f>SUMIFS('caseload data'!L:L,'caseload data'!$D:$D,"PO",'caseload data'!$C:$C,'divisional &amp; regional caseload'!$T$22)</f>
        <v>0</v>
      </c>
      <c r="AC24" s="94">
        <f>SUMIFS('caseload data'!M:M,'caseload data'!$D:$D,"PO",'caseload data'!$C:$C,'divisional &amp; regional caseload'!$T$22)</f>
        <v>0</v>
      </c>
      <c r="AD24" s="94">
        <f>SUMIFS('caseload data'!N:N,'caseload data'!$D:$D,"PO",'caseload data'!$C:$C,'divisional &amp; regional caseload'!$T$22)</f>
        <v>0</v>
      </c>
      <c r="AE24" s="94">
        <f>SUMIFS('caseload data'!O:O,'caseload data'!$D:$D,"PO",'caseload data'!$C:$C,'divisional &amp; regional caseload'!$T$22)</f>
        <v>0</v>
      </c>
      <c r="AF24" s="94">
        <f>SUMIFS('caseload data'!P:P,'caseload data'!$D:$D,"PO",'caseload data'!$C:$C,'divisional &amp; regional caseload'!$T$22)</f>
        <v>0</v>
      </c>
      <c r="AG24" s="94">
        <f>SUMIFS('caseload data'!Q:Q,'caseload data'!$D:$D,"PO",'caseload data'!$C:$C,'divisional &amp; regional caseload'!$T$22)</f>
        <v>0</v>
      </c>
      <c r="AH24" s="94">
        <f>SUMIFS('caseload data'!R:R,'caseload data'!$D:$D,"PO",'caseload data'!$C:$C,'divisional &amp; regional caseload'!$T$22)</f>
        <v>0</v>
      </c>
      <c r="AI24" s="94">
        <f>SUMIFS('caseload data'!S:S,'caseload data'!$D:$D,"PO",'caseload data'!$C:$C,'divisional &amp; regional caseload'!$T$22)</f>
        <v>0</v>
      </c>
      <c r="AJ24" s="94">
        <f>SUMIFS('caseload data'!T:T,'caseload data'!$D:$D,"PO",'caseload data'!$C:$C,'divisional &amp; regional caseload'!$T$22)</f>
        <v>0</v>
      </c>
    </row>
    <row r="25" spans="2:36" x14ac:dyDescent="0.15">
      <c r="B25" s="97" t="s">
        <v>1002</v>
      </c>
      <c r="C25" s="94">
        <f>SUMIFS('caseload data'!E:E,'caseload data'!$D:$D,"PSO",'caseload data'!$C:$C,'divisional &amp; regional caseload'!$B$22)</f>
        <v>0</v>
      </c>
      <c r="D25" s="94">
        <f>SUMIFS('caseload data'!F:F,'caseload data'!$D:$D,"PSO",'caseload data'!$C:$C,'divisional &amp; regional caseload'!$B$22)</f>
        <v>0</v>
      </c>
      <c r="E25" s="94">
        <f>SUMIFS('caseload data'!G:G,'caseload data'!$D:$D,"PSO",'caseload data'!$C:$C,'divisional &amp; regional caseload'!$B$22)</f>
        <v>0</v>
      </c>
      <c r="F25" s="94">
        <f>SUMIFS('caseload data'!H:H,'caseload data'!$D:$D,"PSO",'caseload data'!$C:$C,'divisional &amp; regional caseload'!$B$22)</f>
        <v>0</v>
      </c>
      <c r="G25" s="94">
        <f>SUMIFS('caseload data'!I:I,'caseload data'!$D:$D,"PSO",'caseload data'!$C:$C,'divisional &amp; regional caseload'!$B$22)</f>
        <v>0</v>
      </c>
      <c r="H25" s="94">
        <f>SUMIFS('caseload data'!J:J,'caseload data'!$D:$D,"PSO",'caseload data'!$C:$C,'divisional &amp; regional caseload'!$B$22)</f>
        <v>0</v>
      </c>
      <c r="I25" s="94">
        <f>SUMIFS('caseload data'!K:K,'caseload data'!$D:$D,"PSO",'caseload data'!$C:$C,'divisional &amp; regional caseload'!$B$22)</f>
        <v>0</v>
      </c>
      <c r="J25" s="94">
        <f>SUMIFS('caseload data'!L:L,'caseload data'!$D:$D,"PSO",'caseload data'!$C:$C,'divisional &amp; regional caseload'!$B$22)</f>
        <v>0</v>
      </c>
      <c r="K25" s="94">
        <f>SUMIFS('caseload data'!M:M,'caseload data'!$D:$D,"PSO",'caseload data'!$C:$C,'divisional &amp; regional caseload'!$B$22)</f>
        <v>0</v>
      </c>
      <c r="L25" s="94">
        <f>SUMIFS('caseload data'!N:N,'caseload data'!$D:$D,"PSO",'caseload data'!$C:$C,'divisional &amp; regional caseload'!$B$22)</f>
        <v>0</v>
      </c>
      <c r="M25" s="94">
        <f>SUMIFS('caseload data'!O:O,'caseload data'!$D:$D,"PSO",'caseload data'!$C:$C,'divisional &amp; regional caseload'!$B$22)</f>
        <v>0</v>
      </c>
      <c r="N25" s="94">
        <f>SUMIFS('caseload data'!P:P,'caseload data'!$D:$D,"PSO",'caseload data'!$C:$C,'divisional &amp; regional caseload'!$B$22)</f>
        <v>0</v>
      </c>
      <c r="O25" s="94">
        <f>SUMIFS('caseload data'!Q:Q,'caseload data'!$D:$D,"PSO",'caseload data'!$C:$C,'divisional &amp; regional caseload'!$B$22)</f>
        <v>0</v>
      </c>
      <c r="P25" s="94">
        <f>SUMIFS('caseload data'!R:R,'caseload data'!$D:$D,"PSO",'caseload data'!$C:$C,'divisional &amp; regional caseload'!$B$22)</f>
        <v>0</v>
      </c>
      <c r="Q25" s="94">
        <f>SUMIFS('caseload data'!S:S,'caseload data'!$D:$D,"PSO",'caseload data'!$C:$C,'divisional &amp; regional caseload'!$B$22)</f>
        <v>0</v>
      </c>
      <c r="R25" s="94">
        <f>SUMIFS('caseload data'!T:T,'caseload data'!$D:$D,"PSO",'caseload data'!$C:$C,'divisional &amp; regional caseload'!$B$22)</f>
        <v>0</v>
      </c>
      <c r="S25" s="91"/>
      <c r="T25" s="97" t="s">
        <v>1002</v>
      </c>
      <c r="U25" s="94">
        <f>SUMIFS('caseload data'!E:E,'caseload data'!$D:$D,"PSO",'caseload data'!$C:$C,'divisional &amp; regional caseload'!$T$22)</f>
        <v>0</v>
      </c>
      <c r="V25" s="94">
        <f>SUMIFS('caseload data'!F:F,'caseload data'!$D:$D,"PSO",'caseload data'!$C:$C,'divisional &amp; regional caseload'!$T$22)</f>
        <v>0</v>
      </c>
      <c r="W25" s="94">
        <f>SUMIFS('caseload data'!G:G,'caseload data'!$D:$D,"PSO",'caseload data'!$C:$C,'divisional &amp; regional caseload'!$T$22)</f>
        <v>0</v>
      </c>
      <c r="X25" s="94">
        <f>SUMIFS('caseload data'!H:H,'caseload data'!$D:$D,"PSO",'caseload data'!$C:$C,'divisional &amp; regional caseload'!$T$22)</f>
        <v>0</v>
      </c>
      <c r="Y25" s="94">
        <f>SUMIFS('caseload data'!I:I,'caseload data'!$D:$D,"PSO",'caseload data'!$C:$C,'divisional &amp; regional caseload'!$T$22)</f>
        <v>0</v>
      </c>
      <c r="Z25" s="94">
        <f>SUMIFS('caseload data'!J:J,'caseload data'!$D:$D,"PSO",'caseload data'!$C:$C,'divisional &amp; regional caseload'!$T$22)</f>
        <v>0</v>
      </c>
      <c r="AA25" s="94">
        <f>SUMIFS('caseload data'!K:K,'caseload data'!$D:$D,"PSO",'caseload data'!$C:$C,'divisional &amp; regional caseload'!$T$22)</f>
        <v>0</v>
      </c>
      <c r="AB25" s="94">
        <f>SUMIFS('caseload data'!L:L,'caseload data'!$D:$D,"PSO",'caseload data'!$C:$C,'divisional &amp; regional caseload'!$T$22)</f>
        <v>0</v>
      </c>
      <c r="AC25" s="94">
        <f>SUMIFS('caseload data'!M:M,'caseload data'!$D:$D,"PSO",'caseload data'!$C:$C,'divisional &amp; regional caseload'!$T$22)</f>
        <v>0</v>
      </c>
      <c r="AD25" s="94">
        <f>SUMIFS('caseload data'!N:N,'caseload data'!$D:$D,"PSO",'caseload data'!$C:$C,'divisional &amp; regional caseload'!$T$22)</f>
        <v>0</v>
      </c>
      <c r="AE25" s="94">
        <f>SUMIFS('caseload data'!O:O,'caseload data'!$D:$D,"PSO",'caseload data'!$C:$C,'divisional &amp; regional caseload'!$T$22)</f>
        <v>0</v>
      </c>
      <c r="AF25" s="94">
        <f>SUMIFS('caseload data'!P:P,'caseload data'!$D:$D,"PSO",'caseload data'!$C:$C,'divisional &amp; regional caseload'!$T$22)</f>
        <v>0</v>
      </c>
      <c r="AG25" s="94">
        <f>SUMIFS('caseload data'!Q:Q,'caseload data'!$D:$D,"PSO",'caseload data'!$C:$C,'divisional &amp; regional caseload'!$T$22)</f>
        <v>0</v>
      </c>
      <c r="AH25" s="94">
        <f>SUMIFS('caseload data'!R:R,'caseload data'!$D:$D,"PSO",'caseload data'!$C:$C,'divisional &amp; regional caseload'!$T$22)</f>
        <v>0</v>
      </c>
      <c r="AI25" s="94">
        <f>SUMIFS('caseload data'!S:S,'caseload data'!$D:$D,"PSO",'caseload data'!$C:$C,'divisional &amp; regional caseload'!$T$22)</f>
        <v>0</v>
      </c>
      <c r="AJ25" s="94">
        <f>SUMIFS('caseload data'!T:T,'caseload data'!$D:$D,"PSO",'caseload data'!$C:$C,'divisional &amp; regional caseload'!$T$22)</f>
        <v>0</v>
      </c>
    </row>
    <row r="26" spans="2:36" x14ac:dyDescent="0.15">
      <c r="B26" s="97" t="s">
        <v>1003</v>
      </c>
      <c r="C26" s="94">
        <f>SUMIFS('caseload data'!E:E,'caseload data'!$D:$D,"TPO",'caseload data'!$C:$C,'divisional &amp; regional caseload'!$B$22)</f>
        <v>0</v>
      </c>
      <c r="D26" s="94">
        <f>SUMIFS('caseload data'!F:F,'caseload data'!$D:$D,"TPO",'caseload data'!$C:$C,'divisional &amp; regional caseload'!$B$22)</f>
        <v>0</v>
      </c>
      <c r="E26" s="94">
        <f>SUMIFS('caseload data'!G:G,'caseload data'!$D:$D,"TPO",'caseload data'!$C:$C,'divisional &amp; regional caseload'!$B$22)</f>
        <v>0</v>
      </c>
      <c r="F26" s="94">
        <f>SUMIFS('caseload data'!H:H,'caseload data'!$D:$D,"TPO",'caseload data'!$C:$C,'divisional &amp; regional caseload'!$B$22)</f>
        <v>0</v>
      </c>
      <c r="G26" s="94">
        <f>SUMIFS('caseload data'!I:I,'caseload data'!$D:$D,"TPO",'caseload data'!$C:$C,'divisional &amp; regional caseload'!$B$22)</f>
        <v>0</v>
      </c>
      <c r="H26" s="94">
        <f>SUMIFS('caseload data'!J:J,'caseload data'!$D:$D,"TPO",'caseload data'!$C:$C,'divisional &amp; regional caseload'!$B$22)</f>
        <v>0</v>
      </c>
      <c r="I26" s="94">
        <f>SUMIFS('caseload data'!K:K,'caseload data'!$D:$D,"TPO",'caseload data'!$C:$C,'divisional &amp; regional caseload'!$B$22)</f>
        <v>0</v>
      </c>
      <c r="J26" s="94">
        <f>SUMIFS('caseload data'!L:L,'caseload data'!$D:$D,"TPO",'caseload data'!$C:$C,'divisional &amp; regional caseload'!$B$22)</f>
        <v>0</v>
      </c>
      <c r="K26" s="94">
        <f>SUMIFS('caseload data'!M:M,'caseload data'!$D:$D,"TPO",'caseload data'!$C:$C,'divisional &amp; regional caseload'!$B$22)</f>
        <v>0</v>
      </c>
      <c r="L26" s="94">
        <f>SUMIFS('caseload data'!N:N,'caseload data'!$D:$D,"TPO",'caseload data'!$C:$C,'divisional &amp; regional caseload'!$B$22)</f>
        <v>0</v>
      </c>
      <c r="M26" s="94">
        <f>SUMIFS('caseload data'!O:O,'caseload data'!$D:$D,"TPO",'caseload data'!$C:$C,'divisional &amp; regional caseload'!$B$22)</f>
        <v>0</v>
      </c>
      <c r="N26" s="94">
        <f>SUMIFS('caseload data'!P:P,'caseload data'!$D:$D,"TPO",'caseload data'!$C:$C,'divisional &amp; regional caseload'!$B$22)</f>
        <v>0</v>
      </c>
      <c r="O26" s="94">
        <f>SUMIFS('caseload data'!Q:Q,'caseload data'!$D:$D,"TPO",'caseload data'!$C:$C,'divisional &amp; regional caseload'!$B$22)</f>
        <v>0</v>
      </c>
      <c r="P26" s="94">
        <f>SUMIFS('caseload data'!R:R,'caseload data'!$D:$D,"TPO",'caseload data'!$C:$C,'divisional &amp; regional caseload'!$B$22)</f>
        <v>0</v>
      </c>
      <c r="Q26" s="94">
        <f>SUMIFS('caseload data'!S:S,'caseload data'!$D:$D,"TPO",'caseload data'!$C:$C,'divisional &amp; regional caseload'!$B$22)</f>
        <v>0</v>
      </c>
      <c r="R26" s="94">
        <f>SUMIFS('caseload data'!T:T,'caseload data'!$D:$D,"TPO",'caseload data'!$C:$C,'divisional &amp; regional caseload'!$B$22)</f>
        <v>0</v>
      </c>
      <c r="S26" s="91"/>
      <c r="T26" s="97" t="s">
        <v>1003</v>
      </c>
      <c r="U26" s="94">
        <f>SUMIFS('caseload data'!E:E,'caseload data'!$D:$D,"TPO",'caseload data'!$C:$C,'divisional &amp; regional caseload'!$T$22)</f>
        <v>0</v>
      </c>
      <c r="V26" s="94">
        <f>SUMIFS('caseload data'!F:F,'caseload data'!$D:$D,"TPO",'caseload data'!$C:$C,'divisional &amp; regional caseload'!$T$22)</f>
        <v>0</v>
      </c>
      <c r="W26" s="94">
        <f>SUMIFS('caseload data'!G:G,'caseload data'!$D:$D,"TPO",'caseload data'!$C:$C,'divisional &amp; regional caseload'!$T$22)</f>
        <v>0</v>
      </c>
      <c r="X26" s="94">
        <f>SUMIFS('caseload data'!H:H,'caseload data'!$D:$D,"TPO",'caseload data'!$C:$C,'divisional &amp; regional caseload'!$T$22)</f>
        <v>0</v>
      </c>
      <c r="Y26" s="94">
        <f>SUMIFS('caseload data'!I:I,'caseload data'!$D:$D,"TPO",'caseload data'!$C:$C,'divisional &amp; regional caseload'!$T$22)</f>
        <v>0</v>
      </c>
      <c r="Z26" s="94">
        <f>SUMIFS('caseload data'!J:J,'caseload data'!$D:$D,"TPO",'caseload data'!$C:$C,'divisional &amp; regional caseload'!$T$22)</f>
        <v>0</v>
      </c>
      <c r="AA26" s="94">
        <f>SUMIFS('caseload data'!K:K,'caseload data'!$D:$D,"TPO",'caseload data'!$C:$C,'divisional &amp; regional caseload'!$T$22)</f>
        <v>0</v>
      </c>
      <c r="AB26" s="94">
        <f>SUMIFS('caseload data'!L:L,'caseload data'!$D:$D,"TPO",'caseload data'!$C:$C,'divisional &amp; regional caseload'!$T$22)</f>
        <v>0</v>
      </c>
      <c r="AC26" s="94">
        <f>SUMIFS('caseload data'!M:M,'caseload data'!$D:$D,"TPO",'caseload data'!$C:$C,'divisional &amp; regional caseload'!$T$22)</f>
        <v>0</v>
      </c>
      <c r="AD26" s="94">
        <f>SUMIFS('caseload data'!N:N,'caseload data'!$D:$D,"TPO",'caseload data'!$C:$C,'divisional &amp; regional caseload'!$T$22)</f>
        <v>0</v>
      </c>
      <c r="AE26" s="94">
        <f>SUMIFS('caseload data'!O:O,'caseload data'!$D:$D,"TPO",'caseload data'!$C:$C,'divisional &amp; regional caseload'!$T$22)</f>
        <v>0</v>
      </c>
      <c r="AF26" s="94">
        <f>SUMIFS('caseload data'!P:P,'caseload data'!$D:$D,"TPO",'caseload data'!$C:$C,'divisional &amp; regional caseload'!$T$22)</f>
        <v>0</v>
      </c>
      <c r="AG26" s="94">
        <f>SUMIFS('caseload data'!Q:Q,'caseload data'!$D:$D,"TPO",'caseload data'!$C:$C,'divisional &amp; regional caseload'!$T$22)</f>
        <v>0</v>
      </c>
      <c r="AH26" s="94">
        <f>SUMIFS('caseload data'!R:R,'caseload data'!$D:$D,"TPO",'caseload data'!$C:$C,'divisional &amp; regional caseload'!$T$22)</f>
        <v>0</v>
      </c>
      <c r="AI26" s="94">
        <f>SUMIFS('caseload data'!S:S,'caseload data'!$D:$D,"TPO",'caseload data'!$C:$C,'divisional &amp; regional caseload'!$T$22)</f>
        <v>0</v>
      </c>
      <c r="AJ26" s="94">
        <f>SUMIFS('caseload data'!T:T,'caseload data'!$D:$D,"TPO",'caseload data'!$C:$C,'divisional &amp; regional caseload'!$T$22)</f>
        <v>0</v>
      </c>
    </row>
    <row r="27" spans="2:36" x14ac:dyDescent="0.15">
      <c r="B27" s="98" t="s">
        <v>1004</v>
      </c>
      <c r="C27" s="94">
        <f>SUMIFS('caseload data'!E:E,'caseload data'!$D:$D,"SPO",'caseload data'!$C:$C,'divisional &amp; regional caseload'!$B$22)</f>
        <v>0</v>
      </c>
      <c r="D27" s="94">
        <f>SUMIFS('caseload data'!F:F,'caseload data'!$D:$D,"SPO",'caseload data'!$C:$C,'divisional &amp; regional caseload'!$B$22)</f>
        <v>0</v>
      </c>
      <c r="E27" s="94">
        <f>SUMIFS('caseload data'!G:G,'caseload data'!$D:$D,"SPO",'caseload data'!$C:$C,'divisional &amp; regional caseload'!$B$22)</f>
        <v>0</v>
      </c>
      <c r="F27" s="94">
        <f>SUMIFS('caseload data'!H:H,'caseload data'!$D:$D,"SPO",'caseload data'!$C:$C,'divisional &amp; regional caseload'!$B$22)</f>
        <v>0</v>
      </c>
      <c r="G27" s="94">
        <f>SUMIFS('caseload data'!I:I,'caseload data'!$D:$D,"SPO",'caseload data'!$C:$C,'divisional &amp; regional caseload'!$B$22)</f>
        <v>0</v>
      </c>
      <c r="H27" s="94">
        <f>SUMIFS('caseload data'!J:J,'caseload data'!$D:$D,"SPO",'caseload data'!$C:$C,'divisional &amp; regional caseload'!$B$22)</f>
        <v>0</v>
      </c>
      <c r="I27" s="94">
        <f>SUMIFS('caseload data'!K:K,'caseload data'!$D:$D,"SPO",'caseload data'!$C:$C,'divisional &amp; regional caseload'!$B$22)</f>
        <v>0</v>
      </c>
      <c r="J27" s="94">
        <f>SUMIFS('caseload data'!L:L,'caseload data'!$D:$D,"SPO",'caseload data'!$C:$C,'divisional &amp; regional caseload'!$B$22)</f>
        <v>0</v>
      </c>
      <c r="K27" s="94">
        <f>SUMIFS('caseload data'!M:M,'caseload data'!$D:$D,"SPO",'caseload data'!$C:$C,'divisional &amp; regional caseload'!$B$22)</f>
        <v>0</v>
      </c>
      <c r="L27" s="94">
        <f>SUMIFS('caseload data'!N:N,'caseload data'!$D:$D,"SPO",'caseload data'!$C:$C,'divisional &amp; regional caseload'!$B$22)</f>
        <v>0</v>
      </c>
      <c r="M27" s="94">
        <f>SUMIFS('caseload data'!O:O,'caseload data'!$D:$D,"SPO",'caseload data'!$C:$C,'divisional &amp; regional caseload'!$B$22)</f>
        <v>0</v>
      </c>
      <c r="N27" s="94">
        <f>SUMIFS('caseload data'!P:P,'caseload data'!$D:$D,"SPO",'caseload data'!$C:$C,'divisional &amp; regional caseload'!$B$22)</f>
        <v>0</v>
      </c>
      <c r="O27" s="94">
        <f>SUMIFS('caseload data'!Q:Q,'caseload data'!$D:$D,"SPO",'caseload data'!$C:$C,'divisional &amp; regional caseload'!$B$22)</f>
        <v>0</v>
      </c>
      <c r="P27" s="94">
        <f>SUMIFS('caseload data'!R:R,'caseload data'!$D:$D,"SPO",'caseload data'!$C:$C,'divisional &amp; regional caseload'!$B$22)</f>
        <v>0</v>
      </c>
      <c r="Q27" s="94">
        <f>SUMIFS('caseload data'!S:S,'caseload data'!$D:$D,"SPO",'caseload data'!$C:$C,'divisional &amp; regional caseload'!$B$22)</f>
        <v>0</v>
      </c>
      <c r="R27" s="94">
        <f>SUMIFS('caseload data'!T:T,'caseload data'!$D:$D,"SPO",'caseload data'!$C:$C,'divisional &amp; regional caseload'!$B$22)</f>
        <v>0</v>
      </c>
      <c r="S27" s="91"/>
      <c r="T27" s="98" t="s">
        <v>1004</v>
      </c>
      <c r="U27" s="94">
        <f>SUMIFS('caseload data'!E:E,'caseload data'!$D:$D,"SPO",'caseload data'!$C:$C,'divisional &amp; regional caseload'!$T$22)</f>
        <v>0</v>
      </c>
      <c r="V27" s="94">
        <f>SUMIFS('caseload data'!F:F,'caseload data'!$D:$D,"SPO",'caseload data'!$C:$C,'divisional &amp; regional caseload'!$T$22)</f>
        <v>0</v>
      </c>
      <c r="W27" s="94">
        <f>SUMIFS('caseload data'!G:G,'caseload data'!$D:$D,"SPO",'caseload data'!$C:$C,'divisional &amp; regional caseload'!$T$22)</f>
        <v>0</v>
      </c>
      <c r="X27" s="94">
        <f>SUMIFS('caseload data'!H:H,'caseload data'!$D:$D,"SPO",'caseload data'!$C:$C,'divisional &amp; regional caseload'!$T$22)</f>
        <v>0</v>
      </c>
      <c r="Y27" s="94">
        <f>SUMIFS('caseload data'!I:I,'caseload data'!$D:$D,"SPO",'caseload data'!$C:$C,'divisional &amp; regional caseload'!$T$22)</f>
        <v>0</v>
      </c>
      <c r="Z27" s="94">
        <f>SUMIFS('caseload data'!J:J,'caseload data'!$D:$D,"SPO",'caseload data'!$C:$C,'divisional &amp; regional caseload'!$T$22)</f>
        <v>0</v>
      </c>
      <c r="AA27" s="94">
        <f>SUMIFS('caseload data'!K:K,'caseload data'!$D:$D,"SPO",'caseload data'!$C:$C,'divisional &amp; regional caseload'!$T$22)</f>
        <v>0</v>
      </c>
      <c r="AB27" s="94">
        <f>SUMIFS('caseload data'!L:L,'caseload data'!$D:$D,"SPO",'caseload data'!$C:$C,'divisional &amp; regional caseload'!$T$22)</f>
        <v>0</v>
      </c>
      <c r="AC27" s="94">
        <f>SUMIFS('caseload data'!M:M,'caseload data'!$D:$D,"SPO",'caseload data'!$C:$C,'divisional &amp; regional caseload'!$T$22)</f>
        <v>0</v>
      </c>
      <c r="AD27" s="94">
        <f>SUMIFS('caseload data'!N:N,'caseload data'!$D:$D,"SPO",'caseload data'!$C:$C,'divisional &amp; regional caseload'!$T$22)</f>
        <v>0</v>
      </c>
      <c r="AE27" s="94">
        <f>SUMIFS('caseload data'!O:O,'caseload data'!$D:$D,"SPO",'caseload data'!$C:$C,'divisional &amp; regional caseload'!$T$22)</f>
        <v>0</v>
      </c>
      <c r="AF27" s="94">
        <f>SUMIFS('caseload data'!P:P,'caseload data'!$D:$D,"SPO",'caseload data'!$C:$C,'divisional &amp; regional caseload'!$T$22)</f>
        <v>0</v>
      </c>
      <c r="AG27" s="94">
        <f>SUMIFS('caseload data'!Q:Q,'caseload data'!$D:$D,"SPO",'caseload data'!$C:$C,'divisional &amp; regional caseload'!$T$22)</f>
        <v>0</v>
      </c>
      <c r="AH27" s="94">
        <f>SUMIFS('caseload data'!R:R,'caseload data'!$D:$D,"SPO",'caseload data'!$C:$C,'divisional &amp; regional caseload'!$T$22)</f>
        <v>0</v>
      </c>
      <c r="AI27" s="94">
        <f>SUMIFS('caseload data'!S:S,'caseload data'!$D:$D,"SPO",'caseload data'!$C:$C,'divisional &amp; regional caseload'!$T$22)</f>
        <v>0</v>
      </c>
      <c r="AJ27" s="94">
        <f>SUMIFS('caseload data'!T:T,'caseload data'!$D:$D,"SPO",'caseload data'!$C:$C,'divisional &amp; regional caseload'!$T$22)</f>
        <v>0</v>
      </c>
    </row>
    <row r="28" spans="2:36" x14ac:dyDescent="0.15">
      <c r="B28" s="91"/>
      <c r="C28" s="91"/>
      <c r="D28" s="91"/>
      <c r="E28" s="91"/>
      <c r="F28" s="91"/>
      <c r="G28" s="91"/>
      <c r="H28" s="91"/>
      <c r="I28" s="91"/>
      <c r="J28" s="91"/>
      <c r="K28" s="91"/>
      <c r="L28" s="91"/>
      <c r="M28" s="91"/>
      <c r="N28" s="91"/>
      <c r="O28" s="91"/>
      <c r="P28" s="91"/>
      <c r="Q28" s="91"/>
      <c r="R28" s="91"/>
      <c r="S28" s="91"/>
      <c r="T28" s="91"/>
      <c r="U28" s="91"/>
      <c r="V28" s="91"/>
      <c r="W28" s="91"/>
      <c r="X28" s="91"/>
      <c r="Y28" s="91"/>
      <c r="Z28" s="91"/>
      <c r="AA28" s="91"/>
    </row>
    <row r="29" spans="2:36" ht="29.25" customHeight="1" x14ac:dyDescent="0.15">
      <c r="B29" s="289" t="str">
        <f>HLOOKUP($B$5,Region_Table,8,0)</f>
        <v>Redcar, Cleveland and Middlesbrough</v>
      </c>
      <c r="C29" s="517" t="s">
        <v>1092</v>
      </c>
      <c r="D29" s="518"/>
      <c r="E29" s="518"/>
      <c r="F29" s="518"/>
      <c r="G29" s="518"/>
      <c r="H29" s="518"/>
      <c r="I29" s="518"/>
      <c r="J29" s="518"/>
      <c r="K29" s="518"/>
      <c r="L29" s="518"/>
      <c r="M29" s="522"/>
      <c r="N29" s="522"/>
      <c r="O29" s="523"/>
      <c r="P29" s="512">
        <f>SUMIF('caseload data'!$C:$C,'divisional &amp; regional caseload'!B29,'caseload data'!V:V)</f>
        <v>0</v>
      </c>
      <c r="Q29" s="513"/>
      <c r="R29" s="514"/>
      <c r="S29" s="91"/>
      <c r="T29" s="289" t="str">
        <f>HLOOKUP($B$5,Region_Table,9,0)</f>
        <v>Stockton and Hartlepool</v>
      </c>
      <c r="U29" s="517" t="s">
        <v>1092</v>
      </c>
      <c r="V29" s="518"/>
      <c r="W29" s="518"/>
      <c r="X29" s="518"/>
      <c r="Y29" s="518"/>
      <c r="Z29" s="518"/>
      <c r="AA29" s="518"/>
      <c r="AB29" s="518"/>
      <c r="AC29" s="518"/>
      <c r="AD29" s="518"/>
      <c r="AE29" s="518"/>
      <c r="AF29" s="518"/>
      <c r="AG29" s="519"/>
      <c r="AH29" s="512">
        <f>SUMIF('caseload data'!$C:$C,'divisional &amp; regional caseload'!T29,'caseload data'!V:V)</f>
        <v>0</v>
      </c>
      <c r="AI29" s="513"/>
      <c r="AJ29" s="514"/>
    </row>
    <row r="30" spans="2:36" x14ac:dyDescent="0.15">
      <c r="B30" s="95" t="s">
        <v>1000</v>
      </c>
      <c r="C30" s="38" t="s">
        <v>864</v>
      </c>
      <c r="D30" s="38" t="s">
        <v>865</v>
      </c>
      <c r="E30" s="38" t="s">
        <v>866</v>
      </c>
      <c r="F30" s="38" t="s">
        <v>867</v>
      </c>
      <c r="G30" s="38" t="s">
        <v>868</v>
      </c>
      <c r="H30" s="38" t="s">
        <v>869</v>
      </c>
      <c r="I30" s="38" t="s">
        <v>870</v>
      </c>
      <c r="J30" s="38" t="s">
        <v>871</v>
      </c>
      <c r="K30" s="38" t="s">
        <v>872</v>
      </c>
      <c r="L30" s="38" t="s">
        <v>873</v>
      </c>
      <c r="M30" s="38" t="s">
        <v>874</v>
      </c>
      <c r="N30" s="38" t="s">
        <v>875</v>
      </c>
      <c r="O30" s="38" t="s">
        <v>876</v>
      </c>
      <c r="P30" s="38" t="s">
        <v>877</v>
      </c>
      <c r="Q30" s="38" t="s">
        <v>878</v>
      </c>
      <c r="R30" s="38" t="s">
        <v>879</v>
      </c>
      <c r="S30" s="91"/>
      <c r="T30" s="95" t="s">
        <v>1000</v>
      </c>
      <c r="U30" s="38" t="s">
        <v>864</v>
      </c>
      <c r="V30" s="38" t="s">
        <v>865</v>
      </c>
      <c r="W30" s="38" t="s">
        <v>866</v>
      </c>
      <c r="X30" s="38" t="s">
        <v>867</v>
      </c>
      <c r="Y30" s="38" t="s">
        <v>868</v>
      </c>
      <c r="Z30" s="38" t="s">
        <v>869</v>
      </c>
      <c r="AA30" s="38" t="s">
        <v>870</v>
      </c>
      <c r="AB30" s="38" t="s">
        <v>871</v>
      </c>
      <c r="AC30" s="38" t="s">
        <v>872</v>
      </c>
      <c r="AD30" s="38" t="s">
        <v>873</v>
      </c>
      <c r="AE30" s="38" t="s">
        <v>874</v>
      </c>
      <c r="AF30" s="38" t="s">
        <v>875</v>
      </c>
      <c r="AG30" s="38" t="s">
        <v>876</v>
      </c>
      <c r="AH30" s="38" t="s">
        <v>877</v>
      </c>
      <c r="AI30" s="38" t="s">
        <v>878</v>
      </c>
      <c r="AJ30" s="38" t="s">
        <v>879</v>
      </c>
    </row>
    <row r="31" spans="2:36" x14ac:dyDescent="0.15">
      <c r="B31" s="96" t="s">
        <v>997</v>
      </c>
      <c r="C31" s="94">
        <f>SUMIFS('caseload data'!E:E,'caseload data'!$D:$D,"PO",'caseload data'!$C:$C,'divisional &amp; regional caseload'!$B$29)</f>
        <v>0</v>
      </c>
      <c r="D31" s="94">
        <f>SUMIFS('caseload data'!F:F,'caseload data'!$D:$D,"PO",'caseload data'!$C:$C,'divisional &amp; regional caseload'!$B$29)</f>
        <v>0</v>
      </c>
      <c r="E31" s="94">
        <f>SUMIFS('caseload data'!G:G,'caseload data'!$D:$D,"PO",'caseload data'!$C:$C,'divisional &amp; regional caseload'!$B$29)</f>
        <v>0</v>
      </c>
      <c r="F31" s="94">
        <f>SUMIFS('caseload data'!H:H,'caseload data'!$D:$D,"PO",'caseload data'!$C:$C,'divisional &amp; regional caseload'!$B$29)</f>
        <v>0</v>
      </c>
      <c r="G31" s="94">
        <f>SUMIFS('caseload data'!I:I,'caseload data'!$D:$D,"PO",'caseload data'!$C:$C,'divisional &amp; regional caseload'!$B$29)</f>
        <v>0</v>
      </c>
      <c r="H31" s="94">
        <f>SUMIFS('caseload data'!J:J,'caseload data'!$D:$D,"PO",'caseload data'!$C:$C,'divisional &amp; regional caseload'!$B$29)</f>
        <v>0</v>
      </c>
      <c r="I31" s="94">
        <f>SUMIFS('caseload data'!K:K,'caseload data'!$D:$D,"PO",'caseload data'!$C:$C,'divisional &amp; regional caseload'!$B$29)</f>
        <v>0</v>
      </c>
      <c r="J31" s="94">
        <f>SUMIFS('caseload data'!L:L,'caseload data'!$D:$D,"PO",'caseload data'!$C:$C,'divisional &amp; regional caseload'!$B$29)</f>
        <v>0</v>
      </c>
      <c r="K31" s="94">
        <f>SUMIFS('caseload data'!M:M,'caseload data'!$D:$D,"PO",'caseload data'!$C:$C,'divisional &amp; regional caseload'!$B$29)</f>
        <v>0</v>
      </c>
      <c r="L31" s="94">
        <f>SUMIFS('caseload data'!N:N,'caseload data'!$D:$D,"PO",'caseload data'!$C:$C,'divisional &amp; regional caseload'!$B$29)</f>
        <v>0</v>
      </c>
      <c r="M31" s="94">
        <f>SUMIFS('caseload data'!O:O,'caseload data'!$D:$D,"PO",'caseload data'!$C:$C,'divisional &amp; regional caseload'!$B$29)</f>
        <v>0</v>
      </c>
      <c r="N31" s="94">
        <f>SUMIFS('caseload data'!P:P,'caseload data'!$D:$D,"PO",'caseload data'!$C:$C,'divisional &amp; regional caseload'!$B$29)</f>
        <v>0</v>
      </c>
      <c r="O31" s="94">
        <f>SUMIFS('caseload data'!Q:Q,'caseload data'!$D:$D,"PO",'caseload data'!$C:$C,'divisional &amp; regional caseload'!$B$29)</f>
        <v>0</v>
      </c>
      <c r="P31" s="94">
        <f>SUMIFS('caseload data'!R:R,'caseload data'!$D:$D,"PO",'caseload data'!$C:$C,'divisional &amp; regional caseload'!$B$29)</f>
        <v>0</v>
      </c>
      <c r="Q31" s="94">
        <f>SUMIFS('caseload data'!S:S,'caseload data'!$D:$D,"PO",'caseload data'!$C:$C,'divisional &amp; regional caseload'!$B$29)</f>
        <v>0</v>
      </c>
      <c r="R31" s="94">
        <f>SUMIFS('caseload data'!T:T,'caseload data'!$D:$D,"PO",'caseload data'!$C:$C,'divisional &amp; regional caseload'!$B$29)</f>
        <v>0</v>
      </c>
      <c r="S31" s="91"/>
      <c r="T31" s="96" t="s">
        <v>997</v>
      </c>
      <c r="U31" s="94">
        <f>SUMIFS('caseload data'!E:E,'caseload data'!$D:$D,"PO",'caseload data'!$C:$C,'divisional &amp; regional caseload'!$T$29)</f>
        <v>0</v>
      </c>
      <c r="V31" s="94">
        <f>SUMIFS('caseload data'!F:F,'caseload data'!$D:$D,"PO",'caseload data'!$C:$C,'divisional &amp; regional caseload'!$T$29)</f>
        <v>0</v>
      </c>
      <c r="W31" s="94">
        <f>SUMIFS('caseload data'!G:G,'caseload data'!$D:$D,"PO",'caseload data'!$C:$C,'divisional &amp; regional caseload'!$T$29)</f>
        <v>0</v>
      </c>
      <c r="X31" s="94">
        <f>SUMIFS('caseload data'!H:H,'caseload data'!$D:$D,"PO",'caseload data'!$C:$C,'divisional &amp; regional caseload'!$T$29)</f>
        <v>0</v>
      </c>
      <c r="Y31" s="94">
        <f>SUMIFS('caseload data'!I:I,'caseload data'!$D:$D,"PO",'caseload data'!$C:$C,'divisional &amp; regional caseload'!$T$29)</f>
        <v>0</v>
      </c>
      <c r="Z31" s="94">
        <f>SUMIFS('caseload data'!J:J,'caseload data'!$D:$D,"PO",'caseload data'!$C:$C,'divisional &amp; regional caseload'!$T$29)</f>
        <v>0</v>
      </c>
      <c r="AA31" s="94">
        <f>SUMIFS('caseload data'!K:K,'caseload data'!$D:$D,"PO",'caseload data'!$C:$C,'divisional &amp; regional caseload'!$T$29)</f>
        <v>0</v>
      </c>
      <c r="AB31" s="94">
        <f>SUMIFS('caseload data'!L:L,'caseload data'!$D:$D,"PO",'caseload data'!$C:$C,'divisional &amp; regional caseload'!$T$29)</f>
        <v>0</v>
      </c>
      <c r="AC31" s="94">
        <f>SUMIFS('caseload data'!M:M,'caseload data'!$D:$D,"PO",'caseload data'!$C:$C,'divisional &amp; regional caseload'!$T$29)</f>
        <v>0</v>
      </c>
      <c r="AD31" s="94">
        <f>SUMIFS('caseload data'!N:N,'caseload data'!$D:$D,"PO",'caseload data'!$C:$C,'divisional &amp; regional caseload'!$T$29)</f>
        <v>0</v>
      </c>
      <c r="AE31" s="94">
        <f>SUMIFS('caseload data'!O:O,'caseload data'!$D:$D,"PO",'caseload data'!$C:$C,'divisional &amp; regional caseload'!$T$29)</f>
        <v>0</v>
      </c>
      <c r="AF31" s="94">
        <f>SUMIFS('caseload data'!P:P,'caseload data'!$D:$D,"PO",'caseload data'!$C:$C,'divisional &amp; regional caseload'!$T$29)</f>
        <v>0</v>
      </c>
      <c r="AG31" s="94">
        <f>SUMIFS('caseload data'!Q:Q,'caseload data'!$D:$D,"PO",'caseload data'!$C:$C,'divisional &amp; regional caseload'!$T$29)</f>
        <v>0</v>
      </c>
      <c r="AH31" s="94">
        <f>SUMIFS('caseload data'!R:R,'caseload data'!$D:$D,"PO",'caseload data'!$C:$C,'divisional &amp; regional caseload'!$T$29)</f>
        <v>0</v>
      </c>
      <c r="AI31" s="94">
        <f>SUMIFS('caseload data'!S:S,'caseload data'!$D:$D,"PO",'caseload data'!$C:$C,'divisional &amp; regional caseload'!$T$29)</f>
        <v>0</v>
      </c>
      <c r="AJ31" s="94">
        <f>SUMIFS('caseload data'!T:T,'caseload data'!$D:$D,"PO",'caseload data'!$C:$C,'divisional &amp; regional caseload'!$T$29)</f>
        <v>0</v>
      </c>
    </row>
    <row r="32" spans="2:36" x14ac:dyDescent="0.15">
      <c r="B32" s="97" t="s">
        <v>1002</v>
      </c>
      <c r="C32" s="94">
        <f>SUMIFS('caseload data'!E:E,'caseload data'!$D:$D,"PSO",'caseload data'!$C:$C,'divisional &amp; regional caseload'!$B$29)</f>
        <v>0</v>
      </c>
      <c r="D32" s="94">
        <f>SUMIFS('caseload data'!F:F,'caseload data'!$D:$D,"PSO",'caseload data'!$C:$C,'divisional &amp; regional caseload'!$B$29)</f>
        <v>0</v>
      </c>
      <c r="E32" s="94">
        <f>SUMIFS('caseload data'!G:G,'caseload data'!$D:$D,"PSO",'caseload data'!$C:$C,'divisional &amp; regional caseload'!$B$29)</f>
        <v>0</v>
      </c>
      <c r="F32" s="94">
        <f>SUMIFS('caseload data'!H:H,'caseload data'!$D:$D,"PSO",'caseload data'!$C:$C,'divisional &amp; regional caseload'!$B$29)</f>
        <v>0</v>
      </c>
      <c r="G32" s="94">
        <f>SUMIFS('caseload data'!I:I,'caseload data'!$D:$D,"PSO",'caseload data'!$C:$C,'divisional &amp; regional caseload'!$B$29)</f>
        <v>0</v>
      </c>
      <c r="H32" s="94">
        <f>SUMIFS('caseload data'!J:J,'caseload data'!$D:$D,"PSO",'caseload data'!$C:$C,'divisional &amp; regional caseload'!$B$29)</f>
        <v>0</v>
      </c>
      <c r="I32" s="94">
        <f>SUMIFS('caseload data'!K:K,'caseload data'!$D:$D,"PSO",'caseload data'!$C:$C,'divisional &amp; regional caseload'!$B$29)</f>
        <v>0</v>
      </c>
      <c r="J32" s="94">
        <f>SUMIFS('caseload data'!L:L,'caseload data'!$D:$D,"PSO",'caseload data'!$C:$C,'divisional &amp; regional caseload'!$B$29)</f>
        <v>0</v>
      </c>
      <c r="K32" s="94">
        <f>SUMIFS('caseload data'!M:M,'caseload data'!$D:$D,"PSO",'caseload data'!$C:$C,'divisional &amp; regional caseload'!$B$29)</f>
        <v>0</v>
      </c>
      <c r="L32" s="94">
        <f>SUMIFS('caseload data'!N:N,'caseload data'!$D:$D,"PSO",'caseload data'!$C:$C,'divisional &amp; regional caseload'!$B$29)</f>
        <v>0</v>
      </c>
      <c r="M32" s="94">
        <f>SUMIFS('caseload data'!O:O,'caseload data'!$D:$D,"PSO",'caseload data'!$C:$C,'divisional &amp; regional caseload'!$B$29)</f>
        <v>0</v>
      </c>
      <c r="N32" s="94">
        <f>SUMIFS('caseload data'!P:P,'caseload data'!$D:$D,"PSO",'caseload data'!$C:$C,'divisional &amp; regional caseload'!$B$29)</f>
        <v>0</v>
      </c>
      <c r="O32" s="94">
        <f>SUMIFS('caseload data'!Q:Q,'caseload data'!$D:$D,"PSO",'caseload data'!$C:$C,'divisional &amp; regional caseload'!$B$29)</f>
        <v>0</v>
      </c>
      <c r="P32" s="94">
        <f>SUMIFS('caseload data'!R:R,'caseload data'!$D:$D,"PSO",'caseload data'!$C:$C,'divisional &amp; regional caseload'!$B$29)</f>
        <v>0</v>
      </c>
      <c r="Q32" s="94">
        <f>SUMIFS('caseload data'!S:S,'caseload data'!$D:$D,"PSO",'caseload data'!$C:$C,'divisional &amp; regional caseload'!$B$29)</f>
        <v>0</v>
      </c>
      <c r="R32" s="94">
        <f>SUMIFS('caseload data'!T:T,'caseload data'!$D:$D,"PSO",'caseload data'!$C:$C,'divisional &amp; regional caseload'!$B$29)</f>
        <v>0</v>
      </c>
      <c r="S32" s="91"/>
      <c r="T32" s="97" t="s">
        <v>1002</v>
      </c>
      <c r="U32" s="94">
        <f>SUMIFS('caseload data'!E:E,'caseload data'!$D:$D,"PSO",'caseload data'!$C:$C,'divisional &amp; regional caseload'!$T$29)</f>
        <v>0</v>
      </c>
      <c r="V32" s="94">
        <f>SUMIFS('caseload data'!F:F,'caseload data'!$D:$D,"PSO",'caseload data'!$C:$C,'divisional &amp; regional caseload'!$T$29)</f>
        <v>0</v>
      </c>
      <c r="W32" s="94">
        <f>SUMIFS('caseload data'!G:G,'caseload data'!$D:$D,"PSO",'caseload data'!$C:$C,'divisional &amp; regional caseload'!$T$29)</f>
        <v>0</v>
      </c>
      <c r="X32" s="94">
        <f>SUMIFS('caseload data'!H:H,'caseload data'!$D:$D,"PSO",'caseload data'!$C:$C,'divisional &amp; regional caseload'!$T$29)</f>
        <v>0</v>
      </c>
      <c r="Y32" s="94">
        <f>SUMIFS('caseload data'!I:I,'caseload data'!$D:$D,"PSO",'caseload data'!$C:$C,'divisional &amp; regional caseload'!$T$29)</f>
        <v>0</v>
      </c>
      <c r="Z32" s="94">
        <f>SUMIFS('caseload data'!J:J,'caseload data'!$D:$D,"PSO",'caseload data'!$C:$C,'divisional &amp; regional caseload'!$T$29)</f>
        <v>0</v>
      </c>
      <c r="AA32" s="94">
        <f>SUMIFS('caseload data'!K:K,'caseload data'!$D:$D,"PSO",'caseload data'!$C:$C,'divisional &amp; regional caseload'!$T$29)</f>
        <v>0</v>
      </c>
      <c r="AB32" s="94">
        <f>SUMIFS('caseload data'!L:L,'caseload data'!$D:$D,"PSO",'caseload data'!$C:$C,'divisional &amp; regional caseload'!$T$29)</f>
        <v>0</v>
      </c>
      <c r="AC32" s="94">
        <f>SUMIFS('caseload data'!M:M,'caseload data'!$D:$D,"PSO",'caseload data'!$C:$C,'divisional &amp; regional caseload'!$T$29)</f>
        <v>0</v>
      </c>
      <c r="AD32" s="94">
        <f>SUMIFS('caseload data'!N:N,'caseload data'!$D:$D,"PSO",'caseload data'!$C:$C,'divisional &amp; regional caseload'!$T$29)</f>
        <v>0</v>
      </c>
      <c r="AE32" s="94">
        <f>SUMIFS('caseload data'!O:O,'caseload data'!$D:$D,"PSO",'caseload data'!$C:$C,'divisional &amp; regional caseload'!$T$29)</f>
        <v>0</v>
      </c>
      <c r="AF32" s="94">
        <f>SUMIFS('caseload data'!P:P,'caseload data'!$D:$D,"PSO",'caseload data'!$C:$C,'divisional &amp; regional caseload'!$T$29)</f>
        <v>0</v>
      </c>
      <c r="AG32" s="94">
        <f>SUMIFS('caseload data'!Q:Q,'caseload data'!$D:$D,"PSO",'caseload data'!$C:$C,'divisional &amp; regional caseload'!$T$29)</f>
        <v>0</v>
      </c>
      <c r="AH32" s="94">
        <f>SUMIFS('caseload data'!R:R,'caseload data'!$D:$D,"PSO",'caseload data'!$C:$C,'divisional &amp; regional caseload'!$T$29)</f>
        <v>0</v>
      </c>
      <c r="AI32" s="94">
        <f>SUMIFS('caseload data'!S:S,'caseload data'!$D:$D,"PSO",'caseload data'!$C:$C,'divisional &amp; regional caseload'!$T$29)</f>
        <v>0</v>
      </c>
      <c r="AJ32" s="94">
        <f>SUMIFS('caseload data'!T:T,'caseload data'!$D:$D,"PSO",'caseload data'!$C:$C,'divisional &amp; regional caseload'!$T$29)</f>
        <v>0</v>
      </c>
    </row>
    <row r="33" spans="2:36" x14ac:dyDescent="0.15">
      <c r="B33" s="97" t="s">
        <v>1003</v>
      </c>
      <c r="C33" s="94">
        <f>SUMIFS('caseload data'!E:E,'caseload data'!$D:$D,"TPO",'caseload data'!$C:$C,'divisional &amp; regional caseload'!$B$29)</f>
        <v>0</v>
      </c>
      <c r="D33" s="94">
        <f>SUMIFS('caseload data'!F:F,'caseload data'!$D:$D,"TPO",'caseload data'!$C:$C,'divisional &amp; regional caseload'!$B$29)</f>
        <v>0</v>
      </c>
      <c r="E33" s="94">
        <f>SUMIFS('caseload data'!G:G,'caseload data'!$D:$D,"TPO",'caseload data'!$C:$C,'divisional &amp; regional caseload'!$B$29)</f>
        <v>0</v>
      </c>
      <c r="F33" s="94">
        <f>SUMIFS('caseload data'!H:H,'caseload data'!$D:$D,"TPO",'caseload data'!$C:$C,'divisional &amp; regional caseload'!$B$29)</f>
        <v>0</v>
      </c>
      <c r="G33" s="94">
        <f>SUMIFS('caseload data'!I:I,'caseload data'!$D:$D,"TPO",'caseload data'!$C:$C,'divisional &amp; regional caseload'!$B$29)</f>
        <v>0</v>
      </c>
      <c r="H33" s="94">
        <f>SUMIFS('caseload data'!J:J,'caseload data'!$D:$D,"TPO",'caseload data'!$C:$C,'divisional &amp; regional caseload'!$B$29)</f>
        <v>0</v>
      </c>
      <c r="I33" s="94">
        <f>SUMIFS('caseload data'!K:K,'caseload data'!$D:$D,"TPO",'caseload data'!$C:$C,'divisional &amp; regional caseload'!$B$29)</f>
        <v>0</v>
      </c>
      <c r="J33" s="94">
        <f>SUMIFS('caseload data'!L:L,'caseload data'!$D:$D,"TPO",'caseload data'!$C:$C,'divisional &amp; regional caseload'!$B$29)</f>
        <v>0</v>
      </c>
      <c r="K33" s="94">
        <f>SUMIFS('caseload data'!M:M,'caseload data'!$D:$D,"TPO",'caseload data'!$C:$C,'divisional &amp; regional caseload'!$B$29)</f>
        <v>0</v>
      </c>
      <c r="L33" s="94">
        <f>SUMIFS('caseload data'!N:N,'caseload data'!$D:$D,"TPO",'caseload data'!$C:$C,'divisional &amp; regional caseload'!$B$29)</f>
        <v>0</v>
      </c>
      <c r="M33" s="94">
        <f>SUMIFS('caseload data'!O:O,'caseload data'!$D:$D,"TPO",'caseload data'!$C:$C,'divisional &amp; regional caseload'!$B$29)</f>
        <v>0</v>
      </c>
      <c r="N33" s="94">
        <f>SUMIFS('caseload data'!P:P,'caseload data'!$D:$D,"TPO",'caseload data'!$C:$C,'divisional &amp; regional caseload'!$B$29)</f>
        <v>0</v>
      </c>
      <c r="O33" s="94">
        <f>SUMIFS('caseload data'!Q:Q,'caseload data'!$D:$D,"TPO",'caseload data'!$C:$C,'divisional &amp; regional caseload'!$B$29)</f>
        <v>0</v>
      </c>
      <c r="P33" s="94">
        <f>SUMIFS('caseload data'!R:R,'caseload data'!$D:$D,"TPO",'caseload data'!$C:$C,'divisional &amp; regional caseload'!$B$29)</f>
        <v>0</v>
      </c>
      <c r="Q33" s="94">
        <f>SUMIFS('caseload data'!S:S,'caseload data'!$D:$D,"TPO",'caseload data'!$C:$C,'divisional &amp; regional caseload'!$B$29)</f>
        <v>0</v>
      </c>
      <c r="R33" s="94">
        <f>SUMIFS('caseload data'!T:T,'caseload data'!$D:$D,"TPO",'caseload data'!$C:$C,'divisional &amp; regional caseload'!$B$29)</f>
        <v>0</v>
      </c>
      <c r="S33" s="91"/>
      <c r="T33" s="97" t="s">
        <v>1003</v>
      </c>
      <c r="U33" s="94">
        <f>SUMIFS('caseload data'!E:E,'caseload data'!$D:$D,"TPO",'caseload data'!$C:$C,'divisional &amp; regional caseload'!$T$29)</f>
        <v>0</v>
      </c>
      <c r="V33" s="94">
        <f>SUMIFS('caseload data'!F:F,'caseload data'!$D:$D,"TPO",'caseload data'!$C:$C,'divisional &amp; regional caseload'!$T$29)</f>
        <v>0</v>
      </c>
      <c r="W33" s="94">
        <f>SUMIFS('caseload data'!G:G,'caseload data'!$D:$D,"TPO",'caseload data'!$C:$C,'divisional &amp; regional caseload'!$T$29)</f>
        <v>0</v>
      </c>
      <c r="X33" s="94">
        <f>SUMIFS('caseload data'!H:H,'caseload data'!$D:$D,"TPO",'caseload data'!$C:$C,'divisional &amp; regional caseload'!$T$29)</f>
        <v>0</v>
      </c>
      <c r="Y33" s="94">
        <f>SUMIFS('caseload data'!I:I,'caseload data'!$D:$D,"TPO",'caseload data'!$C:$C,'divisional &amp; regional caseload'!$T$29)</f>
        <v>0</v>
      </c>
      <c r="Z33" s="94">
        <f>SUMIFS('caseload data'!J:J,'caseload data'!$D:$D,"TPO",'caseload data'!$C:$C,'divisional &amp; regional caseload'!$T$29)</f>
        <v>0</v>
      </c>
      <c r="AA33" s="94">
        <f>SUMIFS('caseload data'!K:K,'caseload data'!$D:$D,"TPO",'caseload data'!$C:$C,'divisional &amp; regional caseload'!$T$29)</f>
        <v>0</v>
      </c>
      <c r="AB33" s="94">
        <f>SUMIFS('caseload data'!L:L,'caseload data'!$D:$D,"TPO",'caseload data'!$C:$C,'divisional &amp; regional caseload'!$T$29)</f>
        <v>0</v>
      </c>
      <c r="AC33" s="94">
        <f>SUMIFS('caseload data'!M:M,'caseload data'!$D:$D,"TPO",'caseload data'!$C:$C,'divisional &amp; regional caseload'!$T$29)</f>
        <v>0</v>
      </c>
      <c r="AD33" s="94">
        <f>SUMIFS('caseload data'!N:N,'caseload data'!$D:$D,"TPO",'caseload data'!$C:$C,'divisional &amp; regional caseload'!$T$29)</f>
        <v>0</v>
      </c>
      <c r="AE33" s="94">
        <f>SUMIFS('caseload data'!O:O,'caseload data'!$D:$D,"TPO",'caseload data'!$C:$C,'divisional &amp; regional caseload'!$T$29)</f>
        <v>0</v>
      </c>
      <c r="AF33" s="94">
        <f>SUMIFS('caseload data'!P:P,'caseload data'!$D:$D,"TPO",'caseload data'!$C:$C,'divisional &amp; regional caseload'!$T$29)</f>
        <v>0</v>
      </c>
      <c r="AG33" s="94">
        <f>SUMIFS('caseload data'!Q:Q,'caseload data'!$D:$D,"TPO",'caseload data'!$C:$C,'divisional &amp; regional caseload'!$T$29)</f>
        <v>0</v>
      </c>
      <c r="AH33" s="94">
        <f>SUMIFS('caseload data'!R:R,'caseload data'!$D:$D,"TPO",'caseload data'!$C:$C,'divisional &amp; regional caseload'!$T$29)</f>
        <v>0</v>
      </c>
      <c r="AI33" s="94">
        <f>SUMIFS('caseload data'!S:S,'caseload data'!$D:$D,"TPO",'caseload data'!$C:$C,'divisional &amp; regional caseload'!$T$29)</f>
        <v>0</v>
      </c>
      <c r="AJ33" s="94">
        <f>SUMIFS('caseload data'!T:T,'caseload data'!$D:$D,"TPO",'caseload data'!$C:$C,'divisional &amp; regional caseload'!$T$29)</f>
        <v>0</v>
      </c>
    </row>
    <row r="34" spans="2:36" x14ac:dyDescent="0.15">
      <c r="B34" s="98" t="s">
        <v>1004</v>
      </c>
      <c r="C34" s="94">
        <f>SUMIFS('caseload data'!E:E,'caseload data'!$D:$D,"SPO",'caseload data'!$C:$C,'divisional &amp; regional caseload'!$B$29)</f>
        <v>0</v>
      </c>
      <c r="D34" s="94">
        <f>SUMIFS('caseload data'!F:F,'caseload data'!$D:$D,"SPO",'caseload data'!$C:$C,'divisional &amp; regional caseload'!$B$29)</f>
        <v>0</v>
      </c>
      <c r="E34" s="94">
        <f>SUMIFS('caseload data'!G:G,'caseload data'!$D:$D,"SPO",'caseload data'!$C:$C,'divisional &amp; regional caseload'!$B$29)</f>
        <v>0</v>
      </c>
      <c r="F34" s="94">
        <f>SUMIFS('caseload data'!H:H,'caseload data'!$D:$D,"SPO",'caseload data'!$C:$C,'divisional &amp; regional caseload'!$B$29)</f>
        <v>0</v>
      </c>
      <c r="G34" s="94">
        <f>SUMIFS('caseload data'!I:I,'caseload data'!$D:$D,"SPO",'caseload data'!$C:$C,'divisional &amp; regional caseload'!$B$29)</f>
        <v>0</v>
      </c>
      <c r="H34" s="94">
        <f>SUMIFS('caseload data'!J:J,'caseload data'!$D:$D,"SPO",'caseload data'!$C:$C,'divisional &amp; regional caseload'!$B$29)</f>
        <v>0</v>
      </c>
      <c r="I34" s="94">
        <f>SUMIFS('caseload data'!K:K,'caseload data'!$D:$D,"SPO",'caseload data'!$C:$C,'divisional &amp; regional caseload'!$B$29)</f>
        <v>0</v>
      </c>
      <c r="J34" s="94">
        <f>SUMIFS('caseload data'!L:L,'caseload data'!$D:$D,"SPO",'caseload data'!$C:$C,'divisional &amp; regional caseload'!$B$29)</f>
        <v>0</v>
      </c>
      <c r="K34" s="94">
        <f>SUMIFS('caseload data'!M:M,'caseload data'!$D:$D,"SPO",'caseload data'!$C:$C,'divisional &amp; regional caseload'!$B$29)</f>
        <v>0</v>
      </c>
      <c r="L34" s="94">
        <f>SUMIFS('caseload data'!N:N,'caseload data'!$D:$D,"SPO",'caseload data'!$C:$C,'divisional &amp; regional caseload'!$B$29)</f>
        <v>0</v>
      </c>
      <c r="M34" s="94">
        <f>SUMIFS('caseload data'!O:O,'caseload data'!$D:$D,"SPO",'caseload data'!$C:$C,'divisional &amp; regional caseload'!$B$29)</f>
        <v>0</v>
      </c>
      <c r="N34" s="94">
        <f>SUMIFS('caseload data'!P:P,'caseload data'!$D:$D,"SPO",'caseload data'!$C:$C,'divisional &amp; regional caseload'!$B$29)</f>
        <v>0</v>
      </c>
      <c r="O34" s="94">
        <f>SUMIFS('caseload data'!Q:Q,'caseload data'!$D:$D,"SPO",'caseload data'!$C:$C,'divisional &amp; regional caseload'!$B$29)</f>
        <v>0</v>
      </c>
      <c r="P34" s="94">
        <f>SUMIFS('caseload data'!R:R,'caseload data'!$D:$D,"SPO",'caseload data'!$C:$C,'divisional &amp; regional caseload'!$B$29)</f>
        <v>0</v>
      </c>
      <c r="Q34" s="94">
        <f>SUMIFS('caseload data'!S:S,'caseload data'!$D:$D,"SPO",'caseload data'!$C:$C,'divisional &amp; regional caseload'!$B$29)</f>
        <v>0</v>
      </c>
      <c r="R34" s="94">
        <f>SUMIFS('caseload data'!T:T,'caseload data'!$D:$D,"SPO",'caseload data'!$C:$C,'divisional &amp; regional caseload'!$B$29)</f>
        <v>0</v>
      </c>
      <c r="S34" s="91"/>
      <c r="T34" s="98" t="s">
        <v>1004</v>
      </c>
      <c r="U34" s="94">
        <f>SUMIFS('caseload data'!E:E,'caseload data'!$D:$D,"SPO",'caseload data'!$C:$C,'divisional &amp; regional caseload'!$T$29)</f>
        <v>0</v>
      </c>
      <c r="V34" s="94">
        <f>SUMIFS('caseload data'!F:F,'caseload data'!$D:$D,"SPO",'caseload data'!$C:$C,'divisional &amp; regional caseload'!$T$29)</f>
        <v>0</v>
      </c>
      <c r="W34" s="94">
        <f>SUMIFS('caseload data'!G:G,'caseload data'!$D:$D,"SPO",'caseload data'!$C:$C,'divisional &amp; regional caseload'!$T$29)</f>
        <v>0</v>
      </c>
      <c r="X34" s="94">
        <f>SUMIFS('caseload data'!H:H,'caseload data'!$D:$D,"SPO",'caseload data'!$C:$C,'divisional &amp; regional caseload'!$T$29)</f>
        <v>0</v>
      </c>
      <c r="Y34" s="94">
        <f>SUMIFS('caseload data'!I:I,'caseload data'!$D:$D,"SPO",'caseload data'!$C:$C,'divisional &amp; regional caseload'!$T$29)</f>
        <v>0</v>
      </c>
      <c r="Z34" s="94">
        <f>SUMIFS('caseload data'!J:J,'caseload data'!$D:$D,"SPO",'caseload data'!$C:$C,'divisional &amp; regional caseload'!$T$29)</f>
        <v>0</v>
      </c>
      <c r="AA34" s="94">
        <f>SUMIFS('caseload data'!K:K,'caseload data'!$D:$D,"SPO",'caseload data'!$C:$C,'divisional &amp; regional caseload'!$T$29)</f>
        <v>0</v>
      </c>
      <c r="AB34" s="94">
        <f>SUMIFS('caseload data'!L:L,'caseload data'!$D:$D,"SPO",'caseload data'!$C:$C,'divisional &amp; regional caseload'!$T$29)</f>
        <v>0</v>
      </c>
      <c r="AC34" s="94">
        <f>SUMIFS('caseload data'!M:M,'caseload data'!$D:$D,"SPO",'caseload data'!$C:$C,'divisional &amp; regional caseload'!$T$29)</f>
        <v>0</v>
      </c>
      <c r="AD34" s="94">
        <f>SUMIFS('caseload data'!N:N,'caseload data'!$D:$D,"SPO",'caseload data'!$C:$C,'divisional &amp; regional caseload'!$T$29)</f>
        <v>0</v>
      </c>
      <c r="AE34" s="94">
        <f>SUMIFS('caseload data'!O:O,'caseload data'!$D:$D,"SPO",'caseload data'!$C:$C,'divisional &amp; regional caseload'!$T$29)</f>
        <v>0</v>
      </c>
      <c r="AF34" s="94">
        <f>SUMIFS('caseload data'!P:P,'caseload data'!$D:$D,"SPO",'caseload data'!$C:$C,'divisional &amp; regional caseload'!$T$29)</f>
        <v>0</v>
      </c>
      <c r="AG34" s="94">
        <f>SUMIFS('caseload data'!Q:Q,'caseload data'!$D:$D,"SPO",'caseload data'!$C:$C,'divisional &amp; regional caseload'!$T$29)</f>
        <v>0</v>
      </c>
      <c r="AH34" s="94">
        <f>SUMIFS('caseload data'!R:R,'caseload data'!$D:$D,"SPO",'caseload data'!$C:$C,'divisional &amp; regional caseload'!$T$29)</f>
        <v>0</v>
      </c>
      <c r="AI34" s="94">
        <f>SUMIFS('caseload data'!S:S,'caseload data'!$D:$D,"SPO",'caseload data'!$C:$C,'divisional &amp; regional caseload'!$T$29)</f>
        <v>0</v>
      </c>
      <c r="AJ34" s="94">
        <f>SUMIFS('caseload data'!T:T,'caseload data'!$D:$D,"SPO",'caseload data'!$C:$C,'divisional &amp; regional caseload'!$T$29)</f>
        <v>0</v>
      </c>
    </row>
    <row r="35" spans="2:36" x14ac:dyDescent="0.15">
      <c r="B35" s="91"/>
      <c r="C35" s="91"/>
      <c r="D35" s="91"/>
      <c r="E35" s="91"/>
      <c r="F35" s="91"/>
      <c r="G35" s="91"/>
      <c r="H35" s="91"/>
      <c r="I35" s="91"/>
      <c r="J35" s="91"/>
      <c r="K35" s="91"/>
      <c r="L35" s="91"/>
      <c r="M35" s="91"/>
      <c r="N35" s="91"/>
      <c r="O35" s="91"/>
      <c r="P35" s="91"/>
      <c r="Q35" s="91"/>
      <c r="R35" s="91"/>
      <c r="S35" s="91"/>
      <c r="T35" s="91"/>
      <c r="U35" s="91"/>
      <c r="V35" s="91"/>
      <c r="W35" s="91"/>
      <c r="X35" s="91"/>
      <c r="Y35" s="91"/>
      <c r="Z35" s="91"/>
      <c r="AA35" s="91"/>
    </row>
    <row r="36" spans="2:36" ht="27.75" customHeight="1" x14ac:dyDescent="0.15">
      <c r="B36" s="289" t="str">
        <f>HLOOKUP($B$5,Region_Table,10,0)</f>
        <v>Sunderland - N54</v>
      </c>
      <c r="C36" s="517" t="s">
        <v>1093</v>
      </c>
      <c r="D36" s="518"/>
      <c r="E36" s="518"/>
      <c r="F36" s="518"/>
      <c r="G36" s="518"/>
      <c r="H36" s="518"/>
      <c r="I36" s="518"/>
      <c r="J36" s="518"/>
      <c r="K36" s="518"/>
      <c r="L36" s="518"/>
      <c r="M36" s="522"/>
      <c r="N36" s="522"/>
      <c r="O36" s="523"/>
      <c r="P36" s="512">
        <f>SUMIF('caseload data'!$C:$C,'divisional &amp; regional caseload'!B36,'caseload data'!V:V)</f>
        <v>0</v>
      </c>
      <c r="Q36" s="513"/>
      <c r="R36" s="514"/>
      <c r="S36" s="91"/>
      <c r="T36" s="289" t="str">
        <f>HLOOKUP($B$5,Region_Table,11,0)</f>
        <v>Unallocated Level(N54)</v>
      </c>
      <c r="U36" s="517" t="s">
        <v>1092</v>
      </c>
      <c r="V36" s="518"/>
      <c r="W36" s="518"/>
      <c r="X36" s="518"/>
      <c r="Y36" s="518"/>
      <c r="Z36" s="518"/>
      <c r="AA36" s="518"/>
      <c r="AB36" s="518"/>
      <c r="AC36" s="518"/>
      <c r="AD36" s="518"/>
      <c r="AE36" s="518"/>
      <c r="AF36" s="518"/>
      <c r="AG36" s="519"/>
      <c r="AH36" s="512">
        <f>SUMIF('caseload data'!$C:$C,'divisional &amp; regional caseload'!T36,'caseload data'!V:V)</f>
        <v>0</v>
      </c>
      <c r="AI36" s="513"/>
      <c r="AJ36" s="514"/>
    </row>
    <row r="37" spans="2:36" x14ac:dyDescent="0.15">
      <c r="B37" s="95" t="s">
        <v>1000</v>
      </c>
      <c r="C37" s="38" t="s">
        <v>864</v>
      </c>
      <c r="D37" s="38" t="s">
        <v>865</v>
      </c>
      <c r="E37" s="38" t="s">
        <v>866</v>
      </c>
      <c r="F37" s="38" t="s">
        <v>867</v>
      </c>
      <c r="G37" s="38" t="s">
        <v>868</v>
      </c>
      <c r="H37" s="38" t="s">
        <v>869</v>
      </c>
      <c r="I37" s="38" t="s">
        <v>870</v>
      </c>
      <c r="J37" s="38" t="s">
        <v>871</v>
      </c>
      <c r="K37" s="38" t="s">
        <v>872</v>
      </c>
      <c r="L37" s="38" t="s">
        <v>873</v>
      </c>
      <c r="M37" s="38" t="s">
        <v>874</v>
      </c>
      <c r="N37" s="38" t="s">
        <v>875</v>
      </c>
      <c r="O37" s="38" t="s">
        <v>876</v>
      </c>
      <c r="P37" s="38" t="s">
        <v>877</v>
      </c>
      <c r="Q37" s="38" t="s">
        <v>878</v>
      </c>
      <c r="R37" s="38" t="s">
        <v>879</v>
      </c>
      <c r="S37" s="91"/>
      <c r="T37" s="95" t="s">
        <v>1000</v>
      </c>
      <c r="U37" s="38" t="s">
        <v>864</v>
      </c>
      <c r="V37" s="38" t="s">
        <v>865</v>
      </c>
      <c r="W37" s="38" t="s">
        <v>866</v>
      </c>
      <c r="X37" s="38" t="s">
        <v>867</v>
      </c>
      <c r="Y37" s="38" t="s">
        <v>868</v>
      </c>
      <c r="Z37" s="38" t="s">
        <v>869</v>
      </c>
      <c r="AA37" s="38" t="s">
        <v>870</v>
      </c>
      <c r="AB37" s="38" t="s">
        <v>871</v>
      </c>
      <c r="AC37" s="38" t="s">
        <v>872</v>
      </c>
      <c r="AD37" s="38" t="s">
        <v>873</v>
      </c>
      <c r="AE37" s="38" t="s">
        <v>874</v>
      </c>
      <c r="AF37" s="38" t="s">
        <v>875</v>
      </c>
      <c r="AG37" s="38" t="s">
        <v>876</v>
      </c>
      <c r="AH37" s="38" t="s">
        <v>877</v>
      </c>
      <c r="AI37" s="38" t="s">
        <v>878</v>
      </c>
      <c r="AJ37" s="38" t="s">
        <v>879</v>
      </c>
    </row>
    <row r="38" spans="2:36" x14ac:dyDescent="0.15">
      <c r="B38" s="96" t="s">
        <v>997</v>
      </c>
      <c r="C38" s="94">
        <f>SUMIFS('caseload data'!E:E,'caseload data'!$D:$D,"PO",'caseload data'!$C:$C,'divisional &amp; regional caseload'!$B$36)</f>
        <v>0</v>
      </c>
      <c r="D38" s="94">
        <f>SUMIFS('caseload data'!F:F,'caseload data'!$D:$D,"PO",'caseload data'!$C:$C,'divisional &amp; regional caseload'!$B$36)</f>
        <v>0</v>
      </c>
      <c r="E38" s="94">
        <f>SUMIFS('caseload data'!G:G,'caseload data'!$D:$D,"PO",'caseload data'!$C:$C,'divisional &amp; regional caseload'!$B$36)</f>
        <v>0</v>
      </c>
      <c r="F38" s="94">
        <f>SUMIFS('caseload data'!H:H,'caseload data'!$D:$D,"PO",'caseload data'!$C:$C,'divisional &amp; regional caseload'!$B$36)</f>
        <v>0</v>
      </c>
      <c r="G38" s="94">
        <f>SUMIFS('caseload data'!I:I,'caseload data'!$D:$D,"PO",'caseload data'!$C:$C,'divisional &amp; regional caseload'!$B$36)</f>
        <v>0</v>
      </c>
      <c r="H38" s="94">
        <f>SUMIFS('caseload data'!J:J,'caseload data'!$D:$D,"PO",'caseload data'!$C:$C,'divisional &amp; regional caseload'!$B$36)</f>
        <v>0</v>
      </c>
      <c r="I38" s="94">
        <f>SUMIFS('caseload data'!K:K,'caseload data'!$D:$D,"PO",'caseload data'!$C:$C,'divisional &amp; regional caseload'!$B$36)</f>
        <v>0</v>
      </c>
      <c r="J38" s="94">
        <f>SUMIFS('caseload data'!L:L,'caseload data'!$D:$D,"PO",'caseload data'!$C:$C,'divisional &amp; regional caseload'!$B$36)</f>
        <v>0</v>
      </c>
      <c r="K38" s="94">
        <f>SUMIFS('caseload data'!M:M,'caseload data'!$D:$D,"PO",'caseload data'!$C:$C,'divisional &amp; regional caseload'!$B$36)</f>
        <v>0</v>
      </c>
      <c r="L38" s="94">
        <f>SUMIFS('caseload data'!N:N,'caseload data'!$D:$D,"PO",'caseload data'!$C:$C,'divisional &amp; regional caseload'!$B$36)</f>
        <v>0</v>
      </c>
      <c r="M38" s="94">
        <f>SUMIFS('caseload data'!O:O,'caseload data'!$D:$D,"PO",'caseload data'!$C:$C,'divisional &amp; regional caseload'!$B$36)</f>
        <v>0</v>
      </c>
      <c r="N38" s="94">
        <f>SUMIFS('caseload data'!P:P,'caseload data'!$D:$D,"PO",'caseload data'!$C:$C,'divisional &amp; regional caseload'!$B$36)</f>
        <v>0</v>
      </c>
      <c r="O38" s="94">
        <f>SUMIFS('caseload data'!Q:Q,'caseload data'!$D:$D,"PO",'caseload data'!$C:$C,'divisional &amp; regional caseload'!$B$36)</f>
        <v>0</v>
      </c>
      <c r="P38" s="94">
        <f>SUMIFS('caseload data'!R:R,'caseload data'!$D:$D,"PO",'caseload data'!$C:$C,'divisional &amp; regional caseload'!$B$36)</f>
        <v>0</v>
      </c>
      <c r="Q38" s="94">
        <f>SUMIFS('caseload data'!S:S,'caseload data'!$D:$D,"PO",'caseload data'!$C:$C,'divisional &amp; regional caseload'!$B$36)</f>
        <v>0</v>
      </c>
      <c r="R38" s="94">
        <f>SUMIFS('caseload data'!T:T,'caseload data'!$D:$D,"PO",'caseload data'!$C:$C,'divisional &amp; regional caseload'!$B$36)</f>
        <v>0</v>
      </c>
      <c r="S38" s="91"/>
      <c r="T38" s="96" t="s">
        <v>997</v>
      </c>
      <c r="U38" s="94">
        <f>SUMIFS('caseload data'!E:E,'caseload data'!$D:$D,"PO",'caseload data'!$C:$C,'divisional &amp; regional caseload'!$T$36)</f>
        <v>0</v>
      </c>
      <c r="V38" s="94">
        <f>SUMIFS('caseload data'!F:F,'caseload data'!$D:$D,"PO",'caseload data'!$C:$C,'divisional &amp; regional caseload'!$T$36)</f>
        <v>0</v>
      </c>
      <c r="W38" s="94">
        <f>SUMIFS('caseload data'!G:G,'caseload data'!$D:$D,"PO",'caseload data'!$C:$C,'divisional &amp; regional caseload'!$T$36)</f>
        <v>0</v>
      </c>
      <c r="X38" s="94">
        <f>SUMIFS('caseload data'!H:H,'caseload data'!$D:$D,"PO",'caseload data'!$C:$C,'divisional &amp; regional caseload'!$T$36)</f>
        <v>0</v>
      </c>
      <c r="Y38" s="94">
        <f>SUMIFS('caseload data'!I:I,'caseload data'!$D:$D,"PO",'caseload data'!$C:$C,'divisional &amp; regional caseload'!$T$36)</f>
        <v>0</v>
      </c>
      <c r="Z38" s="94">
        <f>SUMIFS('caseload data'!J:J,'caseload data'!$D:$D,"PO",'caseload data'!$C:$C,'divisional &amp; regional caseload'!$T$36)</f>
        <v>0</v>
      </c>
      <c r="AA38" s="94">
        <f>SUMIFS('caseload data'!K:K,'caseload data'!$D:$D,"PO",'caseload data'!$C:$C,'divisional &amp; regional caseload'!$T$36)</f>
        <v>0</v>
      </c>
      <c r="AB38" s="94">
        <f>SUMIFS('caseload data'!L:L,'caseload data'!$D:$D,"PO",'caseload data'!$C:$C,'divisional &amp; regional caseload'!$T$36)</f>
        <v>0</v>
      </c>
      <c r="AC38" s="94">
        <f>SUMIFS('caseload data'!M:M,'caseload data'!$D:$D,"PO",'caseload data'!$C:$C,'divisional &amp; regional caseload'!$T$36)</f>
        <v>0</v>
      </c>
      <c r="AD38" s="94">
        <f>SUMIFS('caseload data'!N:N,'caseload data'!$D:$D,"PO",'caseload data'!$C:$C,'divisional &amp; regional caseload'!$T$36)</f>
        <v>0</v>
      </c>
      <c r="AE38" s="94">
        <f>SUMIFS('caseload data'!O:O,'caseload data'!$D:$D,"PO",'caseload data'!$C:$C,'divisional &amp; regional caseload'!$T$36)</f>
        <v>0</v>
      </c>
      <c r="AF38" s="94">
        <f>SUMIFS('caseload data'!P:P,'caseload data'!$D:$D,"PO",'caseload data'!$C:$C,'divisional &amp; regional caseload'!$T$36)</f>
        <v>0</v>
      </c>
      <c r="AG38" s="94">
        <f>SUMIFS('caseload data'!Q:Q,'caseload data'!$D:$D,"PO",'caseload data'!$C:$C,'divisional &amp; regional caseload'!$T$36)</f>
        <v>0</v>
      </c>
      <c r="AH38" s="94">
        <f>SUMIFS('caseload data'!R:R,'caseload data'!$D:$D,"PO",'caseload data'!$C:$C,'divisional &amp; regional caseload'!$T$36)</f>
        <v>0</v>
      </c>
      <c r="AI38" s="94">
        <f>SUMIFS('caseload data'!S:S,'caseload data'!$D:$D,"PO",'caseload data'!$C:$C,'divisional &amp; regional caseload'!$T$36)</f>
        <v>0</v>
      </c>
      <c r="AJ38" s="94">
        <f>SUMIFS('caseload data'!T:T,'caseload data'!$D:$D,"PO",'caseload data'!$C:$C,'divisional &amp; regional caseload'!$T$36)</f>
        <v>0</v>
      </c>
    </row>
    <row r="39" spans="2:36" x14ac:dyDescent="0.15">
      <c r="B39" s="97" t="s">
        <v>1002</v>
      </c>
      <c r="C39" s="94">
        <f>SUMIFS('caseload data'!E:E,'caseload data'!$D:$D,"PSO",'caseload data'!$C:$C,'divisional &amp; regional caseload'!$B$36)</f>
        <v>0</v>
      </c>
      <c r="D39" s="94">
        <f>SUMIFS('caseload data'!F:F,'caseload data'!$D:$D,"PSO",'caseload data'!$C:$C,'divisional &amp; regional caseload'!$B$36)</f>
        <v>0</v>
      </c>
      <c r="E39" s="94">
        <f>SUMIFS('caseload data'!G:G,'caseload data'!$D:$D,"PSO",'caseload data'!$C:$C,'divisional &amp; regional caseload'!$B$36)</f>
        <v>0</v>
      </c>
      <c r="F39" s="94">
        <f>SUMIFS('caseload data'!H:H,'caseload data'!$D:$D,"PSO",'caseload data'!$C:$C,'divisional &amp; regional caseload'!$B$36)</f>
        <v>0</v>
      </c>
      <c r="G39" s="94">
        <f>SUMIFS('caseload data'!I:I,'caseload data'!$D:$D,"PSO",'caseload data'!$C:$C,'divisional &amp; regional caseload'!$B$36)</f>
        <v>0</v>
      </c>
      <c r="H39" s="94">
        <f>SUMIFS('caseload data'!J:J,'caseload data'!$D:$D,"PSO",'caseload data'!$C:$C,'divisional &amp; regional caseload'!$B$36)</f>
        <v>0</v>
      </c>
      <c r="I39" s="94">
        <f>SUMIFS('caseload data'!K:K,'caseload data'!$D:$D,"PSO",'caseload data'!$C:$C,'divisional &amp; regional caseload'!$B$36)</f>
        <v>0</v>
      </c>
      <c r="J39" s="94">
        <f>SUMIFS('caseload data'!L:L,'caseload data'!$D:$D,"PSO",'caseload data'!$C:$C,'divisional &amp; regional caseload'!$B$36)</f>
        <v>0</v>
      </c>
      <c r="K39" s="94">
        <f>SUMIFS('caseload data'!M:M,'caseload data'!$D:$D,"PSO",'caseload data'!$C:$C,'divisional &amp; regional caseload'!$B$36)</f>
        <v>0</v>
      </c>
      <c r="L39" s="94">
        <f>SUMIFS('caseload data'!N:N,'caseload data'!$D:$D,"PSO",'caseload data'!$C:$C,'divisional &amp; regional caseload'!$B$36)</f>
        <v>0</v>
      </c>
      <c r="M39" s="94">
        <f>SUMIFS('caseload data'!O:O,'caseload data'!$D:$D,"PSO",'caseload data'!$C:$C,'divisional &amp; regional caseload'!$B$36)</f>
        <v>0</v>
      </c>
      <c r="N39" s="94">
        <f>SUMIFS('caseload data'!P:P,'caseload data'!$D:$D,"PSO",'caseload data'!$C:$C,'divisional &amp; regional caseload'!$B$36)</f>
        <v>0</v>
      </c>
      <c r="O39" s="94">
        <f>SUMIFS('caseload data'!Q:Q,'caseload data'!$D:$D,"PSO",'caseload data'!$C:$C,'divisional &amp; regional caseload'!$B$36)</f>
        <v>0</v>
      </c>
      <c r="P39" s="94">
        <f>SUMIFS('caseload data'!R:R,'caseload data'!$D:$D,"PSO",'caseload data'!$C:$C,'divisional &amp; regional caseload'!$B$36)</f>
        <v>0</v>
      </c>
      <c r="Q39" s="94">
        <f>SUMIFS('caseload data'!S:S,'caseload data'!$D:$D,"PSO",'caseload data'!$C:$C,'divisional &amp; regional caseload'!$B$36)</f>
        <v>0</v>
      </c>
      <c r="R39" s="94">
        <f>SUMIFS('caseload data'!T:T,'caseload data'!$D:$D,"PSO",'caseload data'!$C:$C,'divisional &amp; regional caseload'!$B$36)</f>
        <v>0</v>
      </c>
      <c r="S39" s="91"/>
      <c r="T39" s="97" t="s">
        <v>1002</v>
      </c>
      <c r="U39" s="94">
        <f>SUMIFS('caseload data'!E:E,'caseload data'!$D:$D,"PSO",'caseload data'!$C:$C,'divisional &amp; regional caseload'!$T$36)</f>
        <v>0</v>
      </c>
      <c r="V39" s="94">
        <f>SUMIFS('caseload data'!F:F,'caseload data'!$D:$D,"PSO",'caseload data'!$C:$C,'divisional &amp; regional caseload'!$T$36)</f>
        <v>0</v>
      </c>
      <c r="W39" s="94">
        <f>SUMIFS('caseload data'!G:G,'caseload data'!$D:$D,"PSO",'caseload data'!$C:$C,'divisional &amp; regional caseload'!$T$36)</f>
        <v>0</v>
      </c>
      <c r="X39" s="94">
        <f>SUMIFS('caseload data'!H:H,'caseload data'!$D:$D,"PSO",'caseload data'!$C:$C,'divisional &amp; regional caseload'!$T$36)</f>
        <v>0</v>
      </c>
      <c r="Y39" s="94">
        <f>SUMIFS('caseload data'!I:I,'caseload data'!$D:$D,"PSO",'caseload data'!$C:$C,'divisional &amp; regional caseload'!$T$36)</f>
        <v>0</v>
      </c>
      <c r="Z39" s="94">
        <f>SUMIFS('caseload data'!J:J,'caseload data'!$D:$D,"PSO",'caseload data'!$C:$C,'divisional &amp; regional caseload'!$T$36)</f>
        <v>0</v>
      </c>
      <c r="AA39" s="94">
        <f>SUMIFS('caseload data'!K:K,'caseload data'!$D:$D,"PSO",'caseload data'!$C:$C,'divisional &amp; regional caseload'!$T$36)</f>
        <v>0</v>
      </c>
      <c r="AB39" s="94">
        <f>SUMIFS('caseload data'!L:L,'caseload data'!$D:$D,"PSO",'caseload data'!$C:$C,'divisional &amp; regional caseload'!$T$36)</f>
        <v>0</v>
      </c>
      <c r="AC39" s="94">
        <f>SUMIFS('caseload data'!M:M,'caseload data'!$D:$D,"PSO",'caseload data'!$C:$C,'divisional &amp; regional caseload'!$T$36)</f>
        <v>0</v>
      </c>
      <c r="AD39" s="94">
        <f>SUMIFS('caseload data'!N:N,'caseload data'!$D:$D,"PSO",'caseload data'!$C:$C,'divisional &amp; regional caseload'!$T$36)</f>
        <v>0</v>
      </c>
      <c r="AE39" s="94">
        <f>SUMIFS('caseload data'!O:O,'caseload data'!$D:$D,"PSO",'caseload data'!$C:$C,'divisional &amp; regional caseload'!$T$36)</f>
        <v>0</v>
      </c>
      <c r="AF39" s="94">
        <f>SUMIFS('caseload data'!P:P,'caseload data'!$D:$D,"PSO",'caseload data'!$C:$C,'divisional &amp; regional caseload'!$T$36)</f>
        <v>0</v>
      </c>
      <c r="AG39" s="94">
        <f>SUMIFS('caseload data'!Q:Q,'caseload data'!$D:$D,"PSO",'caseload data'!$C:$C,'divisional &amp; regional caseload'!$T$36)</f>
        <v>0</v>
      </c>
      <c r="AH39" s="94">
        <f>SUMIFS('caseload data'!R:R,'caseload data'!$D:$D,"PSO",'caseload data'!$C:$C,'divisional &amp; regional caseload'!$T$36)</f>
        <v>0</v>
      </c>
      <c r="AI39" s="94">
        <f>SUMIFS('caseload data'!S:S,'caseload data'!$D:$D,"PSO",'caseload data'!$C:$C,'divisional &amp; regional caseload'!$T$36)</f>
        <v>0</v>
      </c>
      <c r="AJ39" s="94">
        <f>SUMIFS('caseload data'!T:T,'caseload data'!$D:$D,"PSO",'caseload data'!$C:$C,'divisional &amp; regional caseload'!$T$36)</f>
        <v>0</v>
      </c>
    </row>
    <row r="40" spans="2:36" x14ac:dyDescent="0.15">
      <c r="B40" s="97" t="s">
        <v>1003</v>
      </c>
      <c r="C40" s="94">
        <f>SUMIFS('caseload data'!E:E,'caseload data'!$D:$D,"TPO",'caseload data'!$C:$C,'divisional &amp; regional caseload'!$B$36)</f>
        <v>0</v>
      </c>
      <c r="D40" s="94">
        <f>SUMIFS('caseload data'!F:F,'caseload data'!$D:$D,"TPO",'caseload data'!$C:$C,'divisional &amp; regional caseload'!$B$36)</f>
        <v>0</v>
      </c>
      <c r="E40" s="94">
        <f>SUMIFS('caseload data'!G:G,'caseload data'!$D:$D,"TPO",'caseload data'!$C:$C,'divisional &amp; regional caseload'!$B$36)</f>
        <v>0</v>
      </c>
      <c r="F40" s="94">
        <f>SUMIFS('caseload data'!H:H,'caseload data'!$D:$D,"TPO",'caseload data'!$C:$C,'divisional &amp; regional caseload'!$B$36)</f>
        <v>0</v>
      </c>
      <c r="G40" s="94">
        <f>SUMIFS('caseload data'!I:I,'caseload data'!$D:$D,"TPO",'caseload data'!$C:$C,'divisional &amp; regional caseload'!$B$36)</f>
        <v>0</v>
      </c>
      <c r="H40" s="94">
        <f>SUMIFS('caseload data'!J:J,'caseload data'!$D:$D,"TPO",'caseload data'!$C:$C,'divisional &amp; regional caseload'!$B$36)</f>
        <v>0</v>
      </c>
      <c r="I40" s="94">
        <f>SUMIFS('caseload data'!K:K,'caseload data'!$D:$D,"TPO",'caseload data'!$C:$C,'divisional &amp; regional caseload'!$B$36)</f>
        <v>0</v>
      </c>
      <c r="J40" s="94">
        <f>SUMIFS('caseload data'!L:L,'caseload data'!$D:$D,"TPO",'caseload data'!$C:$C,'divisional &amp; regional caseload'!$B$36)</f>
        <v>0</v>
      </c>
      <c r="K40" s="94">
        <f>SUMIFS('caseload data'!M:M,'caseload data'!$D:$D,"TPO",'caseload data'!$C:$C,'divisional &amp; regional caseload'!$B$36)</f>
        <v>0</v>
      </c>
      <c r="L40" s="94">
        <f>SUMIFS('caseload data'!N:N,'caseload data'!$D:$D,"TPO",'caseload data'!$C:$C,'divisional &amp; regional caseload'!$B$36)</f>
        <v>0</v>
      </c>
      <c r="M40" s="94">
        <f>SUMIFS('caseload data'!O:O,'caseload data'!$D:$D,"TPO",'caseload data'!$C:$C,'divisional &amp; regional caseload'!$B$36)</f>
        <v>0</v>
      </c>
      <c r="N40" s="94">
        <f>SUMIFS('caseload data'!P:P,'caseload data'!$D:$D,"TPO",'caseload data'!$C:$C,'divisional &amp; regional caseload'!$B$36)</f>
        <v>0</v>
      </c>
      <c r="O40" s="94">
        <f>SUMIFS('caseload data'!Q:Q,'caseload data'!$D:$D,"TPO",'caseload data'!$C:$C,'divisional &amp; regional caseload'!$B$36)</f>
        <v>0</v>
      </c>
      <c r="P40" s="94">
        <f>SUMIFS('caseload data'!R:R,'caseload data'!$D:$D,"TPO",'caseload data'!$C:$C,'divisional &amp; regional caseload'!$B$36)</f>
        <v>0</v>
      </c>
      <c r="Q40" s="94">
        <f>SUMIFS('caseload data'!S:S,'caseload data'!$D:$D,"TPO",'caseload data'!$C:$C,'divisional &amp; regional caseload'!$B$36)</f>
        <v>0</v>
      </c>
      <c r="R40" s="94">
        <f>SUMIFS('caseload data'!T:T,'caseload data'!$D:$D,"TPO",'caseload data'!$C:$C,'divisional &amp; regional caseload'!$B$36)</f>
        <v>0</v>
      </c>
      <c r="S40" s="91"/>
      <c r="T40" s="97" t="s">
        <v>1003</v>
      </c>
      <c r="U40" s="94">
        <f>SUMIFS('caseload data'!E:E,'caseload data'!$D:$D,"TPO",'caseload data'!$C:$C,'divisional &amp; regional caseload'!$T$36)</f>
        <v>0</v>
      </c>
      <c r="V40" s="94">
        <f>SUMIFS('caseload data'!F:F,'caseload data'!$D:$D,"TPO",'caseload data'!$C:$C,'divisional &amp; regional caseload'!$T$36)</f>
        <v>0</v>
      </c>
      <c r="W40" s="94">
        <f>SUMIFS('caseload data'!G:G,'caseload data'!$D:$D,"TPO",'caseload data'!$C:$C,'divisional &amp; regional caseload'!$T$36)</f>
        <v>0</v>
      </c>
      <c r="X40" s="94">
        <f>SUMIFS('caseload data'!H:H,'caseload data'!$D:$D,"TPO",'caseload data'!$C:$C,'divisional &amp; regional caseload'!$T$36)</f>
        <v>0</v>
      </c>
      <c r="Y40" s="94">
        <f>SUMIFS('caseload data'!I:I,'caseload data'!$D:$D,"TPO",'caseload data'!$C:$C,'divisional &amp; regional caseload'!$T$36)</f>
        <v>0</v>
      </c>
      <c r="Z40" s="94">
        <f>SUMIFS('caseload data'!J:J,'caseload data'!$D:$D,"TPO",'caseload data'!$C:$C,'divisional &amp; regional caseload'!$T$36)</f>
        <v>0</v>
      </c>
      <c r="AA40" s="94">
        <f>SUMIFS('caseload data'!K:K,'caseload data'!$D:$D,"TPO",'caseload data'!$C:$C,'divisional &amp; regional caseload'!$T$36)</f>
        <v>0</v>
      </c>
      <c r="AB40" s="94">
        <f>SUMIFS('caseload data'!L:L,'caseload data'!$D:$D,"TPO",'caseload data'!$C:$C,'divisional &amp; regional caseload'!$T$36)</f>
        <v>0</v>
      </c>
      <c r="AC40" s="94">
        <f>SUMIFS('caseload data'!M:M,'caseload data'!$D:$D,"TPO",'caseload data'!$C:$C,'divisional &amp; regional caseload'!$T$36)</f>
        <v>0</v>
      </c>
      <c r="AD40" s="94">
        <f>SUMIFS('caseload data'!N:N,'caseload data'!$D:$D,"TPO",'caseload data'!$C:$C,'divisional &amp; regional caseload'!$T$36)</f>
        <v>0</v>
      </c>
      <c r="AE40" s="94">
        <f>SUMIFS('caseload data'!O:O,'caseload data'!$D:$D,"TPO",'caseload data'!$C:$C,'divisional &amp; regional caseload'!$T$36)</f>
        <v>0</v>
      </c>
      <c r="AF40" s="94">
        <f>SUMIFS('caseload data'!P:P,'caseload data'!$D:$D,"TPO",'caseload data'!$C:$C,'divisional &amp; regional caseload'!$T$36)</f>
        <v>0</v>
      </c>
      <c r="AG40" s="94">
        <f>SUMIFS('caseload data'!Q:Q,'caseload data'!$D:$D,"TPO",'caseload data'!$C:$C,'divisional &amp; regional caseload'!$T$36)</f>
        <v>0</v>
      </c>
      <c r="AH40" s="94">
        <f>SUMIFS('caseload data'!R:R,'caseload data'!$D:$D,"TPO",'caseload data'!$C:$C,'divisional &amp; regional caseload'!$T$36)</f>
        <v>0</v>
      </c>
      <c r="AI40" s="94">
        <f>SUMIFS('caseload data'!S:S,'caseload data'!$D:$D,"TPO",'caseload data'!$C:$C,'divisional &amp; regional caseload'!$T$36)</f>
        <v>0</v>
      </c>
      <c r="AJ40" s="94">
        <f>SUMIFS('caseload data'!T:T,'caseload data'!$D:$D,"TPO",'caseload data'!$C:$C,'divisional &amp; regional caseload'!$T$36)</f>
        <v>0</v>
      </c>
    </row>
    <row r="41" spans="2:36" x14ac:dyDescent="0.15">
      <c r="B41" s="98" t="s">
        <v>1004</v>
      </c>
      <c r="C41" s="94">
        <f>SUMIFS('caseload data'!E:E,'caseload data'!$D:$D,"SPO",'caseload data'!$C:$C,'divisional &amp; regional caseload'!$B$36)</f>
        <v>0</v>
      </c>
      <c r="D41" s="94">
        <f>SUMIFS('caseload data'!F:F,'caseload data'!$D:$D,"SPO",'caseload data'!$C:$C,'divisional &amp; regional caseload'!$B$36)</f>
        <v>0</v>
      </c>
      <c r="E41" s="94">
        <f>SUMIFS('caseload data'!G:G,'caseload data'!$D:$D,"SPO",'caseload data'!$C:$C,'divisional &amp; regional caseload'!$B$36)</f>
        <v>0</v>
      </c>
      <c r="F41" s="94">
        <f>SUMIFS('caseload data'!H:H,'caseload data'!$D:$D,"SPO",'caseload data'!$C:$C,'divisional &amp; regional caseload'!$B$36)</f>
        <v>0</v>
      </c>
      <c r="G41" s="94">
        <f>SUMIFS('caseload data'!I:I,'caseload data'!$D:$D,"SPO",'caseload data'!$C:$C,'divisional &amp; regional caseload'!$B$36)</f>
        <v>0</v>
      </c>
      <c r="H41" s="94">
        <f>SUMIFS('caseload data'!J:J,'caseload data'!$D:$D,"SPO",'caseload data'!$C:$C,'divisional &amp; regional caseload'!$B$36)</f>
        <v>0</v>
      </c>
      <c r="I41" s="94">
        <f>SUMIFS('caseload data'!K:K,'caseload data'!$D:$D,"SPO",'caseload data'!$C:$C,'divisional &amp; regional caseload'!$B$36)</f>
        <v>0</v>
      </c>
      <c r="J41" s="94">
        <f>SUMIFS('caseload data'!L:L,'caseload data'!$D:$D,"SPO",'caseload data'!$C:$C,'divisional &amp; regional caseload'!$B$36)</f>
        <v>0</v>
      </c>
      <c r="K41" s="94">
        <f>SUMIFS('caseload data'!M:M,'caseload data'!$D:$D,"SPO",'caseload data'!$C:$C,'divisional &amp; regional caseload'!$B$36)</f>
        <v>0</v>
      </c>
      <c r="L41" s="94">
        <f>SUMIFS('caseload data'!N:N,'caseload data'!$D:$D,"SPO",'caseload data'!$C:$C,'divisional &amp; regional caseload'!$B$36)</f>
        <v>0</v>
      </c>
      <c r="M41" s="94">
        <f>SUMIFS('caseload data'!O:O,'caseload data'!$D:$D,"SPO",'caseload data'!$C:$C,'divisional &amp; regional caseload'!$B$36)</f>
        <v>0</v>
      </c>
      <c r="N41" s="94">
        <f>SUMIFS('caseload data'!P:P,'caseload data'!$D:$D,"SPO",'caseload data'!$C:$C,'divisional &amp; regional caseload'!$B$36)</f>
        <v>0</v>
      </c>
      <c r="O41" s="94">
        <f>SUMIFS('caseload data'!Q:Q,'caseload data'!$D:$D,"SPO",'caseload data'!$C:$C,'divisional &amp; regional caseload'!$B$36)</f>
        <v>0</v>
      </c>
      <c r="P41" s="94">
        <f>SUMIFS('caseload data'!R:R,'caseload data'!$D:$D,"SPO",'caseload data'!$C:$C,'divisional &amp; regional caseload'!$B$36)</f>
        <v>0</v>
      </c>
      <c r="Q41" s="94">
        <f>SUMIFS('caseload data'!S:S,'caseload data'!$D:$D,"SPO",'caseload data'!$C:$C,'divisional &amp; regional caseload'!$B$36)</f>
        <v>0</v>
      </c>
      <c r="R41" s="94">
        <f>SUMIFS('caseload data'!T:T,'caseload data'!$D:$D,"SPO",'caseload data'!$C:$C,'divisional &amp; regional caseload'!$B$36)</f>
        <v>0</v>
      </c>
      <c r="S41" s="91"/>
      <c r="T41" s="98" t="s">
        <v>1004</v>
      </c>
      <c r="U41" s="94">
        <f>SUMIFS('caseload data'!E:E,'caseload data'!$D:$D,"SPO",'caseload data'!$C:$C,'divisional &amp; regional caseload'!$T$36)</f>
        <v>0</v>
      </c>
      <c r="V41" s="94">
        <f>SUMIFS('caseload data'!F:F,'caseload data'!$D:$D,"SPO",'caseload data'!$C:$C,'divisional &amp; regional caseload'!$T$36)</f>
        <v>0</v>
      </c>
      <c r="W41" s="94">
        <f>SUMIFS('caseload data'!G:G,'caseload data'!$D:$D,"SPO",'caseload data'!$C:$C,'divisional &amp; regional caseload'!$T$36)</f>
        <v>0</v>
      </c>
      <c r="X41" s="94">
        <f>SUMIFS('caseload data'!H:H,'caseload data'!$D:$D,"SPO",'caseload data'!$C:$C,'divisional &amp; regional caseload'!$T$36)</f>
        <v>0</v>
      </c>
      <c r="Y41" s="94">
        <f>SUMIFS('caseload data'!I:I,'caseload data'!$D:$D,"SPO",'caseload data'!$C:$C,'divisional &amp; regional caseload'!$T$36)</f>
        <v>0</v>
      </c>
      <c r="Z41" s="94">
        <f>SUMIFS('caseload data'!J:J,'caseload data'!$D:$D,"SPO",'caseload data'!$C:$C,'divisional &amp; regional caseload'!$T$36)</f>
        <v>0</v>
      </c>
      <c r="AA41" s="94">
        <f>SUMIFS('caseload data'!K:K,'caseload data'!$D:$D,"SPO",'caseload data'!$C:$C,'divisional &amp; regional caseload'!$T$36)</f>
        <v>0</v>
      </c>
      <c r="AB41" s="94">
        <f>SUMIFS('caseload data'!L:L,'caseload data'!$D:$D,"SPO",'caseload data'!$C:$C,'divisional &amp; regional caseload'!$T$36)</f>
        <v>0</v>
      </c>
      <c r="AC41" s="94">
        <f>SUMIFS('caseload data'!M:M,'caseload data'!$D:$D,"SPO",'caseload data'!$C:$C,'divisional &amp; regional caseload'!$T$36)</f>
        <v>0</v>
      </c>
      <c r="AD41" s="94">
        <f>SUMIFS('caseload data'!N:N,'caseload data'!$D:$D,"SPO",'caseload data'!$C:$C,'divisional &amp; regional caseload'!$T$36)</f>
        <v>0</v>
      </c>
      <c r="AE41" s="94">
        <f>SUMIFS('caseload data'!O:O,'caseload data'!$D:$D,"SPO",'caseload data'!$C:$C,'divisional &amp; regional caseload'!$T$36)</f>
        <v>0</v>
      </c>
      <c r="AF41" s="94">
        <f>SUMIFS('caseload data'!P:P,'caseload data'!$D:$D,"SPO",'caseload data'!$C:$C,'divisional &amp; regional caseload'!$T$36)</f>
        <v>0</v>
      </c>
      <c r="AG41" s="94">
        <f>SUMIFS('caseload data'!Q:Q,'caseload data'!$D:$D,"SPO",'caseload data'!$C:$C,'divisional &amp; regional caseload'!$T$36)</f>
        <v>0</v>
      </c>
      <c r="AH41" s="94">
        <f>SUMIFS('caseload data'!R:R,'caseload data'!$D:$D,"SPO",'caseload data'!$C:$C,'divisional &amp; regional caseload'!$T$36)</f>
        <v>0</v>
      </c>
      <c r="AI41" s="94">
        <f>SUMIFS('caseload data'!S:S,'caseload data'!$D:$D,"SPO",'caseload data'!$C:$C,'divisional &amp; regional caseload'!$T$36)</f>
        <v>0</v>
      </c>
      <c r="AJ41" s="94">
        <f>SUMIFS('caseload data'!T:T,'caseload data'!$D:$D,"SPO",'caseload data'!$C:$C,'divisional &amp; regional caseload'!$T$36)</f>
        <v>0</v>
      </c>
    </row>
    <row r="42" spans="2:36" x14ac:dyDescent="0.15">
      <c r="B42" s="91"/>
      <c r="C42" s="91"/>
      <c r="D42" s="91"/>
      <c r="E42" s="91"/>
      <c r="F42" s="91"/>
      <c r="G42" s="91"/>
      <c r="H42" s="91"/>
      <c r="I42" s="91"/>
      <c r="J42" s="91"/>
      <c r="K42" s="91"/>
      <c r="L42" s="91"/>
      <c r="M42" s="91"/>
      <c r="N42" s="91"/>
      <c r="O42" s="91"/>
      <c r="P42" s="91"/>
      <c r="Q42" s="91"/>
      <c r="R42" s="91"/>
      <c r="S42" s="91"/>
      <c r="T42" s="91"/>
      <c r="U42" s="91"/>
      <c r="V42" s="91"/>
      <c r="W42" s="91"/>
      <c r="X42" s="91"/>
      <c r="Y42" s="91"/>
      <c r="Z42" s="91"/>
      <c r="AA42" s="91"/>
    </row>
    <row r="43" spans="2:36" ht="34.5" customHeight="1" x14ac:dyDescent="0.15">
      <c r="B43" s="289" t="str">
        <f>HLOOKUP($B$5,Region_Table,12,0)</f>
        <v>Unpaid Work and Attendance Centres - N54</v>
      </c>
      <c r="C43" s="517" t="s">
        <v>1094</v>
      </c>
      <c r="D43" s="518"/>
      <c r="E43" s="518"/>
      <c r="F43" s="518"/>
      <c r="G43" s="518"/>
      <c r="H43" s="518"/>
      <c r="I43" s="518"/>
      <c r="J43" s="518"/>
      <c r="K43" s="518"/>
      <c r="L43" s="518"/>
      <c r="M43" s="522"/>
      <c r="N43" s="522"/>
      <c r="O43" s="523"/>
      <c r="P43" s="512">
        <f>SUMIF('caseload data'!$C:$C,'divisional &amp; regional caseload'!B43,'caseload data'!V:V)</f>
        <v>0</v>
      </c>
      <c r="Q43" s="513"/>
      <c r="R43" s="514"/>
      <c r="S43" s="91"/>
      <c r="T43" s="289">
        <f>HLOOKUP($B$5,Region_Table,13,0)</f>
        <v>0</v>
      </c>
      <c r="U43" s="517" t="s">
        <v>1092</v>
      </c>
      <c r="V43" s="518"/>
      <c r="W43" s="518"/>
      <c r="X43" s="518"/>
      <c r="Y43" s="518"/>
      <c r="Z43" s="518"/>
      <c r="AA43" s="518"/>
      <c r="AB43" s="518"/>
      <c r="AC43" s="518"/>
      <c r="AD43" s="518"/>
      <c r="AE43" s="518"/>
      <c r="AF43" s="518"/>
      <c r="AG43" s="519"/>
      <c r="AH43" s="512">
        <f>SUMIF('caseload data'!$C:$C,'divisional &amp; regional caseload'!T43,'caseload data'!V:V)</f>
        <v>0</v>
      </c>
      <c r="AI43" s="513"/>
      <c r="AJ43" s="514"/>
    </row>
    <row r="44" spans="2:36" x14ac:dyDescent="0.15">
      <c r="B44" s="95" t="s">
        <v>1000</v>
      </c>
      <c r="C44" s="38" t="s">
        <v>864</v>
      </c>
      <c r="D44" s="38" t="s">
        <v>865</v>
      </c>
      <c r="E44" s="38" t="s">
        <v>866</v>
      </c>
      <c r="F44" s="38" t="s">
        <v>867</v>
      </c>
      <c r="G44" s="38" t="s">
        <v>868</v>
      </c>
      <c r="H44" s="38" t="s">
        <v>869</v>
      </c>
      <c r="I44" s="38" t="s">
        <v>870</v>
      </c>
      <c r="J44" s="38" t="s">
        <v>871</v>
      </c>
      <c r="K44" s="38" t="s">
        <v>872</v>
      </c>
      <c r="L44" s="38" t="s">
        <v>873</v>
      </c>
      <c r="M44" s="38" t="s">
        <v>874</v>
      </c>
      <c r="N44" s="38" t="s">
        <v>875</v>
      </c>
      <c r="O44" s="38" t="s">
        <v>876</v>
      </c>
      <c r="P44" s="38" t="s">
        <v>877</v>
      </c>
      <c r="Q44" s="38" t="s">
        <v>878</v>
      </c>
      <c r="R44" s="38" t="s">
        <v>879</v>
      </c>
      <c r="S44" s="91"/>
      <c r="T44" s="95" t="s">
        <v>1000</v>
      </c>
      <c r="U44" s="38" t="s">
        <v>864</v>
      </c>
      <c r="V44" s="38" t="s">
        <v>865</v>
      </c>
      <c r="W44" s="38" t="s">
        <v>866</v>
      </c>
      <c r="X44" s="38" t="s">
        <v>867</v>
      </c>
      <c r="Y44" s="38" t="s">
        <v>868</v>
      </c>
      <c r="Z44" s="38" t="s">
        <v>869</v>
      </c>
      <c r="AA44" s="38" t="s">
        <v>870</v>
      </c>
      <c r="AB44" s="38" t="s">
        <v>871</v>
      </c>
      <c r="AC44" s="38" t="s">
        <v>872</v>
      </c>
      <c r="AD44" s="38" t="s">
        <v>873</v>
      </c>
      <c r="AE44" s="38" t="s">
        <v>874</v>
      </c>
      <c r="AF44" s="38" t="s">
        <v>875</v>
      </c>
      <c r="AG44" s="38" t="s">
        <v>876</v>
      </c>
      <c r="AH44" s="38" t="s">
        <v>877</v>
      </c>
      <c r="AI44" s="38" t="s">
        <v>878</v>
      </c>
      <c r="AJ44" s="38" t="s">
        <v>879</v>
      </c>
    </row>
    <row r="45" spans="2:36" x14ac:dyDescent="0.15">
      <c r="B45" s="96" t="s">
        <v>997</v>
      </c>
      <c r="C45" s="94">
        <f>SUMIFS('caseload data'!E:E,'caseload data'!$D:$D,"PO",'caseload data'!$C:$C,'divisional &amp; regional caseload'!$B$43)</f>
        <v>0</v>
      </c>
      <c r="D45" s="94">
        <f>SUMIFS('caseload data'!F:F,'caseload data'!$D:$D,"PO",'caseload data'!$C:$C,'divisional &amp; regional caseload'!$B$43)</f>
        <v>0</v>
      </c>
      <c r="E45" s="94">
        <f>SUMIFS('caseload data'!G:G,'caseload data'!$D:$D,"PO",'caseload data'!$C:$C,'divisional &amp; regional caseload'!$B$43)</f>
        <v>0</v>
      </c>
      <c r="F45" s="94">
        <f>SUMIFS('caseload data'!H:H,'caseload data'!$D:$D,"PO",'caseload data'!$C:$C,'divisional &amp; regional caseload'!$B$43)</f>
        <v>0</v>
      </c>
      <c r="G45" s="94">
        <f>SUMIFS('caseload data'!I:I,'caseload data'!$D:$D,"PO",'caseload data'!$C:$C,'divisional &amp; regional caseload'!$B$43)</f>
        <v>0</v>
      </c>
      <c r="H45" s="94">
        <f>SUMIFS('caseload data'!J:J,'caseload data'!$D:$D,"PO",'caseload data'!$C:$C,'divisional &amp; regional caseload'!$B$43)</f>
        <v>0</v>
      </c>
      <c r="I45" s="94">
        <f>SUMIFS('caseload data'!K:K,'caseload data'!$D:$D,"PO",'caseload data'!$C:$C,'divisional &amp; regional caseload'!$B$43)</f>
        <v>0</v>
      </c>
      <c r="J45" s="94">
        <f>SUMIFS('caseload data'!L:L,'caseload data'!$D:$D,"PO",'caseload data'!$C:$C,'divisional &amp; regional caseload'!$B$43)</f>
        <v>0</v>
      </c>
      <c r="K45" s="94">
        <f>SUMIFS('caseload data'!M:M,'caseload data'!$D:$D,"PO",'caseload data'!$C:$C,'divisional &amp; regional caseload'!$B$43)</f>
        <v>0</v>
      </c>
      <c r="L45" s="94">
        <f>SUMIFS('caseload data'!N:N,'caseload data'!$D:$D,"PO",'caseload data'!$C:$C,'divisional &amp; regional caseload'!$B$43)</f>
        <v>0</v>
      </c>
      <c r="M45" s="94">
        <f>SUMIFS('caseload data'!O:O,'caseload data'!$D:$D,"PO",'caseload data'!$C:$C,'divisional &amp; regional caseload'!$B$43)</f>
        <v>0</v>
      </c>
      <c r="N45" s="94">
        <f>SUMIFS('caseload data'!P:P,'caseload data'!$D:$D,"PO",'caseload data'!$C:$C,'divisional &amp; regional caseload'!$B$43)</f>
        <v>0</v>
      </c>
      <c r="O45" s="94">
        <f>SUMIFS('caseload data'!Q:Q,'caseload data'!$D:$D,"PO",'caseload data'!$C:$C,'divisional &amp; regional caseload'!$B$43)</f>
        <v>0</v>
      </c>
      <c r="P45" s="94">
        <f>SUMIFS('caseload data'!R:R,'caseload data'!$D:$D,"PO",'caseload data'!$C:$C,'divisional &amp; regional caseload'!$B$43)</f>
        <v>0</v>
      </c>
      <c r="Q45" s="94">
        <f>SUMIFS('caseload data'!S:S,'caseload data'!$D:$D,"PO",'caseload data'!$C:$C,'divisional &amp; regional caseload'!$B$43)</f>
        <v>0</v>
      </c>
      <c r="R45" s="94">
        <f>SUMIFS('caseload data'!T:T,'caseload data'!$D:$D,"PO",'caseload data'!$C:$C,'divisional &amp; regional caseload'!$B$43)</f>
        <v>0</v>
      </c>
      <c r="S45" s="91"/>
      <c r="T45" s="96" t="s">
        <v>997</v>
      </c>
      <c r="U45" s="94">
        <f>SUMIFS('caseload data'!E:E,'caseload data'!$D:$D,"PO",'caseload data'!$C:$C,'divisional &amp; regional caseload'!$T$43)</f>
        <v>0</v>
      </c>
      <c r="V45" s="94">
        <f>SUMIFS('caseload data'!F:F,'caseload data'!$D:$D,"PO",'caseload data'!$C:$C,'divisional &amp; regional caseload'!$T$43)</f>
        <v>0</v>
      </c>
      <c r="W45" s="94">
        <f>SUMIFS('caseload data'!G:G,'caseload data'!$D:$D,"PO",'caseload data'!$C:$C,'divisional &amp; regional caseload'!$T$43)</f>
        <v>0</v>
      </c>
      <c r="X45" s="94">
        <f>SUMIFS('caseload data'!H:H,'caseload data'!$D:$D,"PO",'caseload data'!$C:$C,'divisional &amp; regional caseload'!$T$43)</f>
        <v>0</v>
      </c>
      <c r="Y45" s="94">
        <f>SUMIFS('caseload data'!I:I,'caseload data'!$D:$D,"PO",'caseload data'!$C:$C,'divisional &amp; regional caseload'!$T$43)</f>
        <v>0</v>
      </c>
      <c r="Z45" s="94">
        <f>SUMIFS('caseload data'!J:J,'caseload data'!$D:$D,"PO",'caseload data'!$C:$C,'divisional &amp; regional caseload'!$T$43)</f>
        <v>0</v>
      </c>
      <c r="AA45" s="94">
        <f>SUMIFS('caseload data'!K:K,'caseload data'!$D:$D,"PO",'caseload data'!$C:$C,'divisional &amp; regional caseload'!$T$43)</f>
        <v>0</v>
      </c>
      <c r="AB45" s="94">
        <f>SUMIFS('caseload data'!L:L,'caseload data'!$D:$D,"PO",'caseload data'!$C:$C,'divisional &amp; regional caseload'!$T$43)</f>
        <v>0</v>
      </c>
      <c r="AC45" s="94">
        <f>SUMIFS('caseload data'!M:M,'caseload data'!$D:$D,"PO",'caseload data'!$C:$C,'divisional &amp; regional caseload'!$T$43)</f>
        <v>0</v>
      </c>
      <c r="AD45" s="94">
        <f>SUMIFS('caseload data'!N:N,'caseload data'!$D:$D,"PO",'caseload data'!$C:$C,'divisional &amp; regional caseload'!$T$43)</f>
        <v>0</v>
      </c>
      <c r="AE45" s="94">
        <f>SUMIFS('caseload data'!O:O,'caseload data'!$D:$D,"PO",'caseload data'!$C:$C,'divisional &amp; regional caseload'!$T$43)</f>
        <v>0</v>
      </c>
      <c r="AF45" s="94">
        <f>SUMIFS('caseload data'!P:P,'caseload data'!$D:$D,"PO",'caseload data'!$C:$C,'divisional &amp; regional caseload'!$T$43)</f>
        <v>0</v>
      </c>
      <c r="AG45" s="94">
        <f>SUMIFS('caseload data'!Q:Q,'caseload data'!$D:$D,"PO",'caseload data'!$C:$C,'divisional &amp; regional caseload'!$T$43)</f>
        <v>0</v>
      </c>
      <c r="AH45" s="94">
        <f>SUMIFS('caseload data'!R:R,'caseload data'!$D:$D,"PO",'caseload data'!$C:$C,'divisional &amp; regional caseload'!$T$43)</f>
        <v>0</v>
      </c>
      <c r="AI45" s="94">
        <f>SUMIFS('caseload data'!S:S,'caseload data'!$D:$D,"PO",'caseload data'!$C:$C,'divisional &amp; regional caseload'!$T$43)</f>
        <v>0</v>
      </c>
      <c r="AJ45" s="94">
        <f>SUMIFS('caseload data'!T:T,'caseload data'!$D:$D,"PO",'caseload data'!$C:$C,'divisional &amp; regional caseload'!$T$43)</f>
        <v>0</v>
      </c>
    </row>
    <row r="46" spans="2:36" x14ac:dyDescent="0.15">
      <c r="B46" s="97" t="s">
        <v>1002</v>
      </c>
      <c r="C46" s="94">
        <f>SUMIFS('caseload data'!E:E,'caseload data'!$D:$D,"PSO",'caseload data'!$C:$C,'divisional &amp; regional caseload'!$B$43)</f>
        <v>0</v>
      </c>
      <c r="D46" s="94">
        <f>SUMIFS('caseload data'!F:F,'caseload data'!$D:$D,"PSO",'caseload data'!$C:$C,'divisional &amp; regional caseload'!$B$43)</f>
        <v>0</v>
      </c>
      <c r="E46" s="94">
        <f>SUMIFS('caseload data'!G:G,'caseload data'!$D:$D,"PSO",'caseload data'!$C:$C,'divisional &amp; regional caseload'!$B$43)</f>
        <v>0</v>
      </c>
      <c r="F46" s="94">
        <f>SUMIFS('caseload data'!H:H,'caseload data'!$D:$D,"PSO",'caseload data'!$C:$C,'divisional &amp; regional caseload'!$B$43)</f>
        <v>0</v>
      </c>
      <c r="G46" s="94">
        <f>SUMIFS('caseload data'!I:I,'caseload data'!$D:$D,"PSO",'caseload data'!$C:$C,'divisional &amp; regional caseload'!$B$43)</f>
        <v>0</v>
      </c>
      <c r="H46" s="94">
        <f>SUMIFS('caseload data'!J:J,'caseload data'!$D:$D,"PSO",'caseload data'!$C:$C,'divisional &amp; regional caseload'!$B$43)</f>
        <v>0</v>
      </c>
      <c r="I46" s="94">
        <f>SUMIFS('caseload data'!K:K,'caseload data'!$D:$D,"PSO",'caseload data'!$C:$C,'divisional &amp; regional caseload'!$B$43)</f>
        <v>0</v>
      </c>
      <c r="J46" s="94">
        <f>SUMIFS('caseload data'!L:L,'caseload data'!$D:$D,"PSO",'caseload data'!$C:$C,'divisional &amp; regional caseload'!$B$43)</f>
        <v>0</v>
      </c>
      <c r="K46" s="94">
        <f>SUMIFS('caseload data'!M:M,'caseload data'!$D:$D,"PSO",'caseload data'!$C:$C,'divisional &amp; regional caseload'!$B$43)</f>
        <v>0</v>
      </c>
      <c r="L46" s="94">
        <f>SUMIFS('caseload data'!N:N,'caseload data'!$D:$D,"PSO",'caseload data'!$C:$C,'divisional &amp; regional caseload'!$B$43)</f>
        <v>0</v>
      </c>
      <c r="M46" s="94">
        <f>SUMIFS('caseload data'!O:O,'caseload data'!$D:$D,"PSO",'caseload data'!$C:$C,'divisional &amp; regional caseload'!$B$43)</f>
        <v>0</v>
      </c>
      <c r="N46" s="94">
        <f>SUMIFS('caseload data'!P:P,'caseload data'!$D:$D,"PSO",'caseload data'!$C:$C,'divisional &amp; regional caseload'!$B$43)</f>
        <v>0</v>
      </c>
      <c r="O46" s="94">
        <f>SUMIFS('caseload data'!Q:Q,'caseload data'!$D:$D,"PSO",'caseload data'!$C:$C,'divisional &amp; regional caseload'!$B$43)</f>
        <v>0</v>
      </c>
      <c r="P46" s="94">
        <f>SUMIFS('caseload data'!R:R,'caseload data'!$D:$D,"PSO",'caseload data'!$C:$C,'divisional &amp; regional caseload'!$B$43)</f>
        <v>0</v>
      </c>
      <c r="Q46" s="94">
        <f>SUMIFS('caseload data'!S:S,'caseload data'!$D:$D,"PSO",'caseload data'!$C:$C,'divisional &amp; regional caseload'!$B$43)</f>
        <v>0</v>
      </c>
      <c r="R46" s="94">
        <f>SUMIFS('caseload data'!T:T,'caseload data'!$D:$D,"PSO",'caseload data'!$C:$C,'divisional &amp; regional caseload'!$B$43)</f>
        <v>0</v>
      </c>
      <c r="S46" s="91"/>
      <c r="T46" s="97" t="s">
        <v>1002</v>
      </c>
      <c r="U46" s="94">
        <f>SUMIFS('caseload data'!E:E,'caseload data'!$D:$D,"PSO",'caseload data'!$C:$C,'divisional &amp; regional caseload'!$T$43)</f>
        <v>0</v>
      </c>
      <c r="V46" s="94">
        <f>SUMIFS('caseload data'!F:F,'caseload data'!$D:$D,"PSO",'caseload data'!$C:$C,'divisional &amp; regional caseload'!$T$43)</f>
        <v>0</v>
      </c>
      <c r="W46" s="94">
        <f>SUMIFS('caseload data'!G:G,'caseload data'!$D:$D,"PSO",'caseload data'!$C:$C,'divisional &amp; regional caseload'!$T$43)</f>
        <v>0</v>
      </c>
      <c r="X46" s="94">
        <f>SUMIFS('caseload data'!H:H,'caseload data'!$D:$D,"PSO",'caseload data'!$C:$C,'divisional &amp; regional caseload'!$T$43)</f>
        <v>0</v>
      </c>
      <c r="Y46" s="94">
        <f>SUMIFS('caseload data'!I:I,'caseload data'!$D:$D,"PSO",'caseload data'!$C:$C,'divisional &amp; regional caseload'!$T$43)</f>
        <v>0</v>
      </c>
      <c r="Z46" s="94">
        <f>SUMIFS('caseload data'!J:J,'caseload data'!$D:$D,"PSO",'caseload data'!$C:$C,'divisional &amp; regional caseload'!$T$43)</f>
        <v>0</v>
      </c>
      <c r="AA46" s="94">
        <f>SUMIFS('caseload data'!K:K,'caseload data'!$D:$D,"PSO",'caseload data'!$C:$C,'divisional &amp; regional caseload'!$T$43)</f>
        <v>0</v>
      </c>
      <c r="AB46" s="94">
        <f>SUMIFS('caseload data'!L:L,'caseload data'!$D:$D,"PSO",'caseload data'!$C:$C,'divisional &amp; regional caseload'!$T$43)</f>
        <v>0</v>
      </c>
      <c r="AC46" s="94">
        <f>SUMIFS('caseload data'!M:M,'caseload data'!$D:$D,"PSO",'caseload data'!$C:$C,'divisional &amp; regional caseload'!$T$43)</f>
        <v>0</v>
      </c>
      <c r="AD46" s="94">
        <f>SUMIFS('caseload data'!N:N,'caseload data'!$D:$D,"PSO",'caseload data'!$C:$C,'divisional &amp; regional caseload'!$T$43)</f>
        <v>0</v>
      </c>
      <c r="AE46" s="94">
        <f>SUMIFS('caseload data'!O:O,'caseload data'!$D:$D,"PSO",'caseload data'!$C:$C,'divisional &amp; regional caseload'!$T$43)</f>
        <v>0</v>
      </c>
      <c r="AF46" s="94">
        <f>SUMIFS('caseload data'!P:P,'caseload data'!$D:$D,"PSO",'caseload data'!$C:$C,'divisional &amp; regional caseload'!$T$43)</f>
        <v>0</v>
      </c>
      <c r="AG46" s="94">
        <f>SUMIFS('caseload data'!Q:Q,'caseload data'!$D:$D,"PSO",'caseload data'!$C:$C,'divisional &amp; regional caseload'!$T$43)</f>
        <v>0</v>
      </c>
      <c r="AH46" s="94">
        <f>SUMIFS('caseload data'!R:R,'caseload data'!$D:$D,"PSO",'caseload data'!$C:$C,'divisional &amp; regional caseload'!$T$43)</f>
        <v>0</v>
      </c>
      <c r="AI46" s="94">
        <f>SUMIFS('caseload data'!S:S,'caseload data'!$D:$D,"PSO",'caseload data'!$C:$C,'divisional &amp; regional caseload'!$T$43)</f>
        <v>0</v>
      </c>
      <c r="AJ46" s="94">
        <f>SUMIFS('caseload data'!T:T,'caseload data'!$D:$D,"PSO",'caseload data'!$C:$C,'divisional &amp; regional caseload'!$T$43)</f>
        <v>0</v>
      </c>
    </row>
    <row r="47" spans="2:36" x14ac:dyDescent="0.15">
      <c r="B47" s="97" t="s">
        <v>1003</v>
      </c>
      <c r="C47" s="94">
        <f>SUMIFS('caseload data'!E:E,'caseload data'!$D:$D,"TPO",'caseload data'!$C:$C,'divisional &amp; regional caseload'!$B$43)</f>
        <v>0</v>
      </c>
      <c r="D47" s="94">
        <f>SUMIFS('caseload data'!F:F,'caseload data'!$D:$D,"TPO",'caseload data'!$C:$C,'divisional &amp; regional caseload'!$B$43)</f>
        <v>0</v>
      </c>
      <c r="E47" s="94">
        <f>SUMIFS('caseload data'!G:G,'caseload data'!$D:$D,"TPO",'caseload data'!$C:$C,'divisional &amp; regional caseload'!$B$43)</f>
        <v>0</v>
      </c>
      <c r="F47" s="94">
        <f>SUMIFS('caseload data'!H:H,'caseload data'!$D:$D,"TPO",'caseload data'!$C:$C,'divisional &amp; regional caseload'!$B$43)</f>
        <v>0</v>
      </c>
      <c r="G47" s="94">
        <f>SUMIFS('caseload data'!I:I,'caseload data'!$D:$D,"TPO",'caseload data'!$C:$C,'divisional &amp; regional caseload'!$B$43)</f>
        <v>0</v>
      </c>
      <c r="H47" s="94">
        <f>SUMIFS('caseload data'!J:J,'caseload data'!$D:$D,"TPO",'caseload data'!$C:$C,'divisional &amp; regional caseload'!$B$43)</f>
        <v>0</v>
      </c>
      <c r="I47" s="94">
        <f>SUMIFS('caseload data'!K:K,'caseload data'!$D:$D,"TPO",'caseload data'!$C:$C,'divisional &amp; regional caseload'!$B$43)</f>
        <v>0</v>
      </c>
      <c r="J47" s="94">
        <f>SUMIFS('caseload data'!L:L,'caseload data'!$D:$D,"TPO",'caseload data'!$C:$C,'divisional &amp; regional caseload'!$B$43)</f>
        <v>0</v>
      </c>
      <c r="K47" s="94">
        <f>SUMIFS('caseload data'!M:M,'caseload data'!$D:$D,"TPO",'caseload data'!$C:$C,'divisional &amp; regional caseload'!$B$43)</f>
        <v>0</v>
      </c>
      <c r="L47" s="94">
        <f>SUMIFS('caseload data'!N:N,'caseload data'!$D:$D,"TPO",'caseload data'!$C:$C,'divisional &amp; regional caseload'!$B$43)</f>
        <v>0</v>
      </c>
      <c r="M47" s="94">
        <f>SUMIFS('caseload data'!O:O,'caseload data'!$D:$D,"TPO",'caseload data'!$C:$C,'divisional &amp; regional caseload'!$B$43)</f>
        <v>0</v>
      </c>
      <c r="N47" s="94">
        <f>SUMIFS('caseload data'!P:P,'caseload data'!$D:$D,"TPO",'caseload data'!$C:$C,'divisional &amp; regional caseload'!$B$43)</f>
        <v>0</v>
      </c>
      <c r="O47" s="94">
        <f>SUMIFS('caseload data'!Q:Q,'caseload data'!$D:$D,"TPO",'caseload data'!$C:$C,'divisional &amp; regional caseload'!$B$43)</f>
        <v>0</v>
      </c>
      <c r="P47" s="94">
        <f>SUMIFS('caseload data'!R:R,'caseload data'!$D:$D,"TPO",'caseload data'!$C:$C,'divisional &amp; regional caseload'!$B$43)</f>
        <v>0</v>
      </c>
      <c r="Q47" s="94">
        <f>SUMIFS('caseload data'!S:S,'caseload data'!$D:$D,"TPO",'caseload data'!$C:$C,'divisional &amp; regional caseload'!$B$43)</f>
        <v>0</v>
      </c>
      <c r="R47" s="94">
        <f>SUMIFS('caseload data'!T:T,'caseload data'!$D:$D,"TPO",'caseload data'!$C:$C,'divisional &amp; regional caseload'!$B$43)</f>
        <v>0</v>
      </c>
      <c r="S47" s="91"/>
      <c r="T47" s="97" t="s">
        <v>1003</v>
      </c>
      <c r="U47" s="94">
        <f>SUMIFS('caseload data'!E:E,'caseload data'!$D:$D,"TPO",'caseload data'!$C:$C,'divisional &amp; regional caseload'!$T$43)</f>
        <v>0</v>
      </c>
      <c r="V47" s="94">
        <f>SUMIFS('caseload data'!F:F,'caseload data'!$D:$D,"TPO",'caseload data'!$C:$C,'divisional &amp; regional caseload'!$T$43)</f>
        <v>0</v>
      </c>
      <c r="W47" s="94">
        <f>SUMIFS('caseload data'!G:G,'caseload data'!$D:$D,"TPO",'caseload data'!$C:$C,'divisional &amp; regional caseload'!$T$43)</f>
        <v>0</v>
      </c>
      <c r="X47" s="94">
        <f>SUMIFS('caseload data'!H:H,'caseload data'!$D:$D,"TPO",'caseload data'!$C:$C,'divisional &amp; regional caseload'!$T$43)</f>
        <v>0</v>
      </c>
      <c r="Y47" s="94">
        <f>SUMIFS('caseload data'!I:I,'caseload data'!$D:$D,"TPO",'caseload data'!$C:$C,'divisional &amp; regional caseload'!$T$43)</f>
        <v>0</v>
      </c>
      <c r="Z47" s="94">
        <f>SUMIFS('caseload data'!J:J,'caseload data'!$D:$D,"TPO",'caseload data'!$C:$C,'divisional &amp; regional caseload'!$T$43)</f>
        <v>0</v>
      </c>
      <c r="AA47" s="94">
        <f>SUMIFS('caseload data'!K:K,'caseload data'!$D:$D,"TPO",'caseload data'!$C:$C,'divisional &amp; regional caseload'!$T$43)</f>
        <v>0</v>
      </c>
      <c r="AB47" s="94">
        <f>SUMIFS('caseload data'!L:L,'caseload data'!$D:$D,"TPO",'caseload data'!$C:$C,'divisional &amp; regional caseload'!$T$43)</f>
        <v>0</v>
      </c>
      <c r="AC47" s="94">
        <f>SUMIFS('caseload data'!M:M,'caseload data'!$D:$D,"TPO",'caseload data'!$C:$C,'divisional &amp; regional caseload'!$T$43)</f>
        <v>0</v>
      </c>
      <c r="AD47" s="94">
        <f>SUMIFS('caseload data'!N:N,'caseload data'!$D:$D,"TPO",'caseload data'!$C:$C,'divisional &amp; regional caseload'!$T$43)</f>
        <v>0</v>
      </c>
      <c r="AE47" s="94">
        <f>SUMIFS('caseload data'!O:O,'caseload data'!$D:$D,"TPO",'caseload data'!$C:$C,'divisional &amp; regional caseload'!$T$43)</f>
        <v>0</v>
      </c>
      <c r="AF47" s="94">
        <f>SUMIFS('caseload data'!P:P,'caseload data'!$D:$D,"TPO",'caseload data'!$C:$C,'divisional &amp; regional caseload'!$T$43)</f>
        <v>0</v>
      </c>
      <c r="AG47" s="94">
        <f>SUMIFS('caseload data'!Q:Q,'caseload data'!$D:$D,"TPO",'caseload data'!$C:$C,'divisional &amp; regional caseload'!$T$43)</f>
        <v>0</v>
      </c>
      <c r="AH47" s="94">
        <f>SUMIFS('caseload data'!R:R,'caseload data'!$D:$D,"TPO",'caseload data'!$C:$C,'divisional &amp; regional caseload'!$T$43)</f>
        <v>0</v>
      </c>
      <c r="AI47" s="94">
        <f>SUMIFS('caseload data'!S:S,'caseload data'!$D:$D,"TPO",'caseload data'!$C:$C,'divisional &amp; regional caseload'!$T$43)</f>
        <v>0</v>
      </c>
      <c r="AJ47" s="94">
        <f>SUMIFS('caseload data'!T:T,'caseload data'!$D:$D,"TPO",'caseload data'!$C:$C,'divisional &amp; regional caseload'!$T$43)</f>
        <v>0</v>
      </c>
    </row>
    <row r="48" spans="2:36" x14ac:dyDescent="0.15">
      <c r="B48" s="98" t="s">
        <v>1004</v>
      </c>
      <c r="C48" s="94">
        <f>SUMIFS('caseload data'!E:E,'caseload data'!$D:$D,"SPO",'caseload data'!$C:$C,'divisional &amp; regional caseload'!$B$43)</f>
        <v>0</v>
      </c>
      <c r="D48" s="94">
        <f>SUMIFS('caseload data'!F:F,'caseload data'!$D:$D,"SPO",'caseload data'!$C:$C,'divisional &amp; regional caseload'!$B$43)</f>
        <v>0</v>
      </c>
      <c r="E48" s="94">
        <f>SUMIFS('caseload data'!G:G,'caseload data'!$D:$D,"SPO",'caseload data'!$C:$C,'divisional &amp; regional caseload'!$B$43)</f>
        <v>0</v>
      </c>
      <c r="F48" s="94">
        <f>SUMIFS('caseload data'!H:H,'caseload data'!$D:$D,"SPO",'caseload data'!$C:$C,'divisional &amp; regional caseload'!$B$43)</f>
        <v>0</v>
      </c>
      <c r="G48" s="94">
        <f>SUMIFS('caseload data'!I:I,'caseload data'!$D:$D,"SPO",'caseload data'!$C:$C,'divisional &amp; regional caseload'!$B$43)</f>
        <v>0</v>
      </c>
      <c r="H48" s="94">
        <f>SUMIFS('caseload data'!J:J,'caseload data'!$D:$D,"SPO",'caseload data'!$C:$C,'divisional &amp; regional caseload'!$B$43)</f>
        <v>0</v>
      </c>
      <c r="I48" s="94">
        <f>SUMIFS('caseload data'!K:K,'caseload data'!$D:$D,"SPO",'caseload data'!$C:$C,'divisional &amp; regional caseload'!$B$43)</f>
        <v>0</v>
      </c>
      <c r="J48" s="94">
        <f>SUMIFS('caseload data'!L:L,'caseload data'!$D:$D,"SPO",'caseload data'!$C:$C,'divisional &amp; regional caseload'!$B$43)</f>
        <v>0</v>
      </c>
      <c r="K48" s="94">
        <f>SUMIFS('caseload data'!M:M,'caseload data'!$D:$D,"SPO",'caseload data'!$C:$C,'divisional &amp; regional caseload'!$B$43)</f>
        <v>0</v>
      </c>
      <c r="L48" s="94">
        <f>SUMIFS('caseload data'!N:N,'caseload data'!$D:$D,"SPO",'caseload data'!$C:$C,'divisional &amp; regional caseload'!$B$43)</f>
        <v>0</v>
      </c>
      <c r="M48" s="94">
        <f>SUMIFS('caseload data'!O:O,'caseload data'!$D:$D,"SPO",'caseload data'!$C:$C,'divisional &amp; regional caseload'!$B$43)</f>
        <v>0</v>
      </c>
      <c r="N48" s="94">
        <f>SUMIFS('caseload data'!P:P,'caseload data'!$D:$D,"SPO",'caseload data'!$C:$C,'divisional &amp; regional caseload'!$B$43)</f>
        <v>0</v>
      </c>
      <c r="O48" s="94">
        <f>SUMIFS('caseload data'!Q:Q,'caseload data'!$D:$D,"SPO",'caseload data'!$C:$C,'divisional &amp; regional caseload'!$B$43)</f>
        <v>0</v>
      </c>
      <c r="P48" s="94">
        <f>SUMIFS('caseload data'!R:R,'caseload data'!$D:$D,"SPO",'caseload data'!$C:$C,'divisional &amp; regional caseload'!$B$43)</f>
        <v>0</v>
      </c>
      <c r="Q48" s="94">
        <f>SUMIFS('caseload data'!S:S,'caseload data'!$D:$D,"SPO",'caseload data'!$C:$C,'divisional &amp; regional caseload'!$B$43)</f>
        <v>0</v>
      </c>
      <c r="R48" s="94">
        <f>SUMIFS('caseload data'!T:T,'caseload data'!$D:$D,"SPO",'caseload data'!$C:$C,'divisional &amp; regional caseload'!$B$43)</f>
        <v>0</v>
      </c>
      <c r="S48" s="91"/>
      <c r="T48" s="98" t="s">
        <v>1004</v>
      </c>
      <c r="U48" s="94">
        <f>SUMIFS('caseload data'!E:E,'caseload data'!$D:$D,"SPO",'caseload data'!$C:$C,'divisional &amp; regional caseload'!$T$43)</f>
        <v>0</v>
      </c>
      <c r="V48" s="94">
        <f>SUMIFS('caseload data'!F:F,'caseload data'!$D:$D,"SPO",'caseload data'!$C:$C,'divisional &amp; regional caseload'!$T$43)</f>
        <v>0</v>
      </c>
      <c r="W48" s="94">
        <f>SUMIFS('caseload data'!G:G,'caseload data'!$D:$D,"SPO",'caseload data'!$C:$C,'divisional &amp; regional caseload'!$T$43)</f>
        <v>0</v>
      </c>
      <c r="X48" s="94">
        <f>SUMIFS('caseload data'!H:H,'caseload data'!$D:$D,"SPO",'caseload data'!$C:$C,'divisional &amp; regional caseload'!$T$43)</f>
        <v>0</v>
      </c>
      <c r="Y48" s="94">
        <f>SUMIFS('caseload data'!I:I,'caseload data'!$D:$D,"SPO",'caseload data'!$C:$C,'divisional &amp; regional caseload'!$T$43)</f>
        <v>0</v>
      </c>
      <c r="Z48" s="94">
        <f>SUMIFS('caseload data'!J:J,'caseload data'!$D:$D,"SPO",'caseload data'!$C:$C,'divisional &amp; regional caseload'!$T$43)</f>
        <v>0</v>
      </c>
      <c r="AA48" s="94">
        <f>SUMIFS('caseload data'!K:K,'caseload data'!$D:$D,"SPO",'caseload data'!$C:$C,'divisional &amp; regional caseload'!$T$43)</f>
        <v>0</v>
      </c>
      <c r="AB48" s="94">
        <f>SUMIFS('caseload data'!L:L,'caseload data'!$D:$D,"SPO",'caseload data'!$C:$C,'divisional &amp; regional caseload'!$T$43)</f>
        <v>0</v>
      </c>
      <c r="AC48" s="94">
        <f>SUMIFS('caseload data'!M:M,'caseload data'!$D:$D,"SPO",'caseload data'!$C:$C,'divisional &amp; regional caseload'!$T$43)</f>
        <v>0</v>
      </c>
      <c r="AD48" s="94">
        <f>SUMIFS('caseload data'!N:N,'caseload data'!$D:$D,"SPO",'caseload data'!$C:$C,'divisional &amp; regional caseload'!$T$43)</f>
        <v>0</v>
      </c>
      <c r="AE48" s="94">
        <f>SUMIFS('caseload data'!O:O,'caseload data'!$D:$D,"SPO",'caseload data'!$C:$C,'divisional &amp; regional caseload'!$T$43)</f>
        <v>0</v>
      </c>
      <c r="AF48" s="94">
        <f>SUMIFS('caseload data'!P:P,'caseload data'!$D:$D,"SPO",'caseload data'!$C:$C,'divisional &amp; regional caseload'!$T$43)</f>
        <v>0</v>
      </c>
      <c r="AG48" s="94">
        <f>SUMIFS('caseload data'!Q:Q,'caseload data'!$D:$D,"SPO",'caseload data'!$C:$C,'divisional &amp; regional caseload'!$T$43)</f>
        <v>0</v>
      </c>
      <c r="AH48" s="94">
        <f>SUMIFS('caseload data'!R:R,'caseload data'!$D:$D,"SPO",'caseload data'!$C:$C,'divisional &amp; regional caseload'!$T$43)</f>
        <v>0</v>
      </c>
      <c r="AI48" s="94">
        <f>SUMIFS('caseload data'!S:S,'caseload data'!$D:$D,"SPO",'caseload data'!$C:$C,'divisional &amp; regional caseload'!$T$43)</f>
        <v>0</v>
      </c>
      <c r="AJ48" s="94">
        <f>SUMIFS('caseload data'!T:T,'caseload data'!$D:$D,"SPO",'caseload data'!$C:$C,'divisional &amp; regional caseload'!$T$43)</f>
        <v>0</v>
      </c>
    </row>
    <row r="49" spans="2:36" x14ac:dyDescent="0.15">
      <c r="B49" s="91"/>
      <c r="C49" s="91"/>
      <c r="D49" s="91"/>
      <c r="E49" s="91"/>
      <c r="F49" s="91"/>
      <c r="G49" s="91"/>
      <c r="H49" s="91"/>
      <c r="I49" s="91"/>
      <c r="J49" s="91"/>
      <c r="K49" s="91"/>
      <c r="L49" s="91"/>
      <c r="M49" s="91"/>
      <c r="N49" s="91"/>
      <c r="O49" s="91"/>
      <c r="P49" s="91"/>
      <c r="Q49" s="91"/>
      <c r="R49" s="91"/>
      <c r="S49" s="91"/>
      <c r="T49" s="91"/>
      <c r="U49" s="91"/>
      <c r="V49" s="91"/>
      <c r="W49" s="91"/>
      <c r="X49" s="91"/>
      <c r="Y49" s="91"/>
      <c r="Z49" s="91"/>
      <c r="AA49" s="91"/>
    </row>
    <row r="50" spans="2:36" ht="30" customHeight="1" x14ac:dyDescent="0.15">
      <c r="B50" s="289">
        <f>HLOOKUP($B$5,Region_Table,14,0)</f>
        <v>0</v>
      </c>
      <c r="C50" s="517" t="s">
        <v>1092</v>
      </c>
      <c r="D50" s="518"/>
      <c r="E50" s="518"/>
      <c r="F50" s="518"/>
      <c r="G50" s="518"/>
      <c r="H50" s="518"/>
      <c r="I50" s="518"/>
      <c r="J50" s="518"/>
      <c r="K50" s="518"/>
      <c r="L50" s="518"/>
      <c r="M50" s="522"/>
      <c r="N50" s="522"/>
      <c r="O50" s="523"/>
      <c r="P50" s="512">
        <f>SUMIF('caseload data'!$C:$C,'divisional &amp; regional caseload'!B50,'caseload data'!V:V)</f>
        <v>0</v>
      </c>
      <c r="Q50" s="513"/>
      <c r="R50" s="514"/>
      <c r="S50" s="91"/>
      <c r="T50" s="289">
        <f>HLOOKUP($B$5,Region_Table,15,0)</f>
        <v>0</v>
      </c>
      <c r="U50" s="517" t="s">
        <v>1092</v>
      </c>
      <c r="V50" s="518"/>
      <c r="W50" s="518"/>
      <c r="X50" s="518"/>
      <c r="Y50" s="518"/>
      <c r="Z50" s="518"/>
      <c r="AA50" s="518"/>
      <c r="AB50" s="518"/>
      <c r="AC50" s="518"/>
      <c r="AD50" s="518"/>
      <c r="AE50" s="518"/>
      <c r="AF50" s="518"/>
      <c r="AG50" s="519"/>
      <c r="AH50" s="512">
        <f>SUMIF('caseload data'!$C:$C,'divisional &amp; regional caseload'!T50,'caseload data'!V:V)</f>
        <v>0</v>
      </c>
      <c r="AI50" s="513"/>
      <c r="AJ50" s="514"/>
    </row>
    <row r="51" spans="2:36" x14ac:dyDescent="0.15">
      <c r="B51" s="95" t="s">
        <v>1000</v>
      </c>
      <c r="C51" s="38" t="s">
        <v>864</v>
      </c>
      <c r="D51" s="38" t="s">
        <v>865</v>
      </c>
      <c r="E51" s="38" t="s">
        <v>866</v>
      </c>
      <c r="F51" s="38" t="s">
        <v>867</v>
      </c>
      <c r="G51" s="38" t="s">
        <v>868</v>
      </c>
      <c r="H51" s="38" t="s">
        <v>869</v>
      </c>
      <c r="I51" s="38" t="s">
        <v>870</v>
      </c>
      <c r="J51" s="38" t="s">
        <v>871</v>
      </c>
      <c r="K51" s="38" t="s">
        <v>872</v>
      </c>
      <c r="L51" s="38" t="s">
        <v>873</v>
      </c>
      <c r="M51" s="38" t="s">
        <v>874</v>
      </c>
      <c r="N51" s="38" t="s">
        <v>875</v>
      </c>
      <c r="O51" s="38" t="s">
        <v>876</v>
      </c>
      <c r="P51" s="38" t="s">
        <v>877</v>
      </c>
      <c r="Q51" s="38" t="s">
        <v>878</v>
      </c>
      <c r="R51" s="38" t="s">
        <v>879</v>
      </c>
      <c r="S51" s="91"/>
      <c r="T51" s="95" t="s">
        <v>1000</v>
      </c>
      <c r="U51" s="38" t="s">
        <v>864</v>
      </c>
      <c r="V51" s="38" t="s">
        <v>865</v>
      </c>
      <c r="W51" s="38" t="s">
        <v>866</v>
      </c>
      <c r="X51" s="38" t="s">
        <v>867</v>
      </c>
      <c r="Y51" s="38" t="s">
        <v>868</v>
      </c>
      <c r="Z51" s="38" t="s">
        <v>869</v>
      </c>
      <c r="AA51" s="38" t="s">
        <v>870</v>
      </c>
      <c r="AB51" s="38" t="s">
        <v>871</v>
      </c>
      <c r="AC51" s="38" t="s">
        <v>872</v>
      </c>
      <c r="AD51" s="38" t="s">
        <v>873</v>
      </c>
      <c r="AE51" s="38" t="s">
        <v>874</v>
      </c>
      <c r="AF51" s="38" t="s">
        <v>875</v>
      </c>
      <c r="AG51" s="38" t="s">
        <v>876</v>
      </c>
      <c r="AH51" s="38" t="s">
        <v>877</v>
      </c>
      <c r="AI51" s="38" t="s">
        <v>878</v>
      </c>
      <c r="AJ51" s="38" t="s">
        <v>879</v>
      </c>
    </row>
    <row r="52" spans="2:36" x14ac:dyDescent="0.15">
      <c r="B52" s="96" t="s">
        <v>997</v>
      </c>
      <c r="C52" s="94">
        <f>SUMIFS('caseload data'!E:E,'caseload data'!$D:$D,"PO",'caseload data'!$C:$C,'divisional &amp; regional caseload'!$B$50)</f>
        <v>0</v>
      </c>
      <c r="D52" s="94">
        <f>SUMIFS('caseload data'!F:F,'caseload data'!$D:$D,"PO",'caseload data'!$C:$C,'divisional &amp; regional caseload'!$B$50)</f>
        <v>0</v>
      </c>
      <c r="E52" s="94">
        <f>SUMIFS('caseload data'!G:G,'caseload data'!$D:$D,"PO",'caseload data'!$C:$C,'divisional &amp; regional caseload'!$B$50)</f>
        <v>0</v>
      </c>
      <c r="F52" s="94">
        <f>SUMIFS('caseload data'!H:H,'caseload data'!$D:$D,"PO",'caseload data'!$C:$C,'divisional &amp; regional caseload'!$B$50)</f>
        <v>0</v>
      </c>
      <c r="G52" s="94">
        <f>SUMIFS('caseload data'!I:I,'caseload data'!$D:$D,"PO",'caseload data'!$C:$C,'divisional &amp; regional caseload'!$B$50)</f>
        <v>0</v>
      </c>
      <c r="H52" s="94">
        <f>SUMIFS('caseload data'!J:J,'caseload data'!$D:$D,"PO",'caseload data'!$C:$C,'divisional &amp; regional caseload'!$B$50)</f>
        <v>0</v>
      </c>
      <c r="I52" s="94">
        <f>SUMIFS('caseload data'!K:K,'caseload data'!$D:$D,"PO",'caseload data'!$C:$C,'divisional &amp; regional caseload'!$B$50)</f>
        <v>0</v>
      </c>
      <c r="J52" s="94">
        <f>SUMIFS('caseload data'!L:L,'caseload data'!$D:$D,"PO",'caseload data'!$C:$C,'divisional &amp; regional caseload'!$B$50)</f>
        <v>0</v>
      </c>
      <c r="K52" s="94">
        <f>SUMIFS('caseload data'!M:M,'caseload data'!$D:$D,"PO",'caseload data'!$C:$C,'divisional &amp; regional caseload'!$B$50)</f>
        <v>0</v>
      </c>
      <c r="L52" s="94">
        <f>SUMIFS('caseload data'!N:N,'caseload data'!$D:$D,"PO",'caseload data'!$C:$C,'divisional &amp; regional caseload'!$B$50)</f>
        <v>0</v>
      </c>
      <c r="M52" s="94">
        <f>SUMIFS('caseload data'!O:O,'caseload data'!$D:$D,"PO",'caseload data'!$C:$C,'divisional &amp; regional caseload'!$B$50)</f>
        <v>0</v>
      </c>
      <c r="N52" s="94">
        <f>SUMIFS('caseload data'!P:P,'caseload data'!$D:$D,"PO",'caseload data'!$C:$C,'divisional &amp; regional caseload'!$B$50)</f>
        <v>0</v>
      </c>
      <c r="O52" s="94">
        <f>SUMIFS('caseload data'!Q:Q,'caseload data'!$D:$D,"PO",'caseload data'!$C:$C,'divisional &amp; regional caseload'!$B$50)</f>
        <v>0</v>
      </c>
      <c r="P52" s="94">
        <f>SUMIFS('caseload data'!R:R,'caseload data'!$D:$D,"PO",'caseload data'!$C:$C,'divisional &amp; regional caseload'!$B$50)</f>
        <v>0</v>
      </c>
      <c r="Q52" s="94">
        <f>SUMIFS('caseload data'!S:S,'caseload data'!$D:$D,"PO",'caseload data'!$C:$C,'divisional &amp; regional caseload'!$B$50)</f>
        <v>0</v>
      </c>
      <c r="R52" s="94">
        <f>SUMIFS('caseload data'!T:T,'caseload data'!$D:$D,"PO",'caseload data'!$C:$C,'divisional &amp; regional caseload'!$B$50)</f>
        <v>0</v>
      </c>
      <c r="S52" s="91"/>
      <c r="T52" s="96" t="s">
        <v>997</v>
      </c>
      <c r="U52" s="94">
        <f>SUMIFS('caseload data'!E:E,'caseload data'!$D:$D,"PO",'caseload data'!$C:$C,'divisional &amp; regional caseload'!$T$50)</f>
        <v>0</v>
      </c>
      <c r="V52" s="94">
        <f>SUMIFS('caseload data'!F:F,'caseload data'!$D:$D,"PO",'caseload data'!$C:$C,'divisional &amp; regional caseload'!$T$50)</f>
        <v>0</v>
      </c>
      <c r="W52" s="94">
        <f>SUMIFS('caseload data'!G:G,'caseload data'!$D:$D,"PO",'caseload data'!$C:$C,'divisional &amp; regional caseload'!$T$50)</f>
        <v>0</v>
      </c>
      <c r="X52" s="94">
        <f>SUMIFS('caseload data'!H:H,'caseload data'!$D:$D,"PO",'caseload data'!$C:$C,'divisional &amp; regional caseload'!$T$50)</f>
        <v>0</v>
      </c>
      <c r="Y52" s="94">
        <f>SUMIFS('caseload data'!I:I,'caseload data'!$D:$D,"PO",'caseload data'!$C:$C,'divisional &amp; regional caseload'!$T$50)</f>
        <v>0</v>
      </c>
      <c r="Z52" s="94">
        <f>SUMIFS('caseload data'!J:J,'caseload data'!$D:$D,"PO",'caseload data'!$C:$C,'divisional &amp; regional caseload'!$T$50)</f>
        <v>0</v>
      </c>
      <c r="AA52" s="94">
        <f>SUMIFS('caseload data'!K:K,'caseload data'!$D:$D,"PO",'caseload data'!$C:$C,'divisional &amp; regional caseload'!$T$50)</f>
        <v>0</v>
      </c>
      <c r="AB52" s="94">
        <f>SUMIFS('caseload data'!L:L,'caseload data'!$D:$D,"PO",'caseload data'!$C:$C,'divisional &amp; regional caseload'!$T$50)</f>
        <v>0</v>
      </c>
      <c r="AC52" s="94">
        <f>SUMIFS('caseload data'!M:M,'caseload data'!$D:$D,"PO",'caseload data'!$C:$C,'divisional &amp; regional caseload'!$T$50)</f>
        <v>0</v>
      </c>
      <c r="AD52" s="94">
        <f>SUMIFS('caseload data'!N:N,'caseload data'!$D:$D,"PO",'caseload data'!$C:$C,'divisional &amp; regional caseload'!$T$50)</f>
        <v>0</v>
      </c>
      <c r="AE52" s="94">
        <f>SUMIFS('caseload data'!O:O,'caseload data'!$D:$D,"PO",'caseload data'!$C:$C,'divisional &amp; regional caseload'!$T$50)</f>
        <v>0</v>
      </c>
      <c r="AF52" s="94">
        <f>SUMIFS('caseload data'!P:P,'caseload data'!$D:$D,"PO",'caseload data'!$C:$C,'divisional &amp; regional caseload'!$T$50)</f>
        <v>0</v>
      </c>
      <c r="AG52" s="94">
        <f>SUMIFS('caseload data'!Q:Q,'caseload data'!$D:$D,"PO",'caseload data'!$C:$C,'divisional &amp; regional caseload'!$T$50)</f>
        <v>0</v>
      </c>
      <c r="AH52" s="94">
        <f>SUMIFS('caseload data'!R:R,'caseload data'!$D:$D,"PO",'caseload data'!$C:$C,'divisional &amp; regional caseload'!$T$50)</f>
        <v>0</v>
      </c>
      <c r="AI52" s="94">
        <f>SUMIFS('caseload data'!S:S,'caseload data'!$D:$D,"PO",'caseload data'!$C:$C,'divisional &amp; regional caseload'!$T$50)</f>
        <v>0</v>
      </c>
      <c r="AJ52" s="94">
        <f>SUMIFS('caseload data'!T:T,'caseload data'!$D:$D,"PO",'caseload data'!$C:$C,'divisional &amp; regional caseload'!$T$50)</f>
        <v>0</v>
      </c>
    </row>
    <row r="53" spans="2:36" x14ac:dyDescent="0.15">
      <c r="B53" s="97" t="s">
        <v>1002</v>
      </c>
      <c r="C53" s="94">
        <f>SUMIFS('caseload data'!E:E,'caseload data'!$D:$D,"PSO",'caseload data'!$C:$C,'divisional &amp; regional caseload'!$B$50)</f>
        <v>0</v>
      </c>
      <c r="D53" s="94">
        <f>SUMIFS('caseload data'!F:F,'caseload data'!$D:$D,"PSO",'caseload data'!$C:$C,'divisional &amp; regional caseload'!$B$50)</f>
        <v>0</v>
      </c>
      <c r="E53" s="94">
        <f>SUMIFS('caseload data'!G:G,'caseload data'!$D:$D,"PSO",'caseload data'!$C:$C,'divisional &amp; regional caseload'!$B$50)</f>
        <v>0</v>
      </c>
      <c r="F53" s="94">
        <f>SUMIFS('caseload data'!H:H,'caseload data'!$D:$D,"PSO",'caseload data'!$C:$C,'divisional &amp; regional caseload'!$B$50)</f>
        <v>0</v>
      </c>
      <c r="G53" s="94">
        <f>SUMIFS('caseload data'!I:I,'caseload data'!$D:$D,"PSO",'caseload data'!$C:$C,'divisional &amp; regional caseload'!$B$50)</f>
        <v>0</v>
      </c>
      <c r="H53" s="94">
        <f>SUMIFS('caseload data'!J:J,'caseload data'!$D:$D,"PSO",'caseload data'!$C:$C,'divisional &amp; regional caseload'!$B$50)</f>
        <v>0</v>
      </c>
      <c r="I53" s="94">
        <f>SUMIFS('caseload data'!K:K,'caseload data'!$D:$D,"PSO",'caseload data'!$C:$C,'divisional &amp; regional caseload'!$B$50)</f>
        <v>0</v>
      </c>
      <c r="J53" s="94">
        <f>SUMIFS('caseload data'!L:L,'caseload data'!$D:$D,"PSO",'caseload data'!$C:$C,'divisional &amp; regional caseload'!$B$50)</f>
        <v>0</v>
      </c>
      <c r="K53" s="94">
        <f>SUMIFS('caseload data'!M:M,'caseload data'!$D:$D,"PSO",'caseload data'!$C:$C,'divisional &amp; regional caseload'!$B$50)</f>
        <v>0</v>
      </c>
      <c r="L53" s="94">
        <f>SUMIFS('caseload data'!N:N,'caseload data'!$D:$D,"PSO",'caseload data'!$C:$C,'divisional &amp; regional caseload'!$B$50)</f>
        <v>0</v>
      </c>
      <c r="M53" s="94">
        <f>SUMIFS('caseload data'!O:O,'caseload data'!$D:$D,"PSO",'caseload data'!$C:$C,'divisional &amp; regional caseload'!$B$50)</f>
        <v>0</v>
      </c>
      <c r="N53" s="94">
        <f>SUMIFS('caseload data'!P:P,'caseload data'!$D:$D,"PSO",'caseload data'!$C:$C,'divisional &amp; regional caseload'!$B$50)</f>
        <v>0</v>
      </c>
      <c r="O53" s="94">
        <f>SUMIFS('caseload data'!Q:Q,'caseload data'!$D:$D,"PSO",'caseload data'!$C:$C,'divisional &amp; regional caseload'!$B$50)</f>
        <v>0</v>
      </c>
      <c r="P53" s="94">
        <f>SUMIFS('caseload data'!R:R,'caseload data'!$D:$D,"PSO",'caseload data'!$C:$C,'divisional &amp; regional caseload'!$B$50)</f>
        <v>0</v>
      </c>
      <c r="Q53" s="94">
        <f>SUMIFS('caseload data'!S:S,'caseload data'!$D:$D,"PSO",'caseload data'!$C:$C,'divisional &amp; regional caseload'!$B$50)</f>
        <v>0</v>
      </c>
      <c r="R53" s="94">
        <f>SUMIFS('caseload data'!T:T,'caseload data'!$D:$D,"PSO",'caseload data'!$C:$C,'divisional &amp; regional caseload'!$B$50)</f>
        <v>0</v>
      </c>
      <c r="S53" s="91"/>
      <c r="T53" s="97" t="s">
        <v>1002</v>
      </c>
      <c r="U53" s="94">
        <f>SUMIFS('caseload data'!E:E,'caseload data'!$D:$D,"PSO",'caseload data'!$C:$C,'divisional &amp; regional caseload'!$T$50)</f>
        <v>0</v>
      </c>
      <c r="V53" s="94">
        <f>SUMIFS('caseload data'!F:F,'caseload data'!$D:$D,"PSO",'caseload data'!$C:$C,'divisional &amp; regional caseload'!$T$50)</f>
        <v>0</v>
      </c>
      <c r="W53" s="94">
        <f>SUMIFS('caseload data'!G:G,'caseload data'!$D:$D,"PSO",'caseload data'!$C:$C,'divisional &amp; regional caseload'!$T$50)</f>
        <v>0</v>
      </c>
      <c r="X53" s="94">
        <f>SUMIFS('caseload data'!H:H,'caseload data'!$D:$D,"PSO",'caseload data'!$C:$C,'divisional &amp; regional caseload'!$T$50)</f>
        <v>0</v>
      </c>
      <c r="Y53" s="94">
        <f>SUMIFS('caseload data'!I:I,'caseload data'!$D:$D,"PSO",'caseload data'!$C:$C,'divisional &amp; regional caseload'!$T$50)</f>
        <v>0</v>
      </c>
      <c r="Z53" s="94">
        <f>SUMIFS('caseload data'!J:J,'caseload data'!$D:$D,"PSO",'caseload data'!$C:$C,'divisional &amp; regional caseload'!$T$50)</f>
        <v>0</v>
      </c>
      <c r="AA53" s="94">
        <f>SUMIFS('caseload data'!K:K,'caseload data'!$D:$D,"PSO",'caseload data'!$C:$C,'divisional &amp; regional caseload'!$T$50)</f>
        <v>0</v>
      </c>
      <c r="AB53" s="94">
        <f>SUMIFS('caseload data'!L:L,'caseload data'!$D:$D,"PSO",'caseload data'!$C:$C,'divisional &amp; regional caseload'!$T$50)</f>
        <v>0</v>
      </c>
      <c r="AC53" s="94">
        <f>SUMIFS('caseload data'!M:M,'caseload data'!$D:$D,"PSO",'caseload data'!$C:$C,'divisional &amp; regional caseload'!$T$50)</f>
        <v>0</v>
      </c>
      <c r="AD53" s="94">
        <f>SUMIFS('caseload data'!N:N,'caseload data'!$D:$D,"PSO",'caseload data'!$C:$C,'divisional &amp; regional caseload'!$T$50)</f>
        <v>0</v>
      </c>
      <c r="AE53" s="94">
        <f>SUMIFS('caseload data'!O:O,'caseload data'!$D:$D,"PSO",'caseload data'!$C:$C,'divisional &amp; regional caseload'!$T$50)</f>
        <v>0</v>
      </c>
      <c r="AF53" s="94">
        <f>SUMIFS('caseload data'!P:P,'caseload data'!$D:$D,"PSO",'caseload data'!$C:$C,'divisional &amp; regional caseload'!$T$50)</f>
        <v>0</v>
      </c>
      <c r="AG53" s="94">
        <f>SUMIFS('caseload data'!Q:Q,'caseload data'!$D:$D,"PSO",'caseload data'!$C:$C,'divisional &amp; regional caseload'!$T$50)</f>
        <v>0</v>
      </c>
      <c r="AH53" s="94">
        <f>SUMIFS('caseload data'!R:R,'caseload data'!$D:$D,"PSO",'caseload data'!$C:$C,'divisional &amp; regional caseload'!$T$50)</f>
        <v>0</v>
      </c>
      <c r="AI53" s="94">
        <f>SUMIFS('caseload data'!S:S,'caseload data'!$D:$D,"PSO",'caseload data'!$C:$C,'divisional &amp; regional caseload'!$T$50)</f>
        <v>0</v>
      </c>
      <c r="AJ53" s="94">
        <f>SUMIFS('caseload data'!T:T,'caseload data'!$D:$D,"PSO",'caseload data'!$C:$C,'divisional &amp; regional caseload'!$T$50)</f>
        <v>0</v>
      </c>
    </row>
    <row r="54" spans="2:36" x14ac:dyDescent="0.15">
      <c r="B54" s="97" t="s">
        <v>1003</v>
      </c>
      <c r="C54" s="94">
        <f>SUMIFS('caseload data'!E:E,'caseload data'!$D:$D,"TPO",'caseload data'!$C:$C,'divisional &amp; regional caseload'!$B$50)</f>
        <v>0</v>
      </c>
      <c r="D54" s="94">
        <f>SUMIFS('caseload data'!F:F,'caseload data'!$D:$D,"TPO",'caseload data'!$C:$C,'divisional &amp; regional caseload'!$B$50)</f>
        <v>0</v>
      </c>
      <c r="E54" s="94">
        <f>SUMIFS('caseload data'!G:G,'caseload data'!$D:$D,"TPO",'caseload data'!$C:$C,'divisional &amp; regional caseload'!$B$50)</f>
        <v>0</v>
      </c>
      <c r="F54" s="94">
        <f>SUMIFS('caseload data'!H:H,'caseload data'!$D:$D,"TPO",'caseload data'!$C:$C,'divisional &amp; regional caseload'!$B$50)</f>
        <v>0</v>
      </c>
      <c r="G54" s="94">
        <f>SUMIFS('caseload data'!I:I,'caseload data'!$D:$D,"TPO",'caseload data'!$C:$C,'divisional &amp; regional caseload'!$B$50)</f>
        <v>0</v>
      </c>
      <c r="H54" s="94">
        <f>SUMIFS('caseload data'!J:J,'caseload data'!$D:$D,"TPO",'caseload data'!$C:$C,'divisional &amp; regional caseload'!$B$50)</f>
        <v>0</v>
      </c>
      <c r="I54" s="94">
        <f>SUMIFS('caseload data'!K:K,'caseload data'!$D:$D,"TPO",'caseload data'!$C:$C,'divisional &amp; regional caseload'!$B$50)</f>
        <v>0</v>
      </c>
      <c r="J54" s="94">
        <f>SUMIFS('caseload data'!L:L,'caseload data'!$D:$D,"TPO",'caseload data'!$C:$C,'divisional &amp; regional caseload'!$B$50)</f>
        <v>0</v>
      </c>
      <c r="K54" s="94">
        <f>SUMIFS('caseload data'!M:M,'caseload data'!$D:$D,"TPO",'caseload data'!$C:$C,'divisional &amp; regional caseload'!$B$50)</f>
        <v>0</v>
      </c>
      <c r="L54" s="94">
        <f>SUMIFS('caseload data'!N:N,'caseload data'!$D:$D,"TPO",'caseload data'!$C:$C,'divisional &amp; regional caseload'!$B$50)</f>
        <v>0</v>
      </c>
      <c r="M54" s="94">
        <f>SUMIFS('caseload data'!O:O,'caseload data'!$D:$D,"TPO",'caseload data'!$C:$C,'divisional &amp; regional caseload'!$B$50)</f>
        <v>0</v>
      </c>
      <c r="N54" s="94">
        <f>SUMIFS('caseload data'!P:P,'caseload data'!$D:$D,"TPO",'caseload data'!$C:$C,'divisional &amp; regional caseload'!$B$50)</f>
        <v>0</v>
      </c>
      <c r="O54" s="94">
        <f>SUMIFS('caseload data'!Q:Q,'caseload data'!$D:$D,"TPO",'caseload data'!$C:$C,'divisional &amp; regional caseload'!$B$50)</f>
        <v>0</v>
      </c>
      <c r="P54" s="94">
        <f>SUMIFS('caseload data'!R:R,'caseload data'!$D:$D,"TPO",'caseload data'!$C:$C,'divisional &amp; regional caseload'!$B$50)</f>
        <v>0</v>
      </c>
      <c r="Q54" s="94">
        <f>SUMIFS('caseload data'!S:S,'caseload data'!$D:$D,"TPO",'caseload data'!$C:$C,'divisional &amp; regional caseload'!$B$50)</f>
        <v>0</v>
      </c>
      <c r="R54" s="94">
        <f>SUMIFS('caseload data'!T:T,'caseload data'!$D:$D,"TPO",'caseload data'!$C:$C,'divisional &amp; regional caseload'!$B$50)</f>
        <v>0</v>
      </c>
      <c r="S54" s="91"/>
      <c r="T54" s="97" t="s">
        <v>1003</v>
      </c>
      <c r="U54" s="94">
        <f>SUMIFS('caseload data'!E:E,'caseload data'!$D:$D,"TPO",'caseload data'!$C:$C,'divisional &amp; regional caseload'!$T$50)</f>
        <v>0</v>
      </c>
      <c r="V54" s="94">
        <f>SUMIFS('caseload data'!F:F,'caseload data'!$D:$D,"TPO",'caseload data'!$C:$C,'divisional &amp; regional caseload'!$T$50)</f>
        <v>0</v>
      </c>
      <c r="W54" s="94">
        <f>SUMIFS('caseload data'!G:G,'caseload data'!$D:$D,"TPO",'caseload data'!$C:$C,'divisional &amp; regional caseload'!$T$50)</f>
        <v>0</v>
      </c>
      <c r="X54" s="94">
        <f>SUMIFS('caseload data'!H:H,'caseload data'!$D:$D,"TPO",'caseload data'!$C:$C,'divisional &amp; regional caseload'!$T$50)</f>
        <v>0</v>
      </c>
      <c r="Y54" s="94">
        <f>SUMIFS('caseload data'!I:I,'caseload data'!$D:$D,"TPO",'caseload data'!$C:$C,'divisional &amp; regional caseload'!$T$50)</f>
        <v>0</v>
      </c>
      <c r="Z54" s="94">
        <f>SUMIFS('caseload data'!J:J,'caseload data'!$D:$D,"TPO",'caseload data'!$C:$C,'divisional &amp; regional caseload'!$T$50)</f>
        <v>0</v>
      </c>
      <c r="AA54" s="94">
        <f>SUMIFS('caseload data'!K:K,'caseload data'!$D:$D,"TPO",'caseload data'!$C:$C,'divisional &amp; regional caseload'!$T$50)</f>
        <v>0</v>
      </c>
      <c r="AB54" s="94">
        <f>SUMIFS('caseload data'!L:L,'caseload data'!$D:$D,"TPO",'caseload data'!$C:$C,'divisional &amp; regional caseload'!$T$50)</f>
        <v>0</v>
      </c>
      <c r="AC54" s="94">
        <f>SUMIFS('caseload data'!M:M,'caseload data'!$D:$D,"TPO",'caseload data'!$C:$C,'divisional &amp; regional caseload'!$T$50)</f>
        <v>0</v>
      </c>
      <c r="AD54" s="94">
        <f>SUMIFS('caseload data'!N:N,'caseload data'!$D:$D,"TPO",'caseload data'!$C:$C,'divisional &amp; regional caseload'!$T$50)</f>
        <v>0</v>
      </c>
      <c r="AE54" s="94">
        <f>SUMIFS('caseload data'!O:O,'caseload data'!$D:$D,"TPO",'caseload data'!$C:$C,'divisional &amp; regional caseload'!$T$50)</f>
        <v>0</v>
      </c>
      <c r="AF54" s="94">
        <f>SUMIFS('caseload data'!P:P,'caseload data'!$D:$D,"TPO",'caseload data'!$C:$C,'divisional &amp; regional caseload'!$T$50)</f>
        <v>0</v>
      </c>
      <c r="AG54" s="94">
        <f>SUMIFS('caseload data'!Q:Q,'caseload data'!$D:$D,"TPO",'caseload data'!$C:$C,'divisional &amp; regional caseload'!$T$50)</f>
        <v>0</v>
      </c>
      <c r="AH54" s="94">
        <f>SUMIFS('caseload data'!R:R,'caseload data'!$D:$D,"TPO",'caseload data'!$C:$C,'divisional &amp; regional caseload'!$T$50)</f>
        <v>0</v>
      </c>
      <c r="AI54" s="94">
        <f>SUMIFS('caseload data'!S:S,'caseload data'!$D:$D,"TPO",'caseload data'!$C:$C,'divisional &amp; regional caseload'!$T$50)</f>
        <v>0</v>
      </c>
      <c r="AJ54" s="94">
        <f>SUMIFS('caseload data'!T:T,'caseload data'!$D:$D,"TPO",'caseload data'!$C:$C,'divisional &amp; regional caseload'!$T$50)</f>
        <v>0</v>
      </c>
    </row>
    <row r="55" spans="2:36" x14ac:dyDescent="0.15">
      <c r="B55" s="98" t="s">
        <v>1004</v>
      </c>
      <c r="C55" s="94">
        <f>SUMIFS('caseload data'!E:E,'caseload data'!$D:$D,"SPO",'caseload data'!$C:$C,'divisional &amp; regional caseload'!$B$50)</f>
        <v>0</v>
      </c>
      <c r="D55" s="94">
        <f>SUMIFS('caseload data'!F:F,'caseload data'!$D:$D,"SPO",'caseload data'!$C:$C,'divisional &amp; regional caseload'!$B$50)</f>
        <v>0</v>
      </c>
      <c r="E55" s="94">
        <f>SUMIFS('caseload data'!G:G,'caseload data'!$D:$D,"SPO",'caseload data'!$C:$C,'divisional &amp; regional caseload'!$B$50)</f>
        <v>0</v>
      </c>
      <c r="F55" s="94">
        <f>SUMIFS('caseload data'!H:H,'caseload data'!$D:$D,"SPO",'caseload data'!$C:$C,'divisional &amp; regional caseload'!$B$50)</f>
        <v>0</v>
      </c>
      <c r="G55" s="94">
        <f>SUMIFS('caseload data'!I:I,'caseload data'!$D:$D,"SPO",'caseload data'!$C:$C,'divisional &amp; regional caseload'!$B$50)</f>
        <v>0</v>
      </c>
      <c r="H55" s="94">
        <f>SUMIFS('caseload data'!J:J,'caseload data'!$D:$D,"SPO",'caseload data'!$C:$C,'divisional &amp; regional caseload'!$B$50)</f>
        <v>0</v>
      </c>
      <c r="I55" s="94">
        <f>SUMIFS('caseload data'!K:K,'caseload data'!$D:$D,"SPO",'caseload data'!$C:$C,'divisional &amp; regional caseload'!$B$50)</f>
        <v>0</v>
      </c>
      <c r="J55" s="94">
        <f>SUMIFS('caseload data'!L:L,'caseload data'!$D:$D,"SPO",'caseload data'!$C:$C,'divisional &amp; regional caseload'!$B$50)</f>
        <v>0</v>
      </c>
      <c r="K55" s="94">
        <f>SUMIFS('caseload data'!M:M,'caseload data'!$D:$D,"SPO",'caseload data'!$C:$C,'divisional &amp; regional caseload'!$B$50)</f>
        <v>0</v>
      </c>
      <c r="L55" s="94">
        <f>SUMIFS('caseload data'!N:N,'caseload data'!$D:$D,"SPO",'caseload data'!$C:$C,'divisional &amp; regional caseload'!$B$50)</f>
        <v>0</v>
      </c>
      <c r="M55" s="94">
        <f>SUMIFS('caseload data'!O:O,'caseload data'!$D:$D,"SPO",'caseload data'!$C:$C,'divisional &amp; regional caseload'!$B$50)</f>
        <v>0</v>
      </c>
      <c r="N55" s="94">
        <f>SUMIFS('caseload data'!P:P,'caseload data'!$D:$D,"SPO",'caseload data'!$C:$C,'divisional &amp; regional caseload'!$B$50)</f>
        <v>0</v>
      </c>
      <c r="O55" s="94">
        <f>SUMIFS('caseload data'!Q:Q,'caseload data'!$D:$D,"SPO",'caseload data'!$C:$C,'divisional &amp; regional caseload'!$B$50)</f>
        <v>0</v>
      </c>
      <c r="P55" s="94">
        <f>SUMIFS('caseload data'!R:R,'caseload data'!$D:$D,"SPO",'caseload data'!$C:$C,'divisional &amp; regional caseload'!$B$50)</f>
        <v>0</v>
      </c>
      <c r="Q55" s="94">
        <f>SUMIFS('caseload data'!S:S,'caseload data'!$D:$D,"SPO",'caseload data'!$C:$C,'divisional &amp; regional caseload'!$B$50)</f>
        <v>0</v>
      </c>
      <c r="R55" s="94">
        <f>SUMIFS('caseload data'!T:T,'caseload data'!$D:$D,"SPO",'caseload data'!$C:$C,'divisional &amp; regional caseload'!$B$50)</f>
        <v>0</v>
      </c>
      <c r="S55" s="91"/>
      <c r="T55" s="98" t="s">
        <v>1004</v>
      </c>
      <c r="U55" s="94">
        <f>SUMIFS('caseload data'!E:E,'caseload data'!$D:$D,"SPO",'caseload data'!$C:$C,'divisional &amp; regional caseload'!$T$50)</f>
        <v>0</v>
      </c>
      <c r="V55" s="94">
        <f>SUMIFS('caseload data'!F:F,'caseload data'!$D:$D,"SPO",'caseload data'!$C:$C,'divisional &amp; regional caseload'!$T$50)</f>
        <v>0</v>
      </c>
      <c r="W55" s="94">
        <f>SUMIFS('caseload data'!G:G,'caseload data'!$D:$D,"SPO",'caseload data'!$C:$C,'divisional &amp; regional caseload'!$T$50)</f>
        <v>0</v>
      </c>
      <c r="X55" s="94">
        <f>SUMIFS('caseload data'!H:H,'caseload data'!$D:$D,"SPO",'caseload data'!$C:$C,'divisional &amp; regional caseload'!$T$50)</f>
        <v>0</v>
      </c>
      <c r="Y55" s="94">
        <f>SUMIFS('caseload data'!I:I,'caseload data'!$D:$D,"SPO",'caseload data'!$C:$C,'divisional &amp; regional caseload'!$T$50)</f>
        <v>0</v>
      </c>
      <c r="Z55" s="94">
        <f>SUMIFS('caseload data'!J:J,'caseload data'!$D:$D,"SPO",'caseload data'!$C:$C,'divisional &amp; regional caseload'!$T$50)</f>
        <v>0</v>
      </c>
      <c r="AA55" s="94">
        <f>SUMIFS('caseload data'!K:K,'caseload data'!$D:$D,"SPO",'caseload data'!$C:$C,'divisional &amp; regional caseload'!$T$50)</f>
        <v>0</v>
      </c>
      <c r="AB55" s="94">
        <f>SUMIFS('caseload data'!L:L,'caseload data'!$D:$D,"SPO",'caseload data'!$C:$C,'divisional &amp; regional caseload'!$T$50)</f>
        <v>0</v>
      </c>
      <c r="AC55" s="94">
        <f>SUMIFS('caseload data'!M:M,'caseload data'!$D:$D,"SPO",'caseload data'!$C:$C,'divisional &amp; regional caseload'!$T$50)</f>
        <v>0</v>
      </c>
      <c r="AD55" s="94">
        <f>SUMIFS('caseload data'!N:N,'caseload data'!$D:$D,"SPO",'caseload data'!$C:$C,'divisional &amp; regional caseload'!$T$50)</f>
        <v>0</v>
      </c>
      <c r="AE55" s="94">
        <f>SUMIFS('caseload data'!O:O,'caseload data'!$D:$D,"SPO",'caseload data'!$C:$C,'divisional &amp; regional caseload'!$T$50)</f>
        <v>0</v>
      </c>
      <c r="AF55" s="94">
        <f>SUMIFS('caseload data'!P:P,'caseload data'!$D:$D,"SPO",'caseload data'!$C:$C,'divisional &amp; regional caseload'!$T$50)</f>
        <v>0</v>
      </c>
      <c r="AG55" s="94">
        <f>SUMIFS('caseload data'!Q:Q,'caseload data'!$D:$D,"SPO",'caseload data'!$C:$C,'divisional &amp; regional caseload'!$T$50)</f>
        <v>0</v>
      </c>
      <c r="AH55" s="94">
        <f>SUMIFS('caseload data'!R:R,'caseload data'!$D:$D,"SPO",'caseload data'!$C:$C,'divisional &amp; regional caseload'!$T$50)</f>
        <v>0</v>
      </c>
      <c r="AI55" s="94">
        <f>SUMIFS('caseload data'!S:S,'caseload data'!$D:$D,"SPO",'caseload data'!$C:$C,'divisional &amp; regional caseload'!$T$50)</f>
        <v>0</v>
      </c>
      <c r="AJ55" s="94">
        <f>SUMIFS('caseload data'!T:T,'caseload data'!$D:$D,"SPO",'caseload data'!$C:$C,'divisional &amp; regional caseload'!$T$50)</f>
        <v>0</v>
      </c>
    </row>
    <row r="56" spans="2:36" x14ac:dyDescent="0.15">
      <c r="B56" s="91"/>
      <c r="C56" s="91"/>
      <c r="D56" s="91"/>
      <c r="E56" s="91"/>
      <c r="F56" s="91"/>
      <c r="G56" s="91"/>
      <c r="H56" s="91"/>
      <c r="I56" s="91"/>
      <c r="J56" s="91"/>
      <c r="K56" s="91"/>
      <c r="L56" s="91"/>
      <c r="M56" s="91"/>
      <c r="N56" s="91"/>
      <c r="O56" s="91"/>
      <c r="P56" s="91"/>
      <c r="Q56" s="91"/>
      <c r="R56" s="91"/>
      <c r="S56" s="91"/>
      <c r="T56" s="91"/>
      <c r="U56" s="91"/>
      <c r="V56" s="91"/>
      <c r="W56" s="91"/>
      <c r="X56" s="91"/>
      <c r="Y56" s="91"/>
      <c r="Z56" s="91"/>
      <c r="AA56" s="91"/>
    </row>
    <row r="57" spans="2:36" ht="28.5" customHeight="1" x14ac:dyDescent="0.15">
      <c r="B57" s="289">
        <f>HLOOKUP($B$5,Region_Table,16,0)</f>
        <v>0</v>
      </c>
      <c r="C57" s="517" t="s">
        <v>1092</v>
      </c>
      <c r="D57" s="518"/>
      <c r="E57" s="518"/>
      <c r="F57" s="518"/>
      <c r="G57" s="518"/>
      <c r="H57" s="518"/>
      <c r="I57" s="518"/>
      <c r="J57" s="518"/>
      <c r="K57" s="518"/>
      <c r="L57" s="518"/>
      <c r="M57" s="522"/>
      <c r="N57" s="522"/>
      <c r="O57" s="523"/>
      <c r="P57" s="512">
        <f>SUMIF('caseload data'!$C:$C,'divisional &amp; regional caseload'!B57,'caseload data'!V:V)</f>
        <v>0</v>
      </c>
      <c r="Q57" s="513"/>
      <c r="R57" s="514"/>
      <c r="S57" s="91"/>
      <c r="T57" s="289">
        <f>HLOOKUP($B$5,Region_Table,17,0)</f>
        <v>0</v>
      </c>
      <c r="U57" s="517" t="s">
        <v>1092</v>
      </c>
      <c r="V57" s="518"/>
      <c r="W57" s="518"/>
      <c r="X57" s="518"/>
      <c r="Y57" s="518"/>
      <c r="Z57" s="518"/>
      <c r="AA57" s="518"/>
      <c r="AB57" s="518"/>
      <c r="AC57" s="518"/>
      <c r="AD57" s="518"/>
      <c r="AE57" s="518"/>
      <c r="AF57" s="518"/>
      <c r="AG57" s="519"/>
      <c r="AH57" s="512">
        <f>SUMIF('caseload data'!$C:$C,'divisional &amp; regional caseload'!T57,'caseload data'!V:V)</f>
        <v>0</v>
      </c>
      <c r="AI57" s="513"/>
      <c r="AJ57" s="514"/>
    </row>
    <row r="58" spans="2:36" x14ac:dyDescent="0.15">
      <c r="B58" s="95" t="s">
        <v>1000</v>
      </c>
      <c r="C58" s="38" t="s">
        <v>864</v>
      </c>
      <c r="D58" s="38" t="s">
        <v>865</v>
      </c>
      <c r="E58" s="38" t="s">
        <v>866</v>
      </c>
      <c r="F58" s="38" t="s">
        <v>867</v>
      </c>
      <c r="G58" s="38" t="s">
        <v>868</v>
      </c>
      <c r="H58" s="38" t="s">
        <v>869</v>
      </c>
      <c r="I58" s="38" t="s">
        <v>870</v>
      </c>
      <c r="J58" s="38" t="s">
        <v>871</v>
      </c>
      <c r="K58" s="38" t="s">
        <v>872</v>
      </c>
      <c r="L58" s="38" t="s">
        <v>873</v>
      </c>
      <c r="M58" s="38" t="s">
        <v>874</v>
      </c>
      <c r="N58" s="38" t="s">
        <v>875</v>
      </c>
      <c r="O58" s="38" t="s">
        <v>876</v>
      </c>
      <c r="P58" s="38" t="s">
        <v>877</v>
      </c>
      <c r="Q58" s="38" t="s">
        <v>878</v>
      </c>
      <c r="R58" s="38" t="s">
        <v>879</v>
      </c>
      <c r="S58" s="91"/>
      <c r="T58" s="95" t="s">
        <v>1000</v>
      </c>
      <c r="U58" s="38" t="s">
        <v>864</v>
      </c>
      <c r="V58" s="38" t="s">
        <v>865</v>
      </c>
      <c r="W58" s="38" t="s">
        <v>866</v>
      </c>
      <c r="X58" s="38" t="s">
        <v>867</v>
      </c>
      <c r="Y58" s="38" t="s">
        <v>868</v>
      </c>
      <c r="Z58" s="38" t="s">
        <v>869</v>
      </c>
      <c r="AA58" s="38" t="s">
        <v>870</v>
      </c>
      <c r="AB58" s="38" t="s">
        <v>871</v>
      </c>
      <c r="AC58" s="38" t="s">
        <v>872</v>
      </c>
      <c r="AD58" s="38" t="s">
        <v>873</v>
      </c>
      <c r="AE58" s="38" t="s">
        <v>874</v>
      </c>
      <c r="AF58" s="38" t="s">
        <v>875</v>
      </c>
      <c r="AG58" s="38" t="s">
        <v>876</v>
      </c>
      <c r="AH58" s="38" t="s">
        <v>877</v>
      </c>
      <c r="AI58" s="38" t="s">
        <v>878</v>
      </c>
      <c r="AJ58" s="38" t="s">
        <v>879</v>
      </c>
    </row>
    <row r="59" spans="2:36" x14ac:dyDescent="0.15">
      <c r="B59" s="96" t="s">
        <v>997</v>
      </c>
      <c r="C59" s="94">
        <f>SUMIFS('caseload data'!E:E,'caseload data'!$D:$D,"PO",'caseload data'!$C:$C,'divisional &amp; regional caseload'!$B$57)</f>
        <v>0</v>
      </c>
      <c r="D59" s="94">
        <f>SUMIFS('caseload data'!F:F,'caseload data'!$D:$D,"PO",'caseload data'!$C:$C,'divisional &amp; regional caseload'!$B$57)</f>
        <v>0</v>
      </c>
      <c r="E59" s="94">
        <f>SUMIFS('caseload data'!G:G,'caseload data'!$D:$D,"PO",'caseload data'!$C:$C,'divisional &amp; regional caseload'!$B$57)</f>
        <v>0</v>
      </c>
      <c r="F59" s="94">
        <f>SUMIFS('caseload data'!H:H,'caseload data'!$D:$D,"PO",'caseload data'!$C:$C,'divisional &amp; regional caseload'!$B$57)</f>
        <v>0</v>
      </c>
      <c r="G59" s="94">
        <f>SUMIFS('caseload data'!I:I,'caseload data'!$D:$D,"PO",'caseload data'!$C:$C,'divisional &amp; regional caseload'!$B$57)</f>
        <v>0</v>
      </c>
      <c r="H59" s="94">
        <f>SUMIFS('caseload data'!J:J,'caseload data'!$D:$D,"PO",'caseload data'!$C:$C,'divisional &amp; regional caseload'!$B$57)</f>
        <v>0</v>
      </c>
      <c r="I59" s="94">
        <f>SUMIFS('caseload data'!K:K,'caseload data'!$D:$D,"PO",'caseload data'!$C:$C,'divisional &amp; regional caseload'!$B$57)</f>
        <v>0</v>
      </c>
      <c r="J59" s="94">
        <f>SUMIFS('caseload data'!L:L,'caseload data'!$D:$D,"PO",'caseload data'!$C:$C,'divisional &amp; regional caseload'!$B$57)</f>
        <v>0</v>
      </c>
      <c r="K59" s="94">
        <f>SUMIFS('caseload data'!M:M,'caseload data'!$D:$D,"PO",'caseload data'!$C:$C,'divisional &amp; regional caseload'!$B$57)</f>
        <v>0</v>
      </c>
      <c r="L59" s="94">
        <f>SUMIFS('caseload data'!N:N,'caseload data'!$D:$D,"PO",'caseload data'!$C:$C,'divisional &amp; regional caseload'!$B$57)</f>
        <v>0</v>
      </c>
      <c r="M59" s="94">
        <f>SUMIFS('caseload data'!O:O,'caseload data'!$D:$D,"PO",'caseload data'!$C:$C,'divisional &amp; regional caseload'!$B$57)</f>
        <v>0</v>
      </c>
      <c r="N59" s="94">
        <f>SUMIFS('caseload data'!P:P,'caseload data'!$D:$D,"PO",'caseload data'!$C:$C,'divisional &amp; regional caseload'!$B$57)</f>
        <v>0</v>
      </c>
      <c r="O59" s="94">
        <f>SUMIFS('caseload data'!Q:Q,'caseload data'!$D:$D,"PO",'caseload data'!$C:$C,'divisional &amp; regional caseload'!$B$57)</f>
        <v>0</v>
      </c>
      <c r="P59" s="94">
        <f>SUMIFS('caseload data'!R:R,'caseload data'!$D:$D,"PO",'caseload data'!$C:$C,'divisional &amp; regional caseload'!$B$57)</f>
        <v>0</v>
      </c>
      <c r="Q59" s="94">
        <f>SUMIFS('caseload data'!S:S,'caseload data'!$D:$D,"PO",'caseload data'!$C:$C,'divisional &amp; regional caseload'!$B$57)</f>
        <v>0</v>
      </c>
      <c r="R59" s="94">
        <f>SUMIFS('caseload data'!T:T,'caseload data'!$D:$D,"PO",'caseload data'!$C:$C,'divisional &amp; regional caseload'!$B$57)</f>
        <v>0</v>
      </c>
      <c r="S59" s="91"/>
      <c r="T59" s="96" t="s">
        <v>997</v>
      </c>
      <c r="U59" s="94">
        <f>SUMIFS('caseload data'!E:E,'caseload data'!$D:$D,"PO",'caseload data'!$C:$C,'divisional &amp; regional caseload'!$T$57)</f>
        <v>0</v>
      </c>
      <c r="V59" s="94">
        <f>SUMIFS('caseload data'!F:F,'caseload data'!$D:$D,"PO",'caseload data'!$C:$C,'divisional &amp; regional caseload'!$T$57)</f>
        <v>0</v>
      </c>
      <c r="W59" s="94">
        <f>SUMIFS('caseload data'!G:G,'caseload data'!$D:$D,"PO",'caseload data'!$C:$C,'divisional &amp; regional caseload'!$T$57)</f>
        <v>0</v>
      </c>
      <c r="X59" s="94">
        <f>SUMIFS('caseload data'!H:H,'caseload data'!$D:$D,"PO",'caseload data'!$C:$C,'divisional &amp; regional caseload'!$T$57)</f>
        <v>0</v>
      </c>
      <c r="Y59" s="94">
        <f>SUMIFS('caseload data'!I:I,'caseload data'!$D:$D,"PO",'caseload data'!$C:$C,'divisional &amp; regional caseload'!$T$57)</f>
        <v>0</v>
      </c>
      <c r="Z59" s="94">
        <f>SUMIFS('caseload data'!J:J,'caseload data'!$D:$D,"PO",'caseload data'!$C:$C,'divisional &amp; regional caseload'!$T$57)</f>
        <v>0</v>
      </c>
      <c r="AA59" s="94">
        <f>SUMIFS('caseload data'!K:K,'caseload data'!$D:$D,"PO",'caseload data'!$C:$C,'divisional &amp; regional caseload'!$T$57)</f>
        <v>0</v>
      </c>
      <c r="AB59" s="94">
        <f>SUMIFS('caseload data'!L:L,'caseload data'!$D:$D,"PO",'caseload data'!$C:$C,'divisional &amp; regional caseload'!$T$57)</f>
        <v>0</v>
      </c>
      <c r="AC59" s="94">
        <f>SUMIFS('caseload data'!M:M,'caseload data'!$D:$D,"PO",'caseload data'!$C:$C,'divisional &amp; regional caseload'!$T$57)</f>
        <v>0</v>
      </c>
      <c r="AD59" s="94">
        <f>SUMIFS('caseload data'!N:N,'caseload data'!$D:$D,"PO",'caseload data'!$C:$C,'divisional &amp; regional caseload'!$T$57)</f>
        <v>0</v>
      </c>
      <c r="AE59" s="94">
        <f>SUMIFS('caseload data'!O:O,'caseload data'!$D:$D,"PO",'caseload data'!$C:$C,'divisional &amp; regional caseload'!$T$57)</f>
        <v>0</v>
      </c>
      <c r="AF59" s="94">
        <f>SUMIFS('caseload data'!P:P,'caseload data'!$D:$D,"PO",'caseload data'!$C:$C,'divisional &amp; regional caseload'!$T$57)</f>
        <v>0</v>
      </c>
      <c r="AG59" s="94">
        <f>SUMIFS('caseload data'!Q:Q,'caseload data'!$D:$D,"PO",'caseload data'!$C:$C,'divisional &amp; regional caseload'!$T$57)</f>
        <v>0</v>
      </c>
      <c r="AH59" s="94">
        <f>SUMIFS('caseload data'!R:R,'caseload data'!$D:$D,"PO",'caseload data'!$C:$C,'divisional &amp; regional caseload'!$T$57)</f>
        <v>0</v>
      </c>
      <c r="AI59" s="94">
        <f>SUMIFS('caseload data'!S:S,'caseload data'!$D:$D,"PO",'caseload data'!$C:$C,'divisional &amp; regional caseload'!$T$57)</f>
        <v>0</v>
      </c>
      <c r="AJ59" s="94">
        <f>SUMIFS('caseload data'!T:T,'caseload data'!$D:$D,"PO",'caseload data'!$C:$C,'divisional &amp; regional caseload'!$T$57)</f>
        <v>0</v>
      </c>
    </row>
    <row r="60" spans="2:36" x14ac:dyDescent="0.15">
      <c r="B60" s="97" t="s">
        <v>1002</v>
      </c>
      <c r="C60" s="94">
        <f>SUMIFS('caseload data'!E:E,'caseload data'!$D:$D,"PSO",'caseload data'!$C:$C,'divisional &amp; regional caseload'!$B$57)</f>
        <v>0</v>
      </c>
      <c r="D60" s="94">
        <f>SUMIFS('caseload data'!F:F,'caseload data'!$D:$D,"PSO",'caseload data'!$C:$C,'divisional &amp; regional caseload'!$B$57)</f>
        <v>0</v>
      </c>
      <c r="E60" s="94">
        <f>SUMIFS('caseload data'!G:G,'caseload data'!$D:$D,"PSO",'caseload data'!$C:$C,'divisional &amp; regional caseload'!$B$57)</f>
        <v>0</v>
      </c>
      <c r="F60" s="94">
        <f>SUMIFS('caseload data'!H:H,'caseload data'!$D:$D,"PSO",'caseload data'!$C:$C,'divisional &amp; regional caseload'!$B$57)</f>
        <v>0</v>
      </c>
      <c r="G60" s="94">
        <f>SUMIFS('caseload data'!I:I,'caseload data'!$D:$D,"PSO",'caseload data'!$C:$C,'divisional &amp; regional caseload'!$B$57)</f>
        <v>0</v>
      </c>
      <c r="H60" s="94">
        <f>SUMIFS('caseload data'!J:J,'caseload data'!$D:$D,"PSO",'caseload data'!$C:$C,'divisional &amp; regional caseload'!$B$57)</f>
        <v>0</v>
      </c>
      <c r="I60" s="94">
        <f>SUMIFS('caseload data'!K:K,'caseload data'!$D:$D,"PSO",'caseload data'!$C:$C,'divisional &amp; regional caseload'!$B$57)</f>
        <v>0</v>
      </c>
      <c r="J60" s="94">
        <f>SUMIFS('caseload data'!L:L,'caseload data'!$D:$D,"PSO",'caseload data'!$C:$C,'divisional &amp; regional caseload'!$B$57)</f>
        <v>0</v>
      </c>
      <c r="K60" s="94">
        <f>SUMIFS('caseload data'!M:M,'caseload data'!$D:$D,"PSO",'caseload data'!$C:$C,'divisional &amp; regional caseload'!$B$57)</f>
        <v>0</v>
      </c>
      <c r="L60" s="94">
        <f>SUMIFS('caseload data'!N:N,'caseload data'!$D:$D,"PSO",'caseload data'!$C:$C,'divisional &amp; regional caseload'!$B$57)</f>
        <v>0</v>
      </c>
      <c r="M60" s="94">
        <f>SUMIFS('caseload data'!O:O,'caseload data'!$D:$D,"PSO",'caseload data'!$C:$C,'divisional &amp; regional caseload'!$B$57)</f>
        <v>0</v>
      </c>
      <c r="N60" s="94">
        <f>SUMIFS('caseload data'!P:P,'caseload data'!$D:$D,"PSO",'caseload data'!$C:$C,'divisional &amp; regional caseload'!$B$57)</f>
        <v>0</v>
      </c>
      <c r="O60" s="94">
        <f>SUMIFS('caseload data'!Q:Q,'caseload data'!$D:$D,"PSO",'caseload data'!$C:$C,'divisional &amp; regional caseload'!$B$57)</f>
        <v>0</v>
      </c>
      <c r="P60" s="94">
        <f>SUMIFS('caseload data'!R:R,'caseload data'!$D:$D,"PSO",'caseload data'!$C:$C,'divisional &amp; regional caseload'!$B$57)</f>
        <v>0</v>
      </c>
      <c r="Q60" s="94">
        <f>SUMIFS('caseload data'!S:S,'caseload data'!$D:$D,"PSO",'caseload data'!$C:$C,'divisional &amp; regional caseload'!$B$57)</f>
        <v>0</v>
      </c>
      <c r="R60" s="94">
        <f>SUMIFS('caseload data'!T:T,'caseload data'!$D:$D,"PSO",'caseload data'!$C:$C,'divisional &amp; regional caseload'!$B$57)</f>
        <v>0</v>
      </c>
      <c r="S60" s="91"/>
      <c r="T60" s="97" t="s">
        <v>1002</v>
      </c>
      <c r="U60" s="94">
        <f>SUMIFS('caseload data'!E:E,'caseload data'!$D:$D,"PSO",'caseload data'!$C:$C,'divisional &amp; regional caseload'!$T$57)</f>
        <v>0</v>
      </c>
      <c r="V60" s="94">
        <f>SUMIFS('caseload data'!F:F,'caseload data'!$D:$D,"PSO",'caseload data'!$C:$C,'divisional &amp; regional caseload'!$T$57)</f>
        <v>0</v>
      </c>
      <c r="W60" s="94">
        <f>SUMIFS('caseload data'!G:G,'caseload data'!$D:$D,"PSO",'caseload data'!$C:$C,'divisional &amp; regional caseload'!$T$57)</f>
        <v>0</v>
      </c>
      <c r="X60" s="94">
        <f>SUMIFS('caseload data'!H:H,'caseload data'!$D:$D,"PSO",'caseload data'!$C:$C,'divisional &amp; regional caseload'!$T$57)</f>
        <v>0</v>
      </c>
      <c r="Y60" s="94">
        <f>SUMIFS('caseload data'!I:I,'caseload data'!$D:$D,"PSO",'caseload data'!$C:$C,'divisional &amp; regional caseload'!$T$57)</f>
        <v>0</v>
      </c>
      <c r="Z60" s="94">
        <f>SUMIFS('caseload data'!J:J,'caseload data'!$D:$D,"PSO",'caseload data'!$C:$C,'divisional &amp; regional caseload'!$T$57)</f>
        <v>0</v>
      </c>
      <c r="AA60" s="94">
        <f>SUMIFS('caseload data'!K:K,'caseload data'!$D:$D,"PSO",'caseload data'!$C:$C,'divisional &amp; regional caseload'!$T$57)</f>
        <v>0</v>
      </c>
      <c r="AB60" s="94">
        <f>SUMIFS('caseload data'!L:L,'caseload data'!$D:$D,"PSO",'caseload data'!$C:$C,'divisional &amp; regional caseload'!$T$57)</f>
        <v>0</v>
      </c>
      <c r="AC60" s="94">
        <f>SUMIFS('caseload data'!M:M,'caseload data'!$D:$D,"PSO",'caseload data'!$C:$C,'divisional &amp; regional caseload'!$T$57)</f>
        <v>0</v>
      </c>
      <c r="AD60" s="94">
        <f>SUMIFS('caseload data'!N:N,'caseload data'!$D:$D,"PSO",'caseload data'!$C:$C,'divisional &amp; regional caseload'!$T$57)</f>
        <v>0</v>
      </c>
      <c r="AE60" s="94">
        <f>SUMIFS('caseload data'!O:O,'caseload data'!$D:$D,"PSO",'caseload data'!$C:$C,'divisional &amp; regional caseload'!$T$57)</f>
        <v>0</v>
      </c>
      <c r="AF60" s="94">
        <f>SUMIFS('caseload data'!P:P,'caseload data'!$D:$D,"PSO",'caseload data'!$C:$C,'divisional &amp; regional caseload'!$T$57)</f>
        <v>0</v>
      </c>
      <c r="AG60" s="94">
        <f>SUMIFS('caseload data'!Q:Q,'caseload data'!$D:$D,"PSO",'caseload data'!$C:$C,'divisional &amp; regional caseload'!$T$57)</f>
        <v>0</v>
      </c>
      <c r="AH60" s="94">
        <f>SUMIFS('caseload data'!R:R,'caseload data'!$D:$D,"PSO",'caseload data'!$C:$C,'divisional &amp; regional caseload'!$T$57)</f>
        <v>0</v>
      </c>
      <c r="AI60" s="94">
        <f>SUMIFS('caseload data'!S:S,'caseload data'!$D:$D,"PSO",'caseload data'!$C:$C,'divisional &amp; regional caseload'!$T$57)</f>
        <v>0</v>
      </c>
      <c r="AJ60" s="94">
        <f>SUMIFS('caseload data'!T:T,'caseload data'!$D:$D,"PSO",'caseload data'!$C:$C,'divisional &amp; regional caseload'!$T$57)</f>
        <v>0</v>
      </c>
    </row>
    <row r="61" spans="2:36" x14ac:dyDescent="0.15">
      <c r="B61" s="97" t="s">
        <v>1003</v>
      </c>
      <c r="C61" s="94">
        <f>SUMIFS('caseload data'!E:E,'caseload data'!$D:$D,"TPO",'caseload data'!$C:$C,'divisional &amp; regional caseload'!$B$57)</f>
        <v>0</v>
      </c>
      <c r="D61" s="94">
        <f>SUMIFS('caseload data'!F:F,'caseload data'!$D:$D,"TPO",'caseload data'!$C:$C,'divisional &amp; regional caseload'!$B$57)</f>
        <v>0</v>
      </c>
      <c r="E61" s="94">
        <f>SUMIFS('caseload data'!G:G,'caseload data'!$D:$D,"TPO",'caseload data'!$C:$C,'divisional &amp; regional caseload'!$B$57)</f>
        <v>0</v>
      </c>
      <c r="F61" s="94">
        <f>SUMIFS('caseload data'!H:H,'caseload data'!$D:$D,"TPO",'caseload data'!$C:$C,'divisional &amp; regional caseload'!$B$57)</f>
        <v>0</v>
      </c>
      <c r="G61" s="94">
        <f>SUMIFS('caseload data'!I:I,'caseload data'!$D:$D,"TPO",'caseload data'!$C:$C,'divisional &amp; regional caseload'!$B$57)</f>
        <v>0</v>
      </c>
      <c r="H61" s="94">
        <f>SUMIFS('caseload data'!J:J,'caseload data'!$D:$D,"TPO",'caseload data'!$C:$C,'divisional &amp; regional caseload'!$B$57)</f>
        <v>0</v>
      </c>
      <c r="I61" s="94">
        <f>SUMIFS('caseload data'!K:K,'caseload data'!$D:$D,"TPO",'caseload data'!$C:$C,'divisional &amp; regional caseload'!$B$57)</f>
        <v>0</v>
      </c>
      <c r="J61" s="94">
        <f>SUMIFS('caseload data'!L:L,'caseload data'!$D:$D,"TPO",'caseload data'!$C:$C,'divisional &amp; regional caseload'!$B$57)</f>
        <v>0</v>
      </c>
      <c r="K61" s="94">
        <f>SUMIFS('caseload data'!M:M,'caseload data'!$D:$D,"TPO",'caseload data'!$C:$C,'divisional &amp; regional caseload'!$B$57)</f>
        <v>0</v>
      </c>
      <c r="L61" s="94">
        <f>SUMIFS('caseload data'!N:N,'caseload data'!$D:$D,"TPO",'caseload data'!$C:$C,'divisional &amp; regional caseload'!$B$57)</f>
        <v>0</v>
      </c>
      <c r="M61" s="94">
        <f>SUMIFS('caseload data'!O:O,'caseload data'!$D:$D,"TPO",'caseload data'!$C:$C,'divisional &amp; regional caseload'!$B$57)</f>
        <v>0</v>
      </c>
      <c r="N61" s="94">
        <f>SUMIFS('caseload data'!P:P,'caseload data'!$D:$D,"TPO",'caseload data'!$C:$C,'divisional &amp; regional caseload'!$B$57)</f>
        <v>0</v>
      </c>
      <c r="O61" s="94">
        <f>SUMIFS('caseload data'!Q:Q,'caseload data'!$D:$D,"TPO",'caseload data'!$C:$C,'divisional &amp; regional caseload'!$B$57)</f>
        <v>0</v>
      </c>
      <c r="P61" s="94">
        <f>SUMIFS('caseload data'!R:R,'caseload data'!$D:$D,"TPO",'caseload data'!$C:$C,'divisional &amp; regional caseload'!$B$57)</f>
        <v>0</v>
      </c>
      <c r="Q61" s="94">
        <f>SUMIFS('caseload data'!S:S,'caseload data'!$D:$D,"TPO",'caseload data'!$C:$C,'divisional &amp; regional caseload'!$B$57)</f>
        <v>0</v>
      </c>
      <c r="R61" s="94">
        <f>SUMIFS('caseload data'!T:T,'caseload data'!$D:$D,"TPO",'caseload data'!$C:$C,'divisional &amp; regional caseload'!$B$57)</f>
        <v>0</v>
      </c>
      <c r="S61" s="91"/>
      <c r="T61" s="97" t="s">
        <v>1003</v>
      </c>
      <c r="U61" s="94">
        <f>SUMIFS('caseload data'!E:E,'caseload data'!$D:$D,"TPO",'caseload data'!$C:$C,'divisional &amp; regional caseload'!$T$57)</f>
        <v>0</v>
      </c>
      <c r="V61" s="94">
        <f>SUMIFS('caseload data'!F:F,'caseload data'!$D:$D,"TPO",'caseload data'!$C:$C,'divisional &amp; regional caseload'!$T$57)</f>
        <v>0</v>
      </c>
      <c r="W61" s="94">
        <f>SUMIFS('caseload data'!G:G,'caseload data'!$D:$D,"TPO",'caseload data'!$C:$C,'divisional &amp; regional caseload'!$T$57)</f>
        <v>0</v>
      </c>
      <c r="X61" s="94">
        <f>SUMIFS('caseload data'!H:H,'caseload data'!$D:$D,"TPO",'caseload data'!$C:$C,'divisional &amp; regional caseload'!$T$57)</f>
        <v>0</v>
      </c>
      <c r="Y61" s="94">
        <f>SUMIFS('caseload data'!I:I,'caseload data'!$D:$D,"TPO",'caseload data'!$C:$C,'divisional &amp; regional caseload'!$T$57)</f>
        <v>0</v>
      </c>
      <c r="Z61" s="94">
        <f>SUMIFS('caseload data'!J:J,'caseload data'!$D:$D,"TPO",'caseload data'!$C:$C,'divisional &amp; regional caseload'!$T$57)</f>
        <v>0</v>
      </c>
      <c r="AA61" s="94">
        <f>SUMIFS('caseload data'!K:K,'caseload data'!$D:$D,"TPO",'caseload data'!$C:$C,'divisional &amp; regional caseload'!$T$57)</f>
        <v>0</v>
      </c>
      <c r="AB61" s="94">
        <f>SUMIFS('caseload data'!L:L,'caseload data'!$D:$D,"TPO",'caseload data'!$C:$C,'divisional &amp; regional caseload'!$T$57)</f>
        <v>0</v>
      </c>
      <c r="AC61" s="94">
        <f>SUMIFS('caseload data'!M:M,'caseload data'!$D:$D,"TPO",'caseload data'!$C:$C,'divisional &amp; regional caseload'!$T$57)</f>
        <v>0</v>
      </c>
      <c r="AD61" s="94">
        <f>SUMIFS('caseload data'!N:N,'caseload data'!$D:$D,"TPO",'caseload data'!$C:$C,'divisional &amp; regional caseload'!$T$57)</f>
        <v>0</v>
      </c>
      <c r="AE61" s="94">
        <f>SUMIFS('caseload data'!O:O,'caseload data'!$D:$D,"TPO",'caseload data'!$C:$C,'divisional &amp; regional caseload'!$T$57)</f>
        <v>0</v>
      </c>
      <c r="AF61" s="94">
        <f>SUMIFS('caseload data'!P:P,'caseload data'!$D:$D,"TPO",'caseload data'!$C:$C,'divisional &amp; regional caseload'!$T$57)</f>
        <v>0</v>
      </c>
      <c r="AG61" s="94">
        <f>SUMIFS('caseload data'!Q:Q,'caseload data'!$D:$D,"TPO",'caseload data'!$C:$C,'divisional &amp; regional caseload'!$T$57)</f>
        <v>0</v>
      </c>
      <c r="AH61" s="94">
        <f>SUMIFS('caseload data'!R:R,'caseload data'!$D:$D,"TPO",'caseload data'!$C:$C,'divisional &amp; regional caseload'!$T$57)</f>
        <v>0</v>
      </c>
      <c r="AI61" s="94">
        <f>SUMIFS('caseload data'!S:S,'caseload data'!$D:$D,"TPO",'caseload data'!$C:$C,'divisional &amp; regional caseload'!$T$57)</f>
        <v>0</v>
      </c>
      <c r="AJ61" s="94">
        <f>SUMIFS('caseload data'!T:T,'caseload data'!$D:$D,"TPO",'caseload data'!$C:$C,'divisional &amp; regional caseload'!$T$57)</f>
        <v>0</v>
      </c>
    </row>
    <row r="62" spans="2:36" x14ac:dyDescent="0.15">
      <c r="B62" s="98" t="s">
        <v>1004</v>
      </c>
      <c r="C62" s="94">
        <f>SUMIFS('caseload data'!E:E,'caseload data'!$D:$D,"SPO",'caseload data'!$C:$C,'divisional &amp; regional caseload'!$B$57)</f>
        <v>0</v>
      </c>
      <c r="D62" s="94">
        <f>SUMIFS('caseload data'!F:F,'caseload data'!$D:$D,"SPO",'caseload data'!$C:$C,'divisional &amp; regional caseload'!$B$57)</f>
        <v>0</v>
      </c>
      <c r="E62" s="94">
        <f>SUMIFS('caseload data'!G:G,'caseload data'!$D:$D,"SPO",'caseload data'!$C:$C,'divisional &amp; regional caseload'!$B$57)</f>
        <v>0</v>
      </c>
      <c r="F62" s="94">
        <f>SUMIFS('caseload data'!H:H,'caseload data'!$D:$D,"SPO",'caseload data'!$C:$C,'divisional &amp; regional caseload'!$B$57)</f>
        <v>0</v>
      </c>
      <c r="G62" s="94">
        <f>SUMIFS('caseload data'!I:I,'caseload data'!$D:$D,"SPO",'caseload data'!$C:$C,'divisional &amp; regional caseload'!$B$57)</f>
        <v>0</v>
      </c>
      <c r="H62" s="94">
        <f>SUMIFS('caseload data'!J:J,'caseload data'!$D:$D,"SPO",'caseload data'!$C:$C,'divisional &amp; regional caseload'!$B$57)</f>
        <v>0</v>
      </c>
      <c r="I62" s="94">
        <f>SUMIFS('caseload data'!K:K,'caseload data'!$D:$D,"SPO",'caseload data'!$C:$C,'divisional &amp; regional caseload'!$B$57)</f>
        <v>0</v>
      </c>
      <c r="J62" s="94">
        <f>SUMIFS('caseload data'!L:L,'caseload data'!$D:$D,"SPO",'caseload data'!$C:$C,'divisional &amp; regional caseload'!$B$57)</f>
        <v>0</v>
      </c>
      <c r="K62" s="94">
        <f>SUMIFS('caseload data'!M:M,'caseload data'!$D:$D,"SPO",'caseload data'!$C:$C,'divisional &amp; regional caseload'!$B$57)</f>
        <v>0</v>
      </c>
      <c r="L62" s="94">
        <f>SUMIFS('caseload data'!N:N,'caseload data'!$D:$D,"SPO",'caseload data'!$C:$C,'divisional &amp; regional caseload'!$B$57)</f>
        <v>0</v>
      </c>
      <c r="M62" s="94">
        <f>SUMIFS('caseload data'!O:O,'caseload data'!$D:$D,"SPO",'caseload data'!$C:$C,'divisional &amp; regional caseload'!$B$57)</f>
        <v>0</v>
      </c>
      <c r="N62" s="94">
        <f>SUMIFS('caseload data'!P:P,'caseload data'!$D:$D,"SPO",'caseload data'!$C:$C,'divisional &amp; regional caseload'!$B$57)</f>
        <v>0</v>
      </c>
      <c r="O62" s="94">
        <f>SUMIFS('caseload data'!Q:Q,'caseload data'!$D:$D,"SPO",'caseload data'!$C:$C,'divisional &amp; regional caseload'!$B$57)</f>
        <v>0</v>
      </c>
      <c r="P62" s="94">
        <f>SUMIFS('caseload data'!R:R,'caseload data'!$D:$D,"SPO",'caseload data'!$C:$C,'divisional &amp; regional caseload'!$B$57)</f>
        <v>0</v>
      </c>
      <c r="Q62" s="94">
        <f>SUMIFS('caseload data'!S:S,'caseload data'!$D:$D,"SPO",'caseload data'!$C:$C,'divisional &amp; regional caseload'!$B$57)</f>
        <v>0</v>
      </c>
      <c r="R62" s="94">
        <f>SUMIFS('caseload data'!T:T,'caseload data'!$D:$D,"SPO",'caseload data'!$C:$C,'divisional &amp; regional caseload'!$B$57)</f>
        <v>0</v>
      </c>
      <c r="S62" s="91"/>
      <c r="T62" s="98" t="s">
        <v>1004</v>
      </c>
      <c r="U62" s="94">
        <f>SUMIFS('caseload data'!E:E,'caseload data'!$D:$D,"SPO",'caseload data'!$C:$C,'divisional &amp; regional caseload'!$T$57)</f>
        <v>0</v>
      </c>
      <c r="V62" s="94">
        <f>SUMIFS('caseload data'!F:F,'caseload data'!$D:$D,"SPO",'caseload data'!$C:$C,'divisional &amp; regional caseload'!$T$57)</f>
        <v>0</v>
      </c>
      <c r="W62" s="94">
        <f>SUMIFS('caseload data'!G:G,'caseload data'!$D:$D,"SPO",'caseload data'!$C:$C,'divisional &amp; regional caseload'!$T$57)</f>
        <v>0</v>
      </c>
      <c r="X62" s="94">
        <f>SUMIFS('caseload data'!H:H,'caseload data'!$D:$D,"SPO",'caseload data'!$C:$C,'divisional &amp; regional caseload'!$T$57)</f>
        <v>0</v>
      </c>
      <c r="Y62" s="94">
        <f>SUMIFS('caseload data'!I:I,'caseload data'!$D:$D,"SPO",'caseload data'!$C:$C,'divisional &amp; regional caseload'!$T$57)</f>
        <v>0</v>
      </c>
      <c r="Z62" s="94">
        <f>SUMIFS('caseload data'!J:J,'caseload data'!$D:$D,"SPO",'caseload data'!$C:$C,'divisional &amp; regional caseload'!$T$57)</f>
        <v>0</v>
      </c>
      <c r="AA62" s="94">
        <f>SUMIFS('caseload data'!K:K,'caseload data'!$D:$D,"SPO",'caseload data'!$C:$C,'divisional &amp; regional caseload'!$T$57)</f>
        <v>0</v>
      </c>
      <c r="AB62" s="94">
        <f>SUMIFS('caseload data'!L:L,'caseload data'!$D:$D,"SPO",'caseload data'!$C:$C,'divisional &amp; regional caseload'!$T$57)</f>
        <v>0</v>
      </c>
      <c r="AC62" s="94">
        <f>SUMIFS('caseload data'!M:M,'caseload data'!$D:$D,"SPO",'caseload data'!$C:$C,'divisional &amp; regional caseload'!$T$57)</f>
        <v>0</v>
      </c>
      <c r="AD62" s="94">
        <f>SUMIFS('caseload data'!N:N,'caseload data'!$D:$D,"SPO",'caseload data'!$C:$C,'divisional &amp; regional caseload'!$T$57)</f>
        <v>0</v>
      </c>
      <c r="AE62" s="94">
        <f>SUMIFS('caseload data'!O:O,'caseload data'!$D:$D,"SPO",'caseload data'!$C:$C,'divisional &amp; regional caseload'!$T$57)</f>
        <v>0</v>
      </c>
      <c r="AF62" s="94">
        <f>SUMIFS('caseload data'!P:P,'caseload data'!$D:$D,"SPO",'caseload data'!$C:$C,'divisional &amp; regional caseload'!$T$57)</f>
        <v>0</v>
      </c>
      <c r="AG62" s="94">
        <f>SUMIFS('caseload data'!Q:Q,'caseload data'!$D:$D,"SPO",'caseload data'!$C:$C,'divisional &amp; regional caseload'!$T$57)</f>
        <v>0</v>
      </c>
      <c r="AH62" s="94">
        <f>SUMIFS('caseload data'!R:R,'caseload data'!$D:$D,"SPO",'caseload data'!$C:$C,'divisional &amp; regional caseload'!$T$57)</f>
        <v>0</v>
      </c>
      <c r="AI62" s="94">
        <f>SUMIFS('caseload data'!S:S,'caseload data'!$D:$D,"SPO",'caseload data'!$C:$C,'divisional &amp; regional caseload'!$T$57)</f>
        <v>0</v>
      </c>
      <c r="AJ62" s="94">
        <f>SUMIFS('caseload data'!T:T,'caseload data'!$D:$D,"SPO",'caseload data'!$C:$C,'divisional &amp; regional caseload'!$T$57)</f>
        <v>0</v>
      </c>
    </row>
    <row r="64" spans="2:36" ht="32.25" customHeight="1" x14ac:dyDescent="0.15">
      <c r="B64" s="289">
        <f>HLOOKUP($B$5,Region_Table,18,0)</f>
        <v>0</v>
      </c>
      <c r="C64" s="509" t="s">
        <v>1092</v>
      </c>
      <c r="D64" s="510"/>
      <c r="E64" s="510"/>
      <c r="F64" s="510"/>
      <c r="G64" s="510"/>
      <c r="H64" s="510"/>
      <c r="I64" s="510"/>
      <c r="J64" s="510"/>
      <c r="K64" s="510"/>
      <c r="L64" s="510"/>
      <c r="M64" s="520"/>
      <c r="N64" s="520"/>
      <c r="O64" s="521"/>
      <c r="P64" s="512">
        <f>SUMIF('caseload data'!$C:$C,'divisional &amp; regional caseload'!B64,'caseload data'!V:V)</f>
        <v>0</v>
      </c>
      <c r="Q64" s="513"/>
      <c r="R64" s="514"/>
      <c r="S64" s="91"/>
      <c r="T64" s="289">
        <f>HLOOKUP($B$5,Region_Table,19,0)</f>
        <v>0</v>
      </c>
      <c r="U64" s="509" t="s">
        <v>1092</v>
      </c>
      <c r="V64" s="510"/>
      <c r="W64" s="510"/>
      <c r="X64" s="510"/>
      <c r="Y64" s="510"/>
      <c r="Z64" s="510"/>
      <c r="AA64" s="510"/>
      <c r="AB64" s="510"/>
      <c r="AC64" s="510"/>
      <c r="AD64" s="510"/>
      <c r="AE64" s="510"/>
      <c r="AF64" s="510"/>
      <c r="AG64" s="511"/>
      <c r="AH64" s="512">
        <f>SUMIF('caseload data'!$C:$C,'divisional &amp; regional caseload'!T64,'caseload data'!V:V)</f>
        <v>0</v>
      </c>
      <c r="AI64" s="513"/>
      <c r="AJ64" s="514"/>
    </row>
    <row r="65" spans="2:36" x14ac:dyDescent="0.15">
      <c r="B65" s="95" t="s">
        <v>1000</v>
      </c>
      <c r="C65" s="38" t="s">
        <v>864</v>
      </c>
      <c r="D65" s="38" t="s">
        <v>865</v>
      </c>
      <c r="E65" s="38" t="s">
        <v>866</v>
      </c>
      <c r="F65" s="38" t="s">
        <v>867</v>
      </c>
      <c r="G65" s="38" t="s">
        <v>868</v>
      </c>
      <c r="H65" s="38" t="s">
        <v>869</v>
      </c>
      <c r="I65" s="38" t="s">
        <v>870</v>
      </c>
      <c r="J65" s="38" t="s">
        <v>871</v>
      </c>
      <c r="K65" s="38" t="s">
        <v>872</v>
      </c>
      <c r="L65" s="38" t="s">
        <v>873</v>
      </c>
      <c r="M65" s="38" t="s">
        <v>874</v>
      </c>
      <c r="N65" s="38" t="s">
        <v>875</v>
      </c>
      <c r="O65" s="38" t="s">
        <v>876</v>
      </c>
      <c r="P65" s="38" t="s">
        <v>877</v>
      </c>
      <c r="Q65" s="38" t="s">
        <v>878</v>
      </c>
      <c r="R65" s="38" t="s">
        <v>879</v>
      </c>
      <c r="S65" s="91"/>
      <c r="T65" s="95" t="s">
        <v>1000</v>
      </c>
      <c r="U65" s="38" t="s">
        <v>864</v>
      </c>
      <c r="V65" s="38" t="s">
        <v>865</v>
      </c>
      <c r="W65" s="38" t="s">
        <v>866</v>
      </c>
      <c r="X65" s="38" t="s">
        <v>867</v>
      </c>
      <c r="Y65" s="38" t="s">
        <v>868</v>
      </c>
      <c r="Z65" s="38" t="s">
        <v>869</v>
      </c>
      <c r="AA65" s="38" t="s">
        <v>870</v>
      </c>
      <c r="AB65" s="38" t="s">
        <v>871</v>
      </c>
      <c r="AC65" s="38" t="s">
        <v>872</v>
      </c>
      <c r="AD65" s="38" t="s">
        <v>873</v>
      </c>
      <c r="AE65" s="38" t="s">
        <v>874</v>
      </c>
      <c r="AF65" s="38" t="s">
        <v>875</v>
      </c>
      <c r="AG65" s="38" t="s">
        <v>876</v>
      </c>
      <c r="AH65" s="38" t="s">
        <v>877</v>
      </c>
      <c r="AI65" s="38" t="s">
        <v>878</v>
      </c>
      <c r="AJ65" s="38" t="s">
        <v>879</v>
      </c>
    </row>
    <row r="66" spans="2:36" x14ac:dyDescent="0.15">
      <c r="B66" s="96" t="s">
        <v>997</v>
      </c>
      <c r="C66" s="94">
        <f>SUMIFS('caseload data'!E:E,'caseload data'!$D:$D,"PO",'caseload data'!$C:$C,'divisional &amp; regional caseload'!$B$64)</f>
        <v>0</v>
      </c>
      <c r="D66" s="94">
        <f>SUMIFS('caseload data'!F:F,'caseload data'!$D:$D,"PO",'caseload data'!$C:$C,'divisional &amp; regional caseload'!$B$64)</f>
        <v>0</v>
      </c>
      <c r="E66" s="94">
        <f>SUMIFS('caseload data'!G:G,'caseload data'!$D:$D,"PO",'caseload data'!$C:$C,'divisional &amp; regional caseload'!$B$64)</f>
        <v>0</v>
      </c>
      <c r="F66" s="94">
        <f>SUMIFS('caseload data'!H:H,'caseload data'!$D:$D,"PO",'caseload data'!$C:$C,'divisional &amp; regional caseload'!$B$64)</f>
        <v>0</v>
      </c>
      <c r="G66" s="94">
        <f>SUMIFS('caseload data'!I:I,'caseload data'!$D:$D,"PO",'caseload data'!$C:$C,'divisional &amp; regional caseload'!$B$64)</f>
        <v>0</v>
      </c>
      <c r="H66" s="94">
        <f>SUMIFS('caseload data'!J:J,'caseload data'!$D:$D,"PO",'caseload data'!$C:$C,'divisional &amp; regional caseload'!$B$64)</f>
        <v>0</v>
      </c>
      <c r="I66" s="94">
        <f>SUMIFS('caseload data'!K:K,'caseload data'!$D:$D,"PO",'caseload data'!$C:$C,'divisional &amp; regional caseload'!$B$64)</f>
        <v>0</v>
      </c>
      <c r="J66" s="94">
        <f>SUMIFS('caseload data'!L:L,'caseload data'!$D:$D,"PO",'caseload data'!$C:$C,'divisional &amp; regional caseload'!$B$64)</f>
        <v>0</v>
      </c>
      <c r="K66" s="94">
        <f>SUMIFS('caseload data'!M:M,'caseload data'!$D:$D,"PO",'caseload data'!$C:$C,'divisional &amp; regional caseload'!$B$64)</f>
        <v>0</v>
      </c>
      <c r="L66" s="94">
        <f>SUMIFS('caseload data'!N:N,'caseload data'!$D:$D,"PO",'caseload data'!$C:$C,'divisional &amp; regional caseload'!$B$64)</f>
        <v>0</v>
      </c>
      <c r="M66" s="94">
        <f>SUMIFS('caseload data'!O:O,'caseload data'!$D:$D,"PO",'caseload data'!$C:$C,'divisional &amp; regional caseload'!$B$64)</f>
        <v>0</v>
      </c>
      <c r="N66" s="94">
        <f>SUMIFS('caseload data'!P:P,'caseload data'!$D:$D,"PO",'caseload data'!$C:$C,'divisional &amp; regional caseload'!$B$64)</f>
        <v>0</v>
      </c>
      <c r="O66" s="94">
        <f>SUMIFS('caseload data'!Q:Q,'caseload data'!$D:$D,"PO",'caseload data'!$C:$C,'divisional &amp; regional caseload'!$B$64)</f>
        <v>0</v>
      </c>
      <c r="P66" s="94">
        <f>SUMIFS('caseload data'!R:R,'caseload data'!$D:$D,"PO",'caseload data'!$C:$C,'divisional &amp; regional caseload'!$B$64)</f>
        <v>0</v>
      </c>
      <c r="Q66" s="94">
        <f>SUMIFS('caseload data'!S:S,'caseload data'!$D:$D,"PO",'caseload data'!$C:$C,'divisional &amp; regional caseload'!$B$64)</f>
        <v>0</v>
      </c>
      <c r="R66" s="94">
        <f>SUMIFS('caseload data'!T:T,'caseload data'!$D:$D,"PO",'caseload data'!$C:$C,'divisional &amp; regional caseload'!$B$64)</f>
        <v>0</v>
      </c>
      <c r="S66" s="91"/>
      <c r="T66" s="96" t="s">
        <v>997</v>
      </c>
      <c r="U66" s="94">
        <f>SUMIFS('caseload data'!E:E,'caseload data'!$D:$D,"PO",'caseload data'!$C:$C,'divisional &amp; regional caseload'!$T$64)</f>
        <v>0</v>
      </c>
      <c r="V66" s="94">
        <f>SUMIFS('caseload data'!F:F,'caseload data'!$D:$D,"PO",'caseload data'!$C:$C,'divisional &amp; regional caseload'!$T$64)</f>
        <v>0</v>
      </c>
      <c r="W66" s="94">
        <f>SUMIFS('caseload data'!G:G,'caseload data'!$D:$D,"PO",'caseload data'!$C:$C,'divisional &amp; regional caseload'!$T$64)</f>
        <v>0</v>
      </c>
      <c r="X66" s="94">
        <f>SUMIFS('caseload data'!H:H,'caseload data'!$D:$D,"PO",'caseload data'!$C:$C,'divisional &amp; regional caseload'!$T$64)</f>
        <v>0</v>
      </c>
      <c r="Y66" s="94">
        <f>SUMIFS('caseload data'!I:I,'caseload data'!$D:$D,"PO",'caseload data'!$C:$C,'divisional &amp; regional caseload'!$T$64)</f>
        <v>0</v>
      </c>
      <c r="Z66" s="94">
        <f>SUMIFS('caseload data'!J:J,'caseload data'!$D:$D,"PO",'caseload data'!$C:$C,'divisional &amp; regional caseload'!$T$64)</f>
        <v>0</v>
      </c>
      <c r="AA66" s="94">
        <f>SUMIFS('caseload data'!K:K,'caseload data'!$D:$D,"PO",'caseload data'!$C:$C,'divisional &amp; regional caseload'!$T$64)</f>
        <v>0</v>
      </c>
      <c r="AB66" s="94">
        <f>SUMIFS('caseload data'!L:L,'caseload data'!$D:$D,"PO",'caseload data'!$C:$C,'divisional &amp; regional caseload'!$T$64)</f>
        <v>0</v>
      </c>
      <c r="AC66" s="94">
        <f>SUMIFS('caseload data'!M:M,'caseload data'!$D:$D,"PO",'caseload data'!$C:$C,'divisional &amp; regional caseload'!$T$64)</f>
        <v>0</v>
      </c>
      <c r="AD66" s="94">
        <f>SUMIFS('caseload data'!N:N,'caseload data'!$D:$D,"PO",'caseload data'!$C:$C,'divisional &amp; regional caseload'!$T$64)</f>
        <v>0</v>
      </c>
      <c r="AE66" s="94">
        <f>SUMIFS('caseload data'!O:O,'caseload data'!$D:$D,"PO",'caseload data'!$C:$C,'divisional &amp; regional caseload'!$T$64)</f>
        <v>0</v>
      </c>
      <c r="AF66" s="94">
        <f>SUMIFS('caseload data'!P:P,'caseload data'!$D:$D,"PO",'caseload data'!$C:$C,'divisional &amp; regional caseload'!$T$64)</f>
        <v>0</v>
      </c>
      <c r="AG66" s="94">
        <f>SUMIFS('caseload data'!Q:Q,'caseload data'!$D:$D,"PO",'caseload data'!$C:$C,'divisional &amp; regional caseload'!$T$64)</f>
        <v>0</v>
      </c>
      <c r="AH66" s="94">
        <f>SUMIFS('caseload data'!R:R,'caseload data'!$D:$D,"PO",'caseload data'!$C:$C,'divisional &amp; regional caseload'!$T$64)</f>
        <v>0</v>
      </c>
      <c r="AI66" s="94">
        <f>SUMIFS('caseload data'!S:S,'caseload data'!$D:$D,"PO",'caseload data'!$C:$C,'divisional &amp; regional caseload'!$T$64)</f>
        <v>0</v>
      </c>
      <c r="AJ66" s="94">
        <f>SUMIFS('caseload data'!T:T,'caseload data'!$D:$D,"PO",'caseload data'!$C:$C,'divisional &amp; regional caseload'!$T$64)</f>
        <v>0</v>
      </c>
    </row>
    <row r="67" spans="2:36" x14ac:dyDescent="0.15">
      <c r="B67" s="97" t="s">
        <v>1002</v>
      </c>
      <c r="C67" s="94">
        <f>SUMIFS('caseload data'!E:E,'caseload data'!$D:$D,"PSO",'caseload data'!$C:$C,'divisional &amp; regional caseload'!$B$64)</f>
        <v>0</v>
      </c>
      <c r="D67" s="94">
        <f>SUMIFS('caseload data'!F:F,'caseload data'!$D:$D,"PSO",'caseload data'!$C:$C,'divisional &amp; regional caseload'!$B$64)</f>
        <v>0</v>
      </c>
      <c r="E67" s="94">
        <f>SUMIFS('caseload data'!G:G,'caseload data'!$D:$D,"PSO",'caseload data'!$C:$C,'divisional &amp; regional caseload'!$B$64)</f>
        <v>0</v>
      </c>
      <c r="F67" s="94">
        <f>SUMIFS('caseload data'!H:H,'caseload data'!$D:$D,"PSO",'caseload data'!$C:$C,'divisional &amp; regional caseload'!$B$64)</f>
        <v>0</v>
      </c>
      <c r="G67" s="94">
        <f>SUMIFS('caseload data'!I:I,'caseload data'!$D:$D,"PSO",'caseload data'!$C:$C,'divisional &amp; regional caseload'!$B$64)</f>
        <v>0</v>
      </c>
      <c r="H67" s="94">
        <f>SUMIFS('caseload data'!J:J,'caseload data'!$D:$D,"PSO",'caseload data'!$C:$C,'divisional &amp; regional caseload'!$B$64)</f>
        <v>0</v>
      </c>
      <c r="I67" s="94">
        <f>SUMIFS('caseload data'!K:K,'caseload data'!$D:$D,"PSO",'caseload data'!$C:$C,'divisional &amp; regional caseload'!$B$64)</f>
        <v>0</v>
      </c>
      <c r="J67" s="94">
        <f>SUMIFS('caseload data'!L:L,'caseload data'!$D:$D,"PSO",'caseload data'!$C:$C,'divisional &amp; regional caseload'!$B$64)</f>
        <v>0</v>
      </c>
      <c r="K67" s="94">
        <f>SUMIFS('caseload data'!M:M,'caseload data'!$D:$D,"PSO",'caseload data'!$C:$C,'divisional &amp; regional caseload'!$B$64)</f>
        <v>0</v>
      </c>
      <c r="L67" s="94">
        <f>SUMIFS('caseload data'!N:N,'caseload data'!$D:$D,"PSO",'caseload data'!$C:$C,'divisional &amp; regional caseload'!$B$64)</f>
        <v>0</v>
      </c>
      <c r="M67" s="94">
        <f>SUMIFS('caseload data'!O:O,'caseload data'!$D:$D,"PSO",'caseload data'!$C:$C,'divisional &amp; regional caseload'!$B$64)</f>
        <v>0</v>
      </c>
      <c r="N67" s="94">
        <f>SUMIFS('caseload data'!P:P,'caseload data'!$D:$D,"PSO",'caseload data'!$C:$C,'divisional &amp; regional caseload'!$B$64)</f>
        <v>0</v>
      </c>
      <c r="O67" s="94">
        <f>SUMIFS('caseload data'!Q:Q,'caseload data'!$D:$D,"PSO",'caseload data'!$C:$C,'divisional &amp; regional caseload'!$B$64)</f>
        <v>0</v>
      </c>
      <c r="P67" s="94">
        <f>SUMIFS('caseload data'!R:R,'caseload data'!$D:$D,"PSO",'caseload data'!$C:$C,'divisional &amp; regional caseload'!$B$64)</f>
        <v>0</v>
      </c>
      <c r="Q67" s="94">
        <f>SUMIFS('caseload data'!S:S,'caseload data'!$D:$D,"PSO",'caseload data'!$C:$C,'divisional &amp; regional caseload'!$B$64)</f>
        <v>0</v>
      </c>
      <c r="R67" s="94">
        <f>SUMIFS('caseload data'!T:T,'caseload data'!$D:$D,"PSO",'caseload data'!$C:$C,'divisional &amp; regional caseload'!$B$64)</f>
        <v>0</v>
      </c>
      <c r="S67" s="91"/>
      <c r="T67" s="97" t="s">
        <v>1002</v>
      </c>
      <c r="U67" s="94">
        <f>SUMIFS('caseload data'!E:E,'caseload data'!$D:$D,"PSO",'caseload data'!$C:$C,'divisional &amp; regional caseload'!$T$64)</f>
        <v>0</v>
      </c>
      <c r="V67" s="94">
        <f>SUMIFS('caseload data'!F:F,'caseload data'!$D:$D,"PSO",'caseload data'!$C:$C,'divisional &amp; regional caseload'!$T$64)</f>
        <v>0</v>
      </c>
      <c r="W67" s="94">
        <f>SUMIFS('caseload data'!G:G,'caseload data'!$D:$D,"PSO",'caseload data'!$C:$C,'divisional &amp; regional caseload'!$T$64)</f>
        <v>0</v>
      </c>
      <c r="X67" s="94">
        <f>SUMIFS('caseload data'!H:H,'caseload data'!$D:$D,"PSO",'caseload data'!$C:$C,'divisional &amp; regional caseload'!$T$64)</f>
        <v>0</v>
      </c>
      <c r="Y67" s="94">
        <f>SUMIFS('caseload data'!I:I,'caseload data'!$D:$D,"PSO",'caseload data'!$C:$C,'divisional &amp; regional caseload'!$T$64)</f>
        <v>0</v>
      </c>
      <c r="Z67" s="94">
        <f>SUMIFS('caseload data'!J:J,'caseload data'!$D:$D,"PSO",'caseload data'!$C:$C,'divisional &amp; regional caseload'!$T$64)</f>
        <v>0</v>
      </c>
      <c r="AA67" s="94">
        <f>SUMIFS('caseload data'!K:K,'caseload data'!$D:$D,"PSO",'caseload data'!$C:$C,'divisional &amp; regional caseload'!$T$64)</f>
        <v>0</v>
      </c>
      <c r="AB67" s="94">
        <f>SUMIFS('caseload data'!L:L,'caseload data'!$D:$D,"PSO",'caseload data'!$C:$C,'divisional &amp; regional caseload'!$T$64)</f>
        <v>0</v>
      </c>
      <c r="AC67" s="94">
        <f>SUMIFS('caseload data'!M:M,'caseload data'!$D:$D,"PSO",'caseload data'!$C:$C,'divisional &amp; regional caseload'!$T$64)</f>
        <v>0</v>
      </c>
      <c r="AD67" s="94">
        <f>SUMIFS('caseload data'!N:N,'caseload data'!$D:$D,"PSO",'caseload data'!$C:$C,'divisional &amp; regional caseload'!$T$64)</f>
        <v>0</v>
      </c>
      <c r="AE67" s="94">
        <f>SUMIFS('caseload data'!O:O,'caseload data'!$D:$D,"PSO",'caseload data'!$C:$C,'divisional &amp; regional caseload'!$T$64)</f>
        <v>0</v>
      </c>
      <c r="AF67" s="94">
        <f>SUMIFS('caseload data'!P:P,'caseload data'!$D:$D,"PSO",'caseload data'!$C:$C,'divisional &amp; regional caseload'!$T$64)</f>
        <v>0</v>
      </c>
      <c r="AG67" s="94">
        <f>SUMIFS('caseload data'!Q:Q,'caseload data'!$D:$D,"PSO",'caseload data'!$C:$C,'divisional &amp; regional caseload'!$T$64)</f>
        <v>0</v>
      </c>
      <c r="AH67" s="94">
        <f>SUMIFS('caseload data'!R:R,'caseload data'!$D:$D,"PSO",'caseload data'!$C:$C,'divisional &amp; regional caseload'!$T$64)</f>
        <v>0</v>
      </c>
      <c r="AI67" s="94">
        <f>SUMIFS('caseload data'!S:S,'caseload data'!$D:$D,"PSO",'caseload data'!$C:$C,'divisional &amp; regional caseload'!$T$64)</f>
        <v>0</v>
      </c>
      <c r="AJ67" s="94">
        <f>SUMIFS('caseload data'!T:T,'caseload data'!$D:$D,"PSO",'caseload data'!$C:$C,'divisional &amp; regional caseload'!$T$64)</f>
        <v>0</v>
      </c>
    </row>
    <row r="68" spans="2:36" x14ac:dyDescent="0.15">
      <c r="B68" s="97" t="s">
        <v>1003</v>
      </c>
      <c r="C68" s="94">
        <f>SUMIFS('caseload data'!E:E,'caseload data'!$D:$D,"TPO",'caseload data'!$C:$C,'divisional &amp; regional caseload'!$B$64)</f>
        <v>0</v>
      </c>
      <c r="D68" s="94">
        <f>SUMIFS('caseload data'!F:F,'caseload data'!$D:$D,"TPO",'caseload data'!$C:$C,'divisional &amp; regional caseload'!$B$64)</f>
        <v>0</v>
      </c>
      <c r="E68" s="94">
        <f>SUMIFS('caseload data'!G:G,'caseload data'!$D:$D,"TPO",'caseload data'!$C:$C,'divisional &amp; regional caseload'!$B$64)</f>
        <v>0</v>
      </c>
      <c r="F68" s="94">
        <f>SUMIFS('caseload data'!H:H,'caseload data'!$D:$D,"TPO",'caseload data'!$C:$C,'divisional &amp; regional caseload'!$B$64)</f>
        <v>0</v>
      </c>
      <c r="G68" s="94">
        <f>SUMIFS('caseload data'!I:I,'caseload data'!$D:$D,"TPO",'caseload data'!$C:$C,'divisional &amp; regional caseload'!$B$64)</f>
        <v>0</v>
      </c>
      <c r="H68" s="94">
        <f>SUMIFS('caseload data'!J:J,'caseload data'!$D:$D,"TPO",'caseload data'!$C:$C,'divisional &amp; regional caseload'!$B$64)</f>
        <v>0</v>
      </c>
      <c r="I68" s="94">
        <f>SUMIFS('caseload data'!K:K,'caseload data'!$D:$D,"TPO",'caseload data'!$C:$C,'divisional &amp; regional caseload'!$B$64)</f>
        <v>0</v>
      </c>
      <c r="J68" s="94">
        <f>SUMIFS('caseload data'!L:L,'caseload data'!$D:$D,"TPO",'caseload data'!$C:$C,'divisional &amp; regional caseload'!$B$64)</f>
        <v>0</v>
      </c>
      <c r="K68" s="94">
        <f>SUMIFS('caseload data'!M:M,'caseload data'!$D:$D,"TPO",'caseload data'!$C:$C,'divisional &amp; regional caseload'!$B$64)</f>
        <v>0</v>
      </c>
      <c r="L68" s="94">
        <f>SUMIFS('caseload data'!N:N,'caseload data'!$D:$D,"TPO",'caseload data'!$C:$C,'divisional &amp; regional caseload'!$B$64)</f>
        <v>0</v>
      </c>
      <c r="M68" s="94">
        <f>SUMIFS('caseload data'!O:O,'caseload data'!$D:$D,"TPO",'caseload data'!$C:$C,'divisional &amp; regional caseload'!$B$64)</f>
        <v>0</v>
      </c>
      <c r="N68" s="94">
        <f>SUMIFS('caseload data'!P:P,'caseload data'!$D:$D,"TPO",'caseload data'!$C:$C,'divisional &amp; regional caseload'!$B$64)</f>
        <v>0</v>
      </c>
      <c r="O68" s="94">
        <f>SUMIFS('caseload data'!Q:Q,'caseload data'!$D:$D,"TPO",'caseload data'!$C:$C,'divisional &amp; regional caseload'!$B$64)</f>
        <v>0</v>
      </c>
      <c r="P68" s="94">
        <f>SUMIFS('caseload data'!R:R,'caseload data'!$D:$D,"TPO",'caseload data'!$C:$C,'divisional &amp; regional caseload'!$B$64)</f>
        <v>0</v>
      </c>
      <c r="Q68" s="94">
        <f>SUMIFS('caseload data'!S:S,'caseload data'!$D:$D,"TPO",'caseload data'!$C:$C,'divisional &amp; regional caseload'!$B$64)</f>
        <v>0</v>
      </c>
      <c r="R68" s="94">
        <f>SUMIFS('caseload data'!T:T,'caseload data'!$D:$D,"TPO",'caseload data'!$C:$C,'divisional &amp; regional caseload'!$B$64)</f>
        <v>0</v>
      </c>
      <c r="S68" s="91"/>
      <c r="T68" s="97" t="s">
        <v>1003</v>
      </c>
      <c r="U68" s="94">
        <f>SUMIFS('caseload data'!E:E,'caseload data'!$D:$D,"TPO",'caseload data'!$C:$C,'divisional &amp; regional caseload'!$T$64)</f>
        <v>0</v>
      </c>
      <c r="V68" s="94">
        <f>SUMIFS('caseload data'!F:F,'caseload data'!$D:$D,"TPO",'caseload data'!$C:$C,'divisional &amp; regional caseload'!$T$64)</f>
        <v>0</v>
      </c>
      <c r="W68" s="94">
        <f>SUMIFS('caseload data'!G:G,'caseload data'!$D:$D,"TPO",'caseload data'!$C:$C,'divisional &amp; regional caseload'!$T$64)</f>
        <v>0</v>
      </c>
      <c r="X68" s="94">
        <f>SUMIFS('caseload data'!H:H,'caseload data'!$D:$D,"TPO",'caseload data'!$C:$C,'divisional &amp; regional caseload'!$T$64)</f>
        <v>0</v>
      </c>
      <c r="Y68" s="94">
        <f>SUMIFS('caseload data'!I:I,'caseload data'!$D:$D,"TPO",'caseload data'!$C:$C,'divisional &amp; regional caseload'!$T$64)</f>
        <v>0</v>
      </c>
      <c r="Z68" s="94">
        <f>SUMIFS('caseload data'!J:J,'caseload data'!$D:$D,"TPO",'caseload data'!$C:$C,'divisional &amp; regional caseload'!$T$64)</f>
        <v>0</v>
      </c>
      <c r="AA68" s="94">
        <f>SUMIFS('caseload data'!K:K,'caseload data'!$D:$D,"TPO",'caseload data'!$C:$C,'divisional &amp; regional caseload'!$T$64)</f>
        <v>0</v>
      </c>
      <c r="AB68" s="94">
        <f>SUMIFS('caseload data'!L:L,'caseload data'!$D:$D,"TPO",'caseload data'!$C:$C,'divisional &amp; regional caseload'!$T$64)</f>
        <v>0</v>
      </c>
      <c r="AC68" s="94">
        <f>SUMIFS('caseload data'!M:M,'caseload data'!$D:$D,"TPO",'caseload data'!$C:$C,'divisional &amp; regional caseload'!$T$64)</f>
        <v>0</v>
      </c>
      <c r="AD68" s="94">
        <f>SUMIFS('caseload data'!N:N,'caseload data'!$D:$D,"TPO",'caseload data'!$C:$C,'divisional &amp; regional caseload'!$T$64)</f>
        <v>0</v>
      </c>
      <c r="AE68" s="94">
        <f>SUMIFS('caseload data'!O:O,'caseload data'!$D:$D,"TPO",'caseload data'!$C:$C,'divisional &amp; regional caseload'!$T$64)</f>
        <v>0</v>
      </c>
      <c r="AF68" s="94">
        <f>SUMIFS('caseload data'!P:P,'caseload data'!$D:$D,"TPO",'caseload data'!$C:$C,'divisional &amp; regional caseload'!$T$64)</f>
        <v>0</v>
      </c>
      <c r="AG68" s="94">
        <f>SUMIFS('caseload data'!Q:Q,'caseload data'!$D:$D,"TPO",'caseload data'!$C:$C,'divisional &amp; regional caseload'!$T$64)</f>
        <v>0</v>
      </c>
      <c r="AH68" s="94">
        <f>SUMIFS('caseload data'!R:R,'caseload data'!$D:$D,"TPO",'caseload data'!$C:$C,'divisional &amp; regional caseload'!$T$64)</f>
        <v>0</v>
      </c>
      <c r="AI68" s="94">
        <f>SUMIFS('caseload data'!S:S,'caseload data'!$D:$D,"TPO",'caseload data'!$C:$C,'divisional &amp; regional caseload'!$T$64)</f>
        <v>0</v>
      </c>
      <c r="AJ68" s="94">
        <f>SUMIFS('caseload data'!T:T,'caseload data'!$D:$D,"TPO",'caseload data'!$C:$C,'divisional &amp; regional caseload'!$T$64)</f>
        <v>0</v>
      </c>
    </row>
    <row r="69" spans="2:36" x14ac:dyDescent="0.15">
      <c r="B69" s="98" t="s">
        <v>1004</v>
      </c>
      <c r="C69" s="94">
        <f>SUMIFS('caseload data'!E:E,'caseload data'!$D:$D,"SPO",'caseload data'!$C:$C,'divisional &amp; regional caseload'!$B$64)</f>
        <v>0</v>
      </c>
      <c r="D69" s="94">
        <f>SUMIFS('caseload data'!F:F,'caseload data'!$D:$D,"SPO",'caseload data'!$C:$C,'divisional &amp; regional caseload'!$B$64)</f>
        <v>0</v>
      </c>
      <c r="E69" s="94">
        <f>SUMIFS('caseload data'!G:G,'caseload data'!$D:$D,"SPO",'caseload data'!$C:$C,'divisional &amp; regional caseload'!$B$64)</f>
        <v>0</v>
      </c>
      <c r="F69" s="94">
        <f>SUMIFS('caseload data'!H:H,'caseload data'!$D:$D,"SPO",'caseload data'!$C:$C,'divisional &amp; regional caseload'!$B$64)</f>
        <v>0</v>
      </c>
      <c r="G69" s="94">
        <f>SUMIFS('caseload data'!I:I,'caseload data'!$D:$D,"SPO",'caseload data'!$C:$C,'divisional &amp; regional caseload'!$B$64)</f>
        <v>0</v>
      </c>
      <c r="H69" s="94">
        <f>SUMIFS('caseload data'!J:J,'caseload data'!$D:$D,"SPO",'caseload data'!$C:$C,'divisional &amp; regional caseload'!$B$64)</f>
        <v>0</v>
      </c>
      <c r="I69" s="94">
        <f>SUMIFS('caseload data'!K:K,'caseload data'!$D:$D,"SPO",'caseload data'!$C:$C,'divisional &amp; regional caseload'!$B$64)</f>
        <v>0</v>
      </c>
      <c r="J69" s="94">
        <f>SUMIFS('caseload data'!L:L,'caseload data'!$D:$D,"SPO",'caseload data'!$C:$C,'divisional &amp; regional caseload'!$B$64)</f>
        <v>0</v>
      </c>
      <c r="K69" s="94">
        <f>SUMIFS('caseload data'!M:M,'caseload data'!$D:$D,"SPO",'caseload data'!$C:$C,'divisional &amp; regional caseload'!$B$64)</f>
        <v>0</v>
      </c>
      <c r="L69" s="94">
        <f>SUMIFS('caseload data'!N:N,'caseload data'!$D:$D,"SPO",'caseload data'!$C:$C,'divisional &amp; regional caseload'!$B$64)</f>
        <v>0</v>
      </c>
      <c r="M69" s="94">
        <f>SUMIFS('caseload data'!O:O,'caseload data'!$D:$D,"SPO",'caseload data'!$C:$C,'divisional &amp; regional caseload'!$B$64)</f>
        <v>0</v>
      </c>
      <c r="N69" s="94">
        <f>SUMIFS('caseload data'!P:P,'caseload data'!$D:$D,"SPO",'caseload data'!$C:$C,'divisional &amp; regional caseload'!$B$64)</f>
        <v>0</v>
      </c>
      <c r="O69" s="94">
        <f>SUMIFS('caseload data'!Q:Q,'caseload data'!$D:$D,"SPO",'caseload data'!$C:$C,'divisional &amp; regional caseload'!$B$64)</f>
        <v>0</v>
      </c>
      <c r="P69" s="94">
        <f>SUMIFS('caseload data'!R:R,'caseload data'!$D:$D,"SPO",'caseload data'!$C:$C,'divisional &amp; regional caseload'!$B$64)</f>
        <v>0</v>
      </c>
      <c r="Q69" s="94">
        <f>SUMIFS('caseload data'!S:S,'caseload data'!$D:$D,"SPO",'caseload data'!$C:$C,'divisional &amp; regional caseload'!$B$64)</f>
        <v>0</v>
      </c>
      <c r="R69" s="94">
        <f>SUMIFS('caseload data'!T:T,'caseload data'!$D:$D,"SPO",'caseload data'!$C:$C,'divisional &amp; regional caseload'!$B$64)</f>
        <v>0</v>
      </c>
      <c r="S69" s="91"/>
      <c r="T69" s="98" t="s">
        <v>1004</v>
      </c>
      <c r="U69" s="94">
        <f>SUMIFS('caseload data'!E:E,'caseload data'!$D:$D,"SPO",'caseload data'!$C:$C,'divisional &amp; regional caseload'!$T$64)</f>
        <v>0</v>
      </c>
      <c r="V69" s="94">
        <f>SUMIFS('caseload data'!F:F,'caseload data'!$D:$D,"SPO",'caseload data'!$C:$C,'divisional &amp; regional caseload'!$T$64)</f>
        <v>0</v>
      </c>
      <c r="W69" s="94">
        <f>SUMIFS('caseload data'!G:G,'caseload data'!$D:$D,"SPO",'caseload data'!$C:$C,'divisional &amp; regional caseload'!$T$64)</f>
        <v>0</v>
      </c>
      <c r="X69" s="94">
        <f>SUMIFS('caseload data'!H:H,'caseload data'!$D:$D,"SPO",'caseload data'!$C:$C,'divisional &amp; regional caseload'!$T$64)</f>
        <v>0</v>
      </c>
      <c r="Y69" s="94">
        <f>SUMIFS('caseload data'!I:I,'caseload data'!$D:$D,"SPO",'caseload data'!$C:$C,'divisional &amp; regional caseload'!$T$64)</f>
        <v>0</v>
      </c>
      <c r="Z69" s="94">
        <f>SUMIFS('caseload data'!J:J,'caseload data'!$D:$D,"SPO",'caseload data'!$C:$C,'divisional &amp; regional caseload'!$T$64)</f>
        <v>0</v>
      </c>
      <c r="AA69" s="94">
        <f>SUMIFS('caseload data'!K:K,'caseload data'!$D:$D,"SPO",'caseload data'!$C:$C,'divisional &amp; regional caseload'!$T$64)</f>
        <v>0</v>
      </c>
      <c r="AB69" s="94">
        <f>SUMIFS('caseload data'!L:L,'caseload data'!$D:$D,"SPO",'caseload data'!$C:$C,'divisional &amp; regional caseload'!$T$64)</f>
        <v>0</v>
      </c>
      <c r="AC69" s="94">
        <f>SUMIFS('caseload data'!M:M,'caseload data'!$D:$D,"SPO",'caseload data'!$C:$C,'divisional &amp; regional caseload'!$T$64)</f>
        <v>0</v>
      </c>
      <c r="AD69" s="94">
        <f>SUMIFS('caseload data'!N:N,'caseload data'!$D:$D,"SPO",'caseload data'!$C:$C,'divisional &amp; regional caseload'!$T$64)</f>
        <v>0</v>
      </c>
      <c r="AE69" s="94">
        <f>SUMIFS('caseload data'!O:O,'caseload data'!$D:$D,"SPO",'caseload data'!$C:$C,'divisional &amp; regional caseload'!$T$64)</f>
        <v>0</v>
      </c>
      <c r="AF69" s="94">
        <f>SUMIFS('caseload data'!P:P,'caseload data'!$D:$D,"SPO",'caseload data'!$C:$C,'divisional &amp; regional caseload'!$T$64)</f>
        <v>0</v>
      </c>
      <c r="AG69" s="94">
        <f>SUMIFS('caseload data'!Q:Q,'caseload data'!$D:$D,"SPO",'caseload data'!$C:$C,'divisional &amp; regional caseload'!$T$64)</f>
        <v>0</v>
      </c>
      <c r="AH69" s="94">
        <f>SUMIFS('caseload data'!R:R,'caseload data'!$D:$D,"SPO",'caseload data'!$C:$C,'divisional &amp; regional caseload'!$T$64)</f>
        <v>0</v>
      </c>
      <c r="AI69" s="94">
        <f>SUMIFS('caseload data'!S:S,'caseload data'!$D:$D,"SPO",'caseload data'!$C:$C,'divisional &amp; regional caseload'!$T$64)</f>
        <v>0</v>
      </c>
      <c r="AJ69" s="94">
        <f>SUMIFS('caseload data'!T:T,'caseload data'!$D:$D,"SPO",'caseload data'!$C:$C,'divisional &amp; regional caseload'!$T$64)</f>
        <v>0</v>
      </c>
    </row>
    <row r="71" spans="2:36" ht="41.25" customHeight="1" x14ac:dyDescent="0.15">
      <c r="B71" s="289">
        <f>HLOOKUP($B$5,Region_Table,20,0)</f>
        <v>0</v>
      </c>
      <c r="C71" s="509" t="s">
        <v>1092</v>
      </c>
      <c r="D71" s="510"/>
      <c r="E71" s="510"/>
      <c r="F71" s="510"/>
      <c r="G71" s="510"/>
      <c r="H71" s="510"/>
      <c r="I71" s="510"/>
      <c r="J71" s="510"/>
      <c r="K71" s="510"/>
      <c r="L71" s="510"/>
      <c r="M71" s="520"/>
      <c r="N71" s="520"/>
      <c r="O71" s="521"/>
      <c r="P71" s="512">
        <f>SUMIF('caseload data'!$C:$C,'divisional &amp; regional caseload'!B71,'caseload data'!V:V)</f>
        <v>0</v>
      </c>
      <c r="Q71" s="513"/>
      <c r="R71" s="514"/>
      <c r="T71" s="289">
        <f>HLOOKUP($B$5,Region_Table,21,0)</f>
        <v>0</v>
      </c>
      <c r="U71" s="509" t="s">
        <v>1092</v>
      </c>
      <c r="V71" s="510"/>
      <c r="W71" s="510"/>
      <c r="X71" s="510"/>
      <c r="Y71" s="510"/>
      <c r="Z71" s="510"/>
      <c r="AA71" s="510"/>
      <c r="AB71" s="510"/>
      <c r="AC71" s="510"/>
      <c r="AD71" s="510"/>
      <c r="AE71" s="510"/>
      <c r="AF71" s="510"/>
      <c r="AG71" s="511"/>
      <c r="AH71" s="512">
        <f>SUMIF('caseload data'!$C:$C,'divisional &amp; regional caseload'!T71,'caseload data'!V:V)</f>
        <v>0</v>
      </c>
      <c r="AI71" s="515"/>
      <c r="AJ71" s="516"/>
    </row>
    <row r="72" spans="2:36" x14ac:dyDescent="0.15">
      <c r="B72" s="95" t="s">
        <v>1000</v>
      </c>
      <c r="C72" s="38" t="s">
        <v>864</v>
      </c>
      <c r="D72" s="38" t="s">
        <v>865</v>
      </c>
      <c r="E72" s="38" t="s">
        <v>866</v>
      </c>
      <c r="F72" s="38" t="s">
        <v>867</v>
      </c>
      <c r="G72" s="38" t="s">
        <v>868</v>
      </c>
      <c r="H72" s="38" t="s">
        <v>869</v>
      </c>
      <c r="I72" s="38" t="s">
        <v>870</v>
      </c>
      <c r="J72" s="38" t="s">
        <v>871</v>
      </c>
      <c r="K72" s="38" t="s">
        <v>872</v>
      </c>
      <c r="L72" s="38" t="s">
        <v>873</v>
      </c>
      <c r="M72" s="38" t="s">
        <v>874</v>
      </c>
      <c r="N72" s="38" t="s">
        <v>875</v>
      </c>
      <c r="O72" s="38" t="s">
        <v>876</v>
      </c>
      <c r="P72" s="38" t="s">
        <v>877</v>
      </c>
      <c r="Q72" s="38" t="s">
        <v>878</v>
      </c>
      <c r="R72" s="38" t="s">
        <v>879</v>
      </c>
      <c r="T72" s="95" t="s">
        <v>1000</v>
      </c>
      <c r="U72" s="38" t="s">
        <v>864</v>
      </c>
      <c r="V72" s="38" t="s">
        <v>865</v>
      </c>
      <c r="W72" s="38" t="s">
        <v>866</v>
      </c>
      <c r="X72" s="38" t="s">
        <v>867</v>
      </c>
      <c r="Y72" s="38" t="s">
        <v>868</v>
      </c>
      <c r="Z72" s="38" t="s">
        <v>869</v>
      </c>
      <c r="AA72" s="38" t="s">
        <v>870</v>
      </c>
      <c r="AB72" s="38" t="s">
        <v>871</v>
      </c>
      <c r="AC72" s="38" t="s">
        <v>872</v>
      </c>
      <c r="AD72" s="38" t="s">
        <v>873</v>
      </c>
      <c r="AE72" s="38" t="s">
        <v>874</v>
      </c>
      <c r="AF72" s="38" t="s">
        <v>875</v>
      </c>
      <c r="AG72" s="38" t="s">
        <v>876</v>
      </c>
      <c r="AH72" s="38" t="s">
        <v>877</v>
      </c>
      <c r="AI72" s="38" t="s">
        <v>878</v>
      </c>
      <c r="AJ72" s="38" t="s">
        <v>879</v>
      </c>
    </row>
    <row r="73" spans="2:36" x14ac:dyDescent="0.15">
      <c r="B73" s="96" t="s">
        <v>997</v>
      </c>
      <c r="C73" s="94">
        <f>SUMIFS('caseload data'!E:E,'caseload data'!$D:$D,"PO",'caseload data'!$C:$C,'divisional &amp; regional caseload'!$B$71)</f>
        <v>0</v>
      </c>
      <c r="D73" s="94">
        <f>SUMIFS('caseload data'!F:F,'caseload data'!$D:$D,"PO",'caseload data'!$C:$C,'divisional &amp; regional caseload'!$B$71)</f>
        <v>0</v>
      </c>
      <c r="E73" s="94">
        <f>SUMIFS('caseload data'!G:G,'caseload data'!$D:$D,"PO",'caseload data'!$C:$C,'divisional &amp; regional caseload'!$B$71)</f>
        <v>0</v>
      </c>
      <c r="F73" s="94">
        <f>SUMIFS('caseload data'!H:H,'caseload data'!$D:$D,"PO",'caseload data'!$C:$C,'divisional &amp; regional caseload'!$B$71)</f>
        <v>0</v>
      </c>
      <c r="G73" s="94">
        <f>SUMIFS('caseload data'!I:I,'caseload data'!$D:$D,"PO",'caseload data'!$C:$C,'divisional &amp; regional caseload'!$B$71)</f>
        <v>0</v>
      </c>
      <c r="H73" s="94">
        <f>SUMIFS('caseload data'!J:J,'caseload data'!$D:$D,"PO",'caseload data'!$C:$C,'divisional &amp; regional caseload'!$B$71)</f>
        <v>0</v>
      </c>
      <c r="I73" s="94">
        <f>SUMIFS('caseload data'!K:K,'caseload data'!$D:$D,"PO",'caseload data'!$C:$C,'divisional &amp; regional caseload'!$B$71)</f>
        <v>0</v>
      </c>
      <c r="J73" s="94">
        <f>SUMIFS('caseload data'!L:L,'caseload data'!$D:$D,"PO",'caseload data'!$C:$C,'divisional &amp; regional caseload'!$B$71)</f>
        <v>0</v>
      </c>
      <c r="K73" s="94">
        <f>SUMIFS('caseload data'!M:M,'caseload data'!$D:$D,"PO",'caseload data'!$C:$C,'divisional &amp; regional caseload'!$B$71)</f>
        <v>0</v>
      </c>
      <c r="L73" s="94">
        <f>SUMIFS('caseload data'!N:N,'caseload data'!$D:$D,"PO",'caseload data'!$C:$C,'divisional &amp; regional caseload'!$B$71)</f>
        <v>0</v>
      </c>
      <c r="M73" s="94">
        <f>SUMIFS('caseload data'!O:O,'caseload data'!$D:$D,"PO",'caseload data'!$C:$C,'divisional &amp; regional caseload'!$B$71)</f>
        <v>0</v>
      </c>
      <c r="N73" s="94">
        <f>SUMIFS('caseload data'!P:P,'caseload data'!$D:$D,"PO",'caseload data'!$C:$C,'divisional &amp; regional caseload'!$B$71)</f>
        <v>0</v>
      </c>
      <c r="O73" s="94">
        <f>SUMIFS('caseload data'!Q:Q,'caseload data'!$D:$D,"PO",'caseload data'!$C:$C,'divisional &amp; regional caseload'!$B$71)</f>
        <v>0</v>
      </c>
      <c r="P73" s="94">
        <f>SUMIFS('caseload data'!R:R,'caseload data'!$D:$D,"PO",'caseload data'!$C:$C,'divisional &amp; regional caseload'!$B$71)</f>
        <v>0</v>
      </c>
      <c r="Q73" s="94">
        <f>SUMIFS('caseload data'!S:S,'caseload data'!$D:$D,"PO",'caseload data'!$C:$C,'divisional &amp; regional caseload'!$B$71)</f>
        <v>0</v>
      </c>
      <c r="R73" s="94">
        <f>SUMIFS('caseload data'!T:T,'caseload data'!$D:$D,"PO",'caseload data'!$C:$C,'divisional &amp; regional caseload'!$B$71)</f>
        <v>0</v>
      </c>
      <c r="T73" s="96" t="s">
        <v>997</v>
      </c>
      <c r="U73" s="94">
        <f>SUMIFS('caseload data'!E:E,'caseload data'!$D:$D,"PO",'caseload data'!$C:$C,'divisional &amp; regional caseload'!$T$71)</f>
        <v>0</v>
      </c>
      <c r="V73" s="94">
        <f>SUMIFS('caseload data'!F:F,'caseload data'!$D:$D,"PO",'caseload data'!$C:$C,'divisional &amp; regional caseload'!$T$71)</f>
        <v>0</v>
      </c>
      <c r="W73" s="94">
        <f>SUMIFS('caseload data'!G:G,'caseload data'!$D:$D,"PO",'caseload data'!$C:$C,'divisional &amp; regional caseload'!$T$71)</f>
        <v>0</v>
      </c>
      <c r="X73" s="94">
        <f>SUMIFS('caseload data'!H:H,'caseload data'!$D:$D,"PO",'caseload data'!$C:$C,'divisional &amp; regional caseload'!$T$71)</f>
        <v>0</v>
      </c>
      <c r="Y73" s="94">
        <f>SUMIFS('caseload data'!I:I,'caseload data'!$D:$D,"PO",'caseload data'!$C:$C,'divisional &amp; regional caseload'!$T$71)</f>
        <v>0</v>
      </c>
      <c r="Z73" s="94">
        <f>SUMIFS('caseload data'!J:J,'caseload data'!$D:$D,"PO",'caseload data'!$C:$C,'divisional &amp; regional caseload'!$T$71)</f>
        <v>0</v>
      </c>
      <c r="AA73" s="94">
        <f>SUMIFS('caseload data'!K:K,'caseload data'!$D:$D,"PO",'caseload data'!$C:$C,'divisional &amp; regional caseload'!$T$71)</f>
        <v>0</v>
      </c>
      <c r="AB73" s="94">
        <f>SUMIFS('caseload data'!L:L,'caseload data'!$D:$D,"PO",'caseload data'!$C:$C,'divisional &amp; regional caseload'!$T$71)</f>
        <v>0</v>
      </c>
      <c r="AC73" s="94">
        <f>SUMIFS('caseload data'!M:M,'caseload data'!$D:$D,"PO",'caseload data'!$C:$C,'divisional &amp; regional caseload'!$T$71)</f>
        <v>0</v>
      </c>
      <c r="AD73" s="94">
        <f>SUMIFS('caseload data'!N:N,'caseload data'!$D:$D,"PO",'caseload data'!$C:$C,'divisional &amp; regional caseload'!$T$71)</f>
        <v>0</v>
      </c>
      <c r="AE73" s="94">
        <f>SUMIFS('caseload data'!O:O,'caseload data'!$D:$D,"PO",'caseload data'!$C:$C,'divisional &amp; regional caseload'!$T$71)</f>
        <v>0</v>
      </c>
      <c r="AF73" s="94">
        <f>SUMIFS('caseload data'!P:P,'caseload data'!$D:$D,"PO",'caseload data'!$C:$C,'divisional &amp; regional caseload'!$T$71)</f>
        <v>0</v>
      </c>
      <c r="AG73" s="94">
        <f>SUMIFS('caseload data'!Q:Q,'caseload data'!$D:$D,"PO",'caseload data'!$C:$C,'divisional &amp; regional caseload'!$T$71)</f>
        <v>0</v>
      </c>
      <c r="AH73" s="94">
        <f>SUMIFS('caseload data'!R:R,'caseload data'!$D:$D,"PO",'caseload data'!$C:$C,'divisional &amp; regional caseload'!$T$71)</f>
        <v>0</v>
      </c>
      <c r="AI73" s="94">
        <f>SUMIFS('caseload data'!S:S,'caseload data'!$D:$D,"PO",'caseload data'!$C:$C,'divisional &amp; regional caseload'!$T$71)</f>
        <v>0</v>
      </c>
      <c r="AJ73" s="94">
        <f>SUMIFS('caseload data'!T:T,'caseload data'!$D:$D,"PO",'caseload data'!$C:$C,'divisional &amp; regional caseload'!$T$71)</f>
        <v>0</v>
      </c>
    </row>
    <row r="74" spans="2:36" x14ac:dyDescent="0.15">
      <c r="B74" s="97" t="s">
        <v>1002</v>
      </c>
      <c r="C74" s="94">
        <f>SUMIFS('caseload data'!E:E,'caseload data'!$D:$D,"PSO",'caseload data'!$C:$C,'divisional &amp; regional caseload'!$B$71)</f>
        <v>0</v>
      </c>
      <c r="D74" s="94">
        <f>SUMIFS('caseload data'!F:F,'caseload data'!$D:$D,"PSO",'caseload data'!$C:$C,'divisional &amp; regional caseload'!$B$71)</f>
        <v>0</v>
      </c>
      <c r="E74" s="94">
        <f>SUMIFS('caseload data'!G:G,'caseload data'!$D:$D,"PSO",'caseload data'!$C:$C,'divisional &amp; regional caseload'!$B$71)</f>
        <v>0</v>
      </c>
      <c r="F74" s="94">
        <f>SUMIFS('caseload data'!H:H,'caseload data'!$D:$D,"PSO",'caseload data'!$C:$C,'divisional &amp; regional caseload'!$B$71)</f>
        <v>0</v>
      </c>
      <c r="G74" s="94">
        <f>SUMIFS('caseload data'!I:I,'caseload data'!$D:$D,"PSO",'caseload data'!$C:$C,'divisional &amp; regional caseload'!$B$71)</f>
        <v>0</v>
      </c>
      <c r="H74" s="94">
        <f>SUMIFS('caseload data'!J:J,'caseload data'!$D:$D,"PSO",'caseload data'!$C:$C,'divisional &amp; regional caseload'!$B$71)</f>
        <v>0</v>
      </c>
      <c r="I74" s="94">
        <f>SUMIFS('caseload data'!K:K,'caseload data'!$D:$D,"PSO",'caseload data'!$C:$C,'divisional &amp; regional caseload'!$B$71)</f>
        <v>0</v>
      </c>
      <c r="J74" s="94">
        <f>SUMIFS('caseload data'!L:L,'caseload data'!$D:$D,"PSO",'caseload data'!$C:$C,'divisional &amp; regional caseload'!$B$71)</f>
        <v>0</v>
      </c>
      <c r="K74" s="94">
        <f>SUMIFS('caseload data'!M:M,'caseload data'!$D:$D,"PSO",'caseload data'!$C:$C,'divisional &amp; regional caseload'!$B$71)</f>
        <v>0</v>
      </c>
      <c r="L74" s="94">
        <f>SUMIFS('caseload data'!N:N,'caseload data'!$D:$D,"PSO",'caseload data'!$C:$C,'divisional &amp; regional caseload'!$B$71)</f>
        <v>0</v>
      </c>
      <c r="M74" s="94">
        <f>SUMIFS('caseload data'!O:O,'caseload data'!$D:$D,"PSO",'caseload data'!$C:$C,'divisional &amp; regional caseload'!$B$71)</f>
        <v>0</v>
      </c>
      <c r="N74" s="94">
        <f>SUMIFS('caseload data'!P:P,'caseload data'!$D:$D,"PSO",'caseload data'!$C:$C,'divisional &amp; regional caseload'!$B$71)</f>
        <v>0</v>
      </c>
      <c r="O74" s="94">
        <f>SUMIFS('caseload data'!Q:Q,'caseload data'!$D:$D,"PSO",'caseload data'!$C:$C,'divisional &amp; regional caseload'!$B$71)</f>
        <v>0</v>
      </c>
      <c r="P74" s="94">
        <f>SUMIFS('caseload data'!R:R,'caseload data'!$D:$D,"PSO",'caseload data'!$C:$C,'divisional &amp; regional caseload'!$B$71)</f>
        <v>0</v>
      </c>
      <c r="Q74" s="94">
        <f>SUMIFS('caseload data'!S:S,'caseload data'!$D:$D,"PSO",'caseload data'!$C:$C,'divisional &amp; regional caseload'!$B$71)</f>
        <v>0</v>
      </c>
      <c r="R74" s="94">
        <f>SUMIFS('caseload data'!T:T,'caseload data'!$D:$D,"PSO",'caseload data'!$C:$C,'divisional &amp; regional caseload'!$B$71)</f>
        <v>0</v>
      </c>
      <c r="T74" s="97" t="s">
        <v>1002</v>
      </c>
      <c r="U74" s="94">
        <f>SUMIFS('caseload data'!E:E,'caseload data'!$D:$D,"PSO",'caseload data'!$C:$C,'divisional &amp; regional caseload'!$T$71)</f>
        <v>0</v>
      </c>
      <c r="V74" s="94">
        <f>SUMIFS('caseload data'!F:F,'caseload data'!$D:$D,"PSO",'caseload data'!$C:$C,'divisional &amp; regional caseload'!$T$71)</f>
        <v>0</v>
      </c>
      <c r="W74" s="94">
        <f>SUMIFS('caseload data'!G:G,'caseload data'!$D:$D,"PSO",'caseload data'!$C:$C,'divisional &amp; regional caseload'!$T$71)</f>
        <v>0</v>
      </c>
      <c r="X74" s="94">
        <f>SUMIFS('caseload data'!H:H,'caseload data'!$D:$D,"PSO",'caseload data'!$C:$C,'divisional &amp; regional caseload'!$T$71)</f>
        <v>0</v>
      </c>
      <c r="Y74" s="94">
        <f>SUMIFS('caseload data'!I:I,'caseload data'!$D:$D,"PSO",'caseload data'!$C:$C,'divisional &amp; regional caseload'!$T$71)</f>
        <v>0</v>
      </c>
      <c r="Z74" s="94">
        <f>SUMIFS('caseload data'!J:J,'caseload data'!$D:$D,"PSO",'caseload data'!$C:$C,'divisional &amp; regional caseload'!$T$71)</f>
        <v>0</v>
      </c>
      <c r="AA74" s="94">
        <f>SUMIFS('caseload data'!K:K,'caseload data'!$D:$D,"PSO",'caseload data'!$C:$C,'divisional &amp; regional caseload'!$T$71)</f>
        <v>0</v>
      </c>
      <c r="AB74" s="94">
        <f>SUMIFS('caseload data'!L:L,'caseload data'!$D:$D,"PSO",'caseload data'!$C:$C,'divisional &amp; regional caseload'!$T$71)</f>
        <v>0</v>
      </c>
      <c r="AC74" s="94">
        <f>SUMIFS('caseload data'!M:M,'caseload data'!$D:$D,"PSO",'caseload data'!$C:$C,'divisional &amp; regional caseload'!$T$71)</f>
        <v>0</v>
      </c>
      <c r="AD74" s="94">
        <f>SUMIFS('caseload data'!N:N,'caseload data'!$D:$D,"PSO",'caseload data'!$C:$C,'divisional &amp; regional caseload'!$T$71)</f>
        <v>0</v>
      </c>
      <c r="AE74" s="94">
        <f>SUMIFS('caseload data'!O:O,'caseload data'!$D:$D,"PSO",'caseload data'!$C:$C,'divisional &amp; regional caseload'!$T$71)</f>
        <v>0</v>
      </c>
      <c r="AF74" s="94">
        <f>SUMIFS('caseload data'!P:P,'caseload data'!$D:$D,"PSO",'caseload data'!$C:$C,'divisional &amp; regional caseload'!$T$71)</f>
        <v>0</v>
      </c>
      <c r="AG74" s="94">
        <f>SUMIFS('caseload data'!Q:Q,'caseload data'!$D:$D,"PSO",'caseload data'!$C:$C,'divisional &amp; regional caseload'!$T$71)</f>
        <v>0</v>
      </c>
      <c r="AH74" s="94">
        <f>SUMIFS('caseload data'!R:R,'caseload data'!$D:$D,"PSO",'caseload data'!$C:$C,'divisional &amp; regional caseload'!$T$71)</f>
        <v>0</v>
      </c>
      <c r="AI74" s="94">
        <f>SUMIFS('caseload data'!S:S,'caseload data'!$D:$D,"PSO",'caseload data'!$C:$C,'divisional &amp; regional caseload'!$T$71)</f>
        <v>0</v>
      </c>
      <c r="AJ74" s="94">
        <f>SUMIFS('caseload data'!T:T,'caseload data'!$D:$D,"PSO",'caseload data'!$C:$C,'divisional &amp; regional caseload'!$T$71)</f>
        <v>0</v>
      </c>
    </row>
    <row r="75" spans="2:36" x14ac:dyDescent="0.15">
      <c r="B75" s="97" t="s">
        <v>1003</v>
      </c>
      <c r="C75" s="94">
        <f>SUMIFS('caseload data'!E:E,'caseload data'!$D:$D,"TPO",'caseload data'!$C:$C,'divisional &amp; regional caseload'!$B$71)</f>
        <v>0</v>
      </c>
      <c r="D75" s="94">
        <f>SUMIFS('caseload data'!F:F,'caseload data'!$D:$D,"TPO",'caseload data'!$C:$C,'divisional &amp; regional caseload'!$B$71)</f>
        <v>0</v>
      </c>
      <c r="E75" s="94">
        <f>SUMIFS('caseload data'!G:G,'caseload data'!$D:$D,"TPO",'caseload data'!$C:$C,'divisional &amp; regional caseload'!$B$71)</f>
        <v>0</v>
      </c>
      <c r="F75" s="94">
        <f>SUMIFS('caseload data'!H:H,'caseload data'!$D:$D,"TPO",'caseload data'!$C:$C,'divisional &amp; regional caseload'!$B$71)</f>
        <v>0</v>
      </c>
      <c r="G75" s="94">
        <f>SUMIFS('caseload data'!I:I,'caseload data'!$D:$D,"TPO",'caseload data'!$C:$C,'divisional &amp; regional caseload'!$B$71)</f>
        <v>0</v>
      </c>
      <c r="H75" s="94">
        <f>SUMIFS('caseload data'!J:J,'caseload data'!$D:$D,"TPO",'caseload data'!$C:$C,'divisional &amp; regional caseload'!$B$71)</f>
        <v>0</v>
      </c>
      <c r="I75" s="94">
        <f>SUMIFS('caseload data'!K:K,'caseload data'!$D:$D,"TPO",'caseload data'!$C:$C,'divisional &amp; regional caseload'!$B$71)</f>
        <v>0</v>
      </c>
      <c r="J75" s="94">
        <f>SUMIFS('caseload data'!L:L,'caseload data'!$D:$D,"TPO",'caseload data'!$C:$C,'divisional &amp; regional caseload'!$B$71)</f>
        <v>0</v>
      </c>
      <c r="K75" s="94">
        <f>SUMIFS('caseload data'!M:M,'caseload data'!$D:$D,"TPO",'caseload data'!$C:$C,'divisional &amp; regional caseload'!$B$71)</f>
        <v>0</v>
      </c>
      <c r="L75" s="94">
        <f>SUMIFS('caseload data'!N:N,'caseload data'!$D:$D,"TPO",'caseload data'!$C:$C,'divisional &amp; regional caseload'!$B$71)</f>
        <v>0</v>
      </c>
      <c r="M75" s="94">
        <f>SUMIFS('caseload data'!O:O,'caseload data'!$D:$D,"TPO",'caseload data'!$C:$C,'divisional &amp; regional caseload'!$B$71)</f>
        <v>0</v>
      </c>
      <c r="N75" s="94">
        <f>SUMIFS('caseload data'!P:P,'caseload data'!$D:$D,"TPO",'caseload data'!$C:$C,'divisional &amp; regional caseload'!$B$71)</f>
        <v>0</v>
      </c>
      <c r="O75" s="94">
        <f>SUMIFS('caseload data'!Q:Q,'caseload data'!$D:$D,"TPO",'caseload data'!$C:$C,'divisional &amp; regional caseload'!$B$71)</f>
        <v>0</v>
      </c>
      <c r="P75" s="94">
        <f>SUMIFS('caseload data'!R:R,'caseload data'!$D:$D,"TPO",'caseload data'!$C:$C,'divisional &amp; regional caseload'!$B$71)</f>
        <v>0</v>
      </c>
      <c r="Q75" s="94">
        <f>SUMIFS('caseload data'!S:S,'caseload data'!$D:$D,"TPO",'caseload data'!$C:$C,'divisional &amp; regional caseload'!$B$71)</f>
        <v>0</v>
      </c>
      <c r="R75" s="94">
        <f>SUMIFS('caseload data'!T:T,'caseload data'!$D:$D,"TPO",'caseload data'!$C:$C,'divisional &amp; regional caseload'!$B$71)</f>
        <v>0</v>
      </c>
      <c r="T75" s="97" t="s">
        <v>1003</v>
      </c>
      <c r="U75" s="94">
        <f>SUMIFS('caseload data'!E:E,'caseload data'!$D:$D,"TPO",'caseload data'!$C:$C,'divisional &amp; regional caseload'!$T$71)</f>
        <v>0</v>
      </c>
      <c r="V75" s="94">
        <f>SUMIFS('caseload data'!F:F,'caseload data'!$D:$D,"TPO",'caseload data'!$C:$C,'divisional &amp; regional caseload'!$T$71)</f>
        <v>0</v>
      </c>
      <c r="W75" s="94">
        <f>SUMIFS('caseload data'!G:G,'caseload data'!$D:$D,"TPO",'caseload data'!$C:$C,'divisional &amp; regional caseload'!$T$71)</f>
        <v>0</v>
      </c>
      <c r="X75" s="94">
        <f>SUMIFS('caseload data'!H:H,'caseload data'!$D:$D,"TPO",'caseload data'!$C:$C,'divisional &amp; regional caseload'!$T$71)</f>
        <v>0</v>
      </c>
      <c r="Y75" s="94">
        <f>SUMIFS('caseload data'!I:I,'caseload data'!$D:$D,"TPO",'caseload data'!$C:$C,'divisional &amp; regional caseload'!$T$71)</f>
        <v>0</v>
      </c>
      <c r="Z75" s="94">
        <f>SUMIFS('caseload data'!J:J,'caseload data'!$D:$D,"TPO",'caseload data'!$C:$C,'divisional &amp; regional caseload'!$T$71)</f>
        <v>0</v>
      </c>
      <c r="AA75" s="94">
        <f>SUMIFS('caseload data'!K:K,'caseload data'!$D:$D,"TPO",'caseload data'!$C:$C,'divisional &amp; regional caseload'!$T$71)</f>
        <v>0</v>
      </c>
      <c r="AB75" s="94">
        <f>SUMIFS('caseload data'!L:L,'caseload data'!$D:$D,"TPO",'caseload data'!$C:$C,'divisional &amp; regional caseload'!$T$71)</f>
        <v>0</v>
      </c>
      <c r="AC75" s="94">
        <f>SUMIFS('caseload data'!M:M,'caseload data'!$D:$D,"TPO",'caseload data'!$C:$C,'divisional &amp; regional caseload'!$T$71)</f>
        <v>0</v>
      </c>
      <c r="AD75" s="94">
        <f>SUMIFS('caseload data'!N:N,'caseload data'!$D:$D,"TPO",'caseload data'!$C:$C,'divisional &amp; regional caseload'!$T$71)</f>
        <v>0</v>
      </c>
      <c r="AE75" s="94">
        <f>SUMIFS('caseload data'!O:O,'caseload data'!$D:$D,"TPO",'caseload data'!$C:$C,'divisional &amp; regional caseload'!$T$71)</f>
        <v>0</v>
      </c>
      <c r="AF75" s="94">
        <f>SUMIFS('caseload data'!P:P,'caseload data'!$D:$D,"TPO",'caseload data'!$C:$C,'divisional &amp; regional caseload'!$T$71)</f>
        <v>0</v>
      </c>
      <c r="AG75" s="94">
        <f>SUMIFS('caseload data'!Q:Q,'caseload data'!$D:$D,"TPO",'caseload data'!$C:$C,'divisional &amp; regional caseload'!$T$71)</f>
        <v>0</v>
      </c>
      <c r="AH75" s="94">
        <f>SUMIFS('caseload data'!R:R,'caseload data'!$D:$D,"TPO",'caseload data'!$C:$C,'divisional &amp; regional caseload'!$T$71)</f>
        <v>0</v>
      </c>
      <c r="AI75" s="94">
        <f>SUMIFS('caseload data'!S:S,'caseload data'!$D:$D,"TPO",'caseload data'!$C:$C,'divisional &amp; regional caseload'!$T$71)</f>
        <v>0</v>
      </c>
      <c r="AJ75" s="94">
        <f>SUMIFS('caseload data'!T:T,'caseload data'!$D:$D,"TPO",'caseload data'!$C:$C,'divisional &amp; regional caseload'!$T$71)</f>
        <v>0</v>
      </c>
    </row>
    <row r="76" spans="2:36" x14ac:dyDescent="0.15">
      <c r="B76" s="98" t="s">
        <v>1004</v>
      </c>
      <c r="C76" s="94">
        <f>SUMIFS('caseload data'!E:E,'caseload data'!$D:$D,"SPO",'caseload data'!$C:$C,'divisional &amp; regional caseload'!$B$71)</f>
        <v>0</v>
      </c>
      <c r="D76" s="94">
        <f>SUMIFS('caseload data'!F:F,'caseload data'!$D:$D,"SPO",'caseload data'!$C:$C,'divisional &amp; regional caseload'!$B$71)</f>
        <v>0</v>
      </c>
      <c r="E76" s="94">
        <f>SUMIFS('caseload data'!G:G,'caseload data'!$D:$D,"SPO",'caseload data'!$C:$C,'divisional &amp; regional caseload'!$B$71)</f>
        <v>0</v>
      </c>
      <c r="F76" s="94">
        <f>SUMIFS('caseload data'!H:H,'caseload data'!$D:$D,"SPO",'caseload data'!$C:$C,'divisional &amp; regional caseload'!$B$71)</f>
        <v>0</v>
      </c>
      <c r="G76" s="94">
        <f>SUMIFS('caseload data'!I:I,'caseload data'!$D:$D,"SPO",'caseload data'!$C:$C,'divisional &amp; regional caseload'!$B$71)</f>
        <v>0</v>
      </c>
      <c r="H76" s="94">
        <f>SUMIFS('caseload data'!J:J,'caseload data'!$D:$D,"SPO",'caseload data'!$C:$C,'divisional &amp; regional caseload'!$B$71)</f>
        <v>0</v>
      </c>
      <c r="I76" s="94">
        <f>SUMIFS('caseload data'!K:K,'caseload data'!$D:$D,"SPO",'caseload data'!$C:$C,'divisional &amp; regional caseload'!$B$71)</f>
        <v>0</v>
      </c>
      <c r="J76" s="94">
        <f>SUMIFS('caseload data'!L:L,'caseload data'!$D:$D,"SPO",'caseload data'!$C:$C,'divisional &amp; regional caseload'!$B$71)</f>
        <v>0</v>
      </c>
      <c r="K76" s="94">
        <f>SUMIFS('caseload data'!M:M,'caseload data'!$D:$D,"SPO",'caseload data'!$C:$C,'divisional &amp; regional caseload'!$B$71)</f>
        <v>0</v>
      </c>
      <c r="L76" s="94">
        <f>SUMIFS('caseload data'!N:N,'caseload data'!$D:$D,"SPO",'caseload data'!$C:$C,'divisional &amp; regional caseload'!$B$71)</f>
        <v>0</v>
      </c>
      <c r="M76" s="94">
        <f>SUMIFS('caseload data'!O:O,'caseload data'!$D:$D,"SPO",'caseload data'!$C:$C,'divisional &amp; regional caseload'!$B$71)</f>
        <v>0</v>
      </c>
      <c r="N76" s="94">
        <f>SUMIFS('caseload data'!P:P,'caseload data'!$D:$D,"SPO",'caseload data'!$C:$C,'divisional &amp; regional caseload'!$B$71)</f>
        <v>0</v>
      </c>
      <c r="O76" s="94">
        <f>SUMIFS('caseload data'!Q:Q,'caseload data'!$D:$D,"SPO",'caseload data'!$C:$C,'divisional &amp; regional caseload'!$B$71)</f>
        <v>0</v>
      </c>
      <c r="P76" s="94">
        <f>SUMIFS('caseload data'!R:R,'caseload data'!$D:$D,"SPO",'caseload data'!$C:$C,'divisional &amp; regional caseload'!$B$71)</f>
        <v>0</v>
      </c>
      <c r="Q76" s="94">
        <f>SUMIFS('caseload data'!S:S,'caseload data'!$D:$D,"SPO",'caseload data'!$C:$C,'divisional &amp; regional caseload'!$B$71)</f>
        <v>0</v>
      </c>
      <c r="R76" s="94">
        <f>SUMIFS('caseload data'!T:T,'caseload data'!$D:$D,"SPO",'caseload data'!$C:$C,'divisional &amp; regional caseload'!$B$71)</f>
        <v>0</v>
      </c>
      <c r="T76" s="98" t="s">
        <v>1004</v>
      </c>
      <c r="U76" s="94">
        <f>SUMIFS('caseload data'!E:E,'caseload data'!$D:$D,"SPO",'caseload data'!$C:$C,'divisional &amp; regional caseload'!$T$71)</f>
        <v>0</v>
      </c>
      <c r="V76" s="94">
        <f>SUMIFS('caseload data'!F:F,'caseload data'!$D:$D,"SPO",'caseload data'!$C:$C,'divisional &amp; regional caseload'!$T$71)</f>
        <v>0</v>
      </c>
      <c r="W76" s="94">
        <f>SUMIFS('caseload data'!G:G,'caseload data'!$D:$D,"SPO",'caseload data'!$C:$C,'divisional &amp; regional caseload'!$T$71)</f>
        <v>0</v>
      </c>
      <c r="X76" s="94">
        <f>SUMIFS('caseload data'!H:H,'caseload data'!$D:$D,"SPO",'caseload data'!$C:$C,'divisional &amp; regional caseload'!$T$71)</f>
        <v>0</v>
      </c>
      <c r="Y76" s="94">
        <f>SUMIFS('caseload data'!I:I,'caseload data'!$D:$D,"SPO",'caseload data'!$C:$C,'divisional &amp; regional caseload'!$T$71)</f>
        <v>0</v>
      </c>
      <c r="Z76" s="94">
        <f>SUMIFS('caseload data'!J:J,'caseload data'!$D:$D,"SPO",'caseload data'!$C:$C,'divisional &amp; regional caseload'!$T$71)</f>
        <v>0</v>
      </c>
      <c r="AA76" s="94">
        <f>SUMIFS('caseload data'!K:K,'caseload data'!$D:$D,"SPO",'caseload data'!$C:$C,'divisional &amp; regional caseload'!$T$71)</f>
        <v>0</v>
      </c>
      <c r="AB76" s="94">
        <f>SUMIFS('caseload data'!L:L,'caseload data'!$D:$D,"SPO",'caseload data'!$C:$C,'divisional &amp; regional caseload'!$T$71)</f>
        <v>0</v>
      </c>
      <c r="AC76" s="94">
        <f>SUMIFS('caseload data'!M:M,'caseload data'!$D:$D,"SPO",'caseload data'!$C:$C,'divisional &amp; regional caseload'!$T$71)</f>
        <v>0</v>
      </c>
      <c r="AD76" s="94">
        <f>SUMIFS('caseload data'!N:N,'caseload data'!$D:$D,"SPO",'caseload data'!$C:$C,'divisional &amp; regional caseload'!$T$71)</f>
        <v>0</v>
      </c>
      <c r="AE76" s="94">
        <f>SUMIFS('caseload data'!O:O,'caseload data'!$D:$D,"SPO",'caseload data'!$C:$C,'divisional &amp; regional caseload'!$T$71)</f>
        <v>0</v>
      </c>
      <c r="AF76" s="94">
        <f>SUMIFS('caseload data'!P:P,'caseload data'!$D:$D,"SPO",'caseload data'!$C:$C,'divisional &amp; regional caseload'!$T$71)</f>
        <v>0</v>
      </c>
      <c r="AG76" s="94">
        <f>SUMIFS('caseload data'!Q:Q,'caseload data'!$D:$D,"SPO",'caseload data'!$C:$C,'divisional &amp; regional caseload'!$T$71)</f>
        <v>0</v>
      </c>
      <c r="AH76" s="94">
        <f>SUMIFS('caseload data'!R:R,'caseload data'!$D:$D,"SPO",'caseload data'!$C:$C,'divisional &amp; regional caseload'!$T$71)</f>
        <v>0</v>
      </c>
      <c r="AI76" s="94">
        <f>SUMIFS('caseload data'!S:S,'caseload data'!$D:$D,"SPO",'caseload data'!$C:$C,'divisional &amp; regional caseload'!$T$71)</f>
        <v>0</v>
      </c>
      <c r="AJ76" s="94">
        <f>SUMIFS('caseload data'!T:T,'caseload data'!$D:$D,"SPO",'caseload data'!$C:$C,'divisional &amp; regional caseload'!$T$71)</f>
        <v>0</v>
      </c>
    </row>
    <row r="78" spans="2:36" ht="30" customHeight="1" x14ac:dyDescent="0.15">
      <c r="B78" s="289">
        <f>HLOOKUP($B$5,Region_Table,22,0)</f>
        <v>0</v>
      </c>
      <c r="C78" s="509" t="s">
        <v>1092</v>
      </c>
      <c r="D78" s="510"/>
      <c r="E78" s="510"/>
      <c r="F78" s="510"/>
      <c r="G78" s="510"/>
      <c r="H78" s="510"/>
      <c r="I78" s="510"/>
      <c r="J78" s="510"/>
      <c r="K78" s="510"/>
      <c r="L78" s="510"/>
      <c r="M78" s="520"/>
      <c r="N78" s="520"/>
      <c r="O78" s="521"/>
      <c r="P78" s="512">
        <f>SUMIF('caseload data'!$C:$C,'divisional &amp; regional caseload'!B78,'caseload data'!V:V)</f>
        <v>0</v>
      </c>
      <c r="Q78" s="513"/>
      <c r="R78" s="514"/>
      <c r="T78" s="289">
        <f>HLOOKUP($B$5,Region_Table,23,0)</f>
        <v>0</v>
      </c>
      <c r="U78" s="509" t="s">
        <v>1092</v>
      </c>
      <c r="V78" s="510"/>
      <c r="W78" s="510"/>
      <c r="X78" s="510"/>
      <c r="Y78" s="510"/>
      <c r="Z78" s="510"/>
      <c r="AA78" s="510"/>
      <c r="AB78" s="510"/>
      <c r="AC78" s="510"/>
      <c r="AD78" s="510"/>
      <c r="AE78" s="510"/>
      <c r="AF78" s="510"/>
      <c r="AG78" s="511"/>
      <c r="AH78" s="512">
        <f>SUMIF('caseload data'!$C:$C,'divisional &amp; regional caseload'!T78,'caseload data'!V:V)</f>
        <v>0</v>
      </c>
      <c r="AI78" s="515"/>
      <c r="AJ78" s="516"/>
    </row>
    <row r="79" spans="2:36" x14ac:dyDescent="0.15">
      <c r="B79" s="95" t="s">
        <v>1000</v>
      </c>
      <c r="C79" s="38" t="s">
        <v>864</v>
      </c>
      <c r="D79" s="38" t="s">
        <v>865</v>
      </c>
      <c r="E79" s="38" t="s">
        <v>866</v>
      </c>
      <c r="F79" s="38" t="s">
        <v>867</v>
      </c>
      <c r="G79" s="38" t="s">
        <v>868</v>
      </c>
      <c r="H79" s="38" t="s">
        <v>869</v>
      </c>
      <c r="I79" s="38" t="s">
        <v>870</v>
      </c>
      <c r="J79" s="38" t="s">
        <v>871</v>
      </c>
      <c r="K79" s="38" t="s">
        <v>872</v>
      </c>
      <c r="L79" s="38" t="s">
        <v>873</v>
      </c>
      <c r="M79" s="38" t="s">
        <v>874</v>
      </c>
      <c r="N79" s="38" t="s">
        <v>875</v>
      </c>
      <c r="O79" s="38" t="s">
        <v>876</v>
      </c>
      <c r="P79" s="38" t="s">
        <v>877</v>
      </c>
      <c r="Q79" s="38" t="s">
        <v>878</v>
      </c>
      <c r="R79" s="38" t="s">
        <v>879</v>
      </c>
      <c r="T79" s="95" t="s">
        <v>1000</v>
      </c>
      <c r="U79" s="38" t="s">
        <v>864</v>
      </c>
      <c r="V79" s="38" t="s">
        <v>865</v>
      </c>
      <c r="W79" s="38" t="s">
        <v>866</v>
      </c>
      <c r="X79" s="38" t="s">
        <v>867</v>
      </c>
      <c r="Y79" s="38" t="s">
        <v>868</v>
      </c>
      <c r="Z79" s="38" t="s">
        <v>869</v>
      </c>
      <c r="AA79" s="38" t="s">
        <v>870</v>
      </c>
      <c r="AB79" s="38" t="s">
        <v>871</v>
      </c>
      <c r="AC79" s="38" t="s">
        <v>872</v>
      </c>
      <c r="AD79" s="38" t="s">
        <v>873</v>
      </c>
      <c r="AE79" s="38" t="s">
        <v>874</v>
      </c>
      <c r="AF79" s="38" t="s">
        <v>875</v>
      </c>
      <c r="AG79" s="38" t="s">
        <v>876</v>
      </c>
      <c r="AH79" s="38" t="s">
        <v>877</v>
      </c>
      <c r="AI79" s="38" t="s">
        <v>878</v>
      </c>
      <c r="AJ79" s="38" t="s">
        <v>879</v>
      </c>
    </row>
    <row r="80" spans="2:36" x14ac:dyDescent="0.15">
      <c r="B80" s="96" t="s">
        <v>997</v>
      </c>
      <c r="C80" s="94">
        <f>SUMIFS('caseload data'!E:E,'caseload data'!$D:$D,"PO",'caseload data'!$C:$C,'divisional &amp; regional caseload'!$B$78)</f>
        <v>0</v>
      </c>
      <c r="D80" s="94">
        <f>SUMIFS('caseload data'!F:F,'caseload data'!$D:$D,"PO",'caseload data'!$C:$C,'divisional &amp; regional caseload'!$B$78)</f>
        <v>0</v>
      </c>
      <c r="E80" s="94">
        <f>SUMIFS('caseload data'!G:G,'caseload data'!$D:$D,"PO",'caseload data'!$C:$C,'divisional &amp; regional caseload'!$B$78)</f>
        <v>0</v>
      </c>
      <c r="F80" s="94">
        <f>SUMIFS('caseload data'!H:H,'caseload data'!$D:$D,"PO",'caseload data'!$C:$C,'divisional &amp; regional caseload'!$B$78)</f>
        <v>0</v>
      </c>
      <c r="G80" s="94">
        <f>SUMIFS('caseload data'!I:I,'caseload data'!$D:$D,"PO",'caseload data'!$C:$C,'divisional &amp; regional caseload'!$B$78)</f>
        <v>0</v>
      </c>
      <c r="H80" s="94">
        <f>SUMIFS('caseload data'!J:J,'caseload data'!$D:$D,"PO",'caseload data'!$C:$C,'divisional &amp; regional caseload'!$B$78)</f>
        <v>0</v>
      </c>
      <c r="I80" s="94">
        <f>SUMIFS('caseload data'!K:K,'caseload data'!$D:$D,"PO",'caseload data'!$C:$C,'divisional &amp; regional caseload'!$B$78)</f>
        <v>0</v>
      </c>
      <c r="J80" s="94">
        <f>SUMIFS('caseload data'!L:L,'caseload data'!$D:$D,"PO",'caseload data'!$C:$C,'divisional &amp; regional caseload'!$B$78)</f>
        <v>0</v>
      </c>
      <c r="K80" s="94">
        <f>SUMIFS('caseload data'!M:M,'caseload data'!$D:$D,"PO",'caseload data'!$C:$C,'divisional &amp; regional caseload'!$B$78)</f>
        <v>0</v>
      </c>
      <c r="L80" s="94">
        <f>SUMIFS('caseload data'!N:N,'caseload data'!$D:$D,"PO",'caseload data'!$C:$C,'divisional &amp; regional caseload'!$B$78)</f>
        <v>0</v>
      </c>
      <c r="M80" s="94">
        <f>SUMIFS('caseload data'!O:O,'caseload data'!$D:$D,"PO",'caseload data'!$C:$C,'divisional &amp; regional caseload'!$B$78)</f>
        <v>0</v>
      </c>
      <c r="N80" s="94">
        <f>SUMIFS('caseload data'!P:P,'caseload data'!$D:$D,"PO",'caseload data'!$C:$C,'divisional &amp; regional caseload'!$B$78)</f>
        <v>0</v>
      </c>
      <c r="O80" s="94">
        <f>SUMIFS('caseload data'!Q:Q,'caseload data'!$D:$D,"PO",'caseload data'!$C:$C,'divisional &amp; regional caseload'!$B$78)</f>
        <v>0</v>
      </c>
      <c r="P80" s="94">
        <f>SUMIFS('caseload data'!R:R,'caseload data'!$D:$D,"PO",'caseload data'!$C:$C,'divisional &amp; regional caseload'!$B$78)</f>
        <v>0</v>
      </c>
      <c r="Q80" s="94">
        <f>SUMIFS('caseload data'!S:S,'caseload data'!$D:$D,"PO",'caseload data'!$C:$C,'divisional &amp; regional caseload'!$B$78)</f>
        <v>0</v>
      </c>
      <c r="R80" s="94">
        <f>SUMIFS('caseload data'!T:T,'caseload data'!$D:$D,"PO",'caseload data'!$C:$C,'divisional &amp; regional caseload'!$B$78)</f>
        <v>0</v>
      </c>
      <c r="T80" s="96" t="s">
        <v>997</v>
      </c>
      <c r="U80" s="94">
        <f>SUMIFS('caseload data'!E:E,'caseload data'!$D:$D,"PO",'caseload data'!$C:$C,'divisional &amp; regional caseload'!$T$64)</f>
        <v>0</v>
      </c>
      <c r="V80" s="94">
        <f>SUMIFS('caseload data'!F:F,'caseload data'!$D:$D,"PO",'caseload data'!$C:$C,'divisional &amp; regional caseload'!$T$64)</f>
        <v>0</v>
      </c>
      <c r="W80" s="94">
        <f>SUMIFS('caseload data'!G:G,'caseload data'!$D:$D,"PO",'caseload data'!$C:$C,'divisional &amp; regional caseload'!$T$64)</f>
        <v>0</v>
      </c>
      <c r="X80" s="94">
        <f>SUMIFS('caseload data'!H:H,'caseload data'!$D:$D,"PO",'caseload data'!$C:$C,'divisional &amp; regional caseload'!$T$64)</f>
        <v>0</v>
      </c>
      <c r="Y80" s="94">
        <f>SUMIFS('caseload data'!I:I,'caseload data'!$D:$D,"PO",'caseload data'!$C:$C,'divisional &amp; regional caseload'!$T$64)</f>
        <v>0</v>
      </c>
      <c r="Z80" s="94">
        <f>SUMIFS('caseload data'!J:J,'caseload data'!$D:$D,"PO",'caseload data'!$C:$C,'divisional &amp; regional caseload'!$T$64)</f>
        <v>0</v>
      </c>
      <c r="AA80" s="94">
        <f>SUMIFS('caseload data'!K:K,'caseload data'!$D:$D,"PO",'caseload data'!$C:$C,'divisional &amp; regional caseload'!$T$64)</f>
        <v>0</v>
      </c>
      <c r="AB80" s="94">
        <f>SUMIFS('caseload data'!L:L,'caseload data'!$D:$D,"PO",'caseload data'!$C:$C,'divisional &amp; regional caseload'!$T$64)</f>
        <v>0</v>
      </c>
      <c r="AC80" s="94">
        <f>SUMIFS('caseload data'!M:M,'caseload data'!$D:$D,"PO",'caseload data'!$C:$C,'divisional &amp; regional caseload'!$T$64)</f>
        <v>0</v>
      </c>
      <c r="AD80" s="94">
        <f>SUMIFS('caseload data'!N:N,'caseload data'!$D:$D,"PO",'caseload data'!$C:$C,'divisional &amp; regional caseload'!$T$64)</f>
        <v>0</v>
      </c>
      <c r="AE80" s="94">
        <f>SUMIFS('caseload data'!O:O,'caseload data'!$D:$D,"PO",'caseload data'!$C:$C,'divisional &amp; regional caseload'!$T$64)</f>
        <v>0</v>
      </c>
      <c r="AF80" s="94">
        <f>SUMIFS('caseload data'!P:P,'caseload data'!$D:$D,"PO",'caseload data'!$C:$C,'divisional &amp; regional caseload'!$T$64)</f>
        <v>0</v>
      </c>
      <c r="AG80" s="94">
        <f>SUMIFS('caseload data'!Q:Q,'caseload data'!$D:$D,"PO",'caseload data'!$C:$C,'divisional &amp; regional caseload'!$T$64)</f>
        <v>0</v>
      </c>
      <c r="AH80" s="94">
        <f>SUMIFS('caseload data'!R:R,'caseload data'!$D:$D,"PO",'caseload data'!$C:$C,'divisional &amp; regional caseload'!$T$64)</f>
        <v>0</v>
      </c>
      <c r="AI80" s="94">
        <f>SUMIFS('caseload data'!S:S,'caseload data'!$D:$D,"PO",'caseload data'!$C:$C,'divisional &amp; regional caseload'!$T$64)</f>
        <v>0</v>
      </c>
      <c r="AJ80" s="94">
        <f>SUMIFS('caseload data'!T:T,'caseload data'!$D:$D,"PO",'caseload data'!$C:$C,'divisional &amp; regional caseload'!$T$64)</f>
        <v>0</v>
      </c>
    </row>
    <row r="81" spans="2:36" x14ac:dyDescent="0.15">
      <c r="B81" s="97" t="s">
        <v>1002</v>
      </c>
      <c r="C81" s="94">
        <f>SUMIFS('caseload data'!E:E,'caseload data'!$D:$D,"PSO",'caseload data'!$C:$C,'divisional &amp; regional caseload'!$B$78)</f>
        <v>0</v>
      </c>
      <c r="D81" s="94">
        <f>SUMIFS('caseload data'!F:F,'caseload data'!$D:$D,"PSO",'caseload data'!$C:$C,'divisional &amp; regional caseload'!$B$78)</f>
        <v>0</v>
      </c>
      <c r="E81" s="94">
        <f>SUMIFS('caseload data'!G:G,'caseload data'!$D:$D,"PSO",'caseload data'!$C:$C,'divisional &amp; regional caseload'!$B$78)</f>
        <v>0</v>
      </c>
      <c r="F81" s="94">
        <f>SUMIFS('caseload data'!H:H,'caseload data'!$D:$D,"PSO",'caseload data'!$C:$C,'divisional &amp; regional caseload'!$B$78)</f>
        <v>0</v>
      </c>
      <c r="G81" s="94">
        <f>SUMIFS('caseload data'!I:I,'caseload data'!$D:$D,"PSO",'caseload data'!$C:$C,'divisional &amp; regional caseload'!$B$78)</f>
        <v>0</v>
      </c>
      <c r="H81" s="94">
        <f>SUMIFS('caseload data'!J:J,'caseload data'!$D:$D,"PSO",'caseload data'!$C:$C,'divisional &amp; regional caseload'!$B$78)</f>
        <v>0</v>
      </c>
      <c r="I81" s="94">
        <f>SUMIFS('caseload data'!K:K,'caseload data'!$D:$D,"PSO",'caseload data'!$C:$C,'divisional &amp; regional caseload'!$B$78)</f>
        <v>0</v>
      </c>
      <c r="J81" s="94">
        <f>SUMIFS('caseload data'!L:L,'caseload data'!$D:$D,"PSO",'caseload data'!$C:$C,'divisional &amp; regional caseload'!$B$78)</f>
        <v>0</v>
      </c>
      <c r="K81" s="94">
        <f>SUMIFS('caseload data'!M:M,'caseload data'!$D:$D,"PSO",'caseload data'!$C:$C,'divisional &amp; regional caseload'!$B$78)</f>
        <v>0</v>
      </c>
      <c r="L81" s="94">
        <f>SUMIFS('caseload data'!N:N,'caseload data'!$D:$D,"PSO",'caseload data'!$C:$C,'divisional &amp; regional caseload'!$B$78)</f>
        <v>0</v>
      </c>
      <c r="M81" s="94">
        <f>SUMIFS('caseload data'!O:O,'caseload data'!$D:$D,"PSO",'caseload data'!$C:$C,'divisional &amp; regional caseload'!$B$78)</f>
        <v>0</v>
      </c>
      <c r="N81" s="94">
        <f>SUMIFS('caseload data'!P:P,'caseload data'!$D:$D,"PSO",'caseload data'!$C:$C,'divisional &amp; regional caseload'!$B$78)</f>
        <v>0</v>
      </c>
      <c r="O81" s="94">
        <f>SUMIFS('caseload data'!Q:Q,'caseload data'!$D:$D,"PSO",'caseload data'!$C:$C,'divisional &amp; regional caseload'!$B$78)</f>
        <v>0</v>
      </c>
      <c r="P81" s="94">
        <f>SUMIFS('caseload data'!R:R,'caseload data'!$D:$D,"PSO",'caseload data'!$C:$C,'divisional &amp; regional caseload'!$B$78)</f>
        <v>0</v>
      </c>
      <c r="Q81" s="94">
        <f>SUMIFS('caseload data'!S:S,'caseload data'!$D:$D,"PSO",'caseload data'!$C:$C,'divisional &amp; regional caseload'!$B$78)</f>
        <v>0</v>
      </c>
      <c r="R81" s="94">
        <f>SUMIFS('caseload data'!T:T,'caseload data'!$D:$D,"PSO",'caseload data'!$C:$C,'divisional &amp; regional caseload'!$B$78)</f>
        <v>0</v>
      </c>
      <c r="T81" s="97" t="s">
        <v>1002</v>
      </c>
      <c r="U81" s="94">
        <f>SUMIFS('caseload data'!E:E,'caseload data'!$D:$D,"PSO",'caseload data'!$C:$C,'divisional &amp; regional caseload'!$T$64)</f>
        <v>0</v>
      </c>
      <c r="V81" s="94">
        <f>SUMIFS('caseload data'!F:F,'caseload data'!$D:$D,"PSO",'caseload data'!$C:$C,'divisional &amp; regional caseload'!$T$64)</f>
        <v>0</v>
      </c>
      <c r="W81" s="94">
        <f>SUMIFS('caseload data'!G:G,'caseload data'!$D:$D,"PSO",'caseload data'!$C:$C,'divisional &amp; regional caseload'!$T$64)</f>
        <v>0</v>
      </c>
      <c r="X81" s="94">
        <f>SUMIFS('caseload data'!H:H,'caseload data'!$D:$D,"PSO",'caseload data'!$C:$C,'divisional &amp; regional caseload'!$T$64)</f>
        <v>0</v>
      </c>
      <c r="Y81" s="94">
        <f>SUMIFS('caseload data'!I:I,'caseload data'!$D:$D,"PSO",'caseload data'!$C:$C,'divisional &amp; regional caseload'!$T$64)</f>
        <v>0</v>
      </c>
      <c r="Z81" s="94">
        <f>SUMIFS('caseload data'!J:J,'caseload data'!$D:$D,"PSO",'caseload data'!$C:$C,'divisional &amp; regional caseload'!$T$64)</f>
        <v>0</v>
      </c>
      <c r="AA81" s="94">
        <f>SUMIFS('caseload data'!K:K,'caseload data'!$D:$D,"PSO",'caseload data'!$C:$C,'divisional &amp; regional caseload'!$T$64)</f>
        <v>0</v>
      </c>
      <c r="AB81" s="94">
        <f>SUMIFS('caseload data'!L:L,'caseload data'!$D:$D,"PSO",'caseload data'!$C:$C,'divisional &amp; regional caseload'!$T$64)</f>
        <v>0</v>
      </c>
      <c r="AC81" s="94">
        <f>SUMIFS('caseload data'!M:M,'caseload data'!$D:$D,"PSO",'caseload data'!$C:$C,'divisional &amp; regional caseload'!$T$64)</f>
        <v>0</v>
      </c>
      <c r="AD81" s="94">
        <f>SUMIFS('caseload data'!N:N,'caseload data'!$D:$D,"PSO",'caseload data'!$C:$C,'divisional &amp; regional caseload'!$T$64)</f>
        <v>0</v>
      </c>
      <c r="AE81" s="94">
        <f>SUMIFS('caseload data'!O:O,'caseload data'!$D:$D,"PSO",'caseload data'!$C:$C,'divisional &amp; regional caseload'!$T$64)</f>
        <v>0</v>
      </c>
      <c r="AF81" s="94">
        <f>SUMIFS('caseload data'!P:P,'caseload data'!$D:$D,"PSO",'caseload data'!$C:$C,'divisional &amp; regional caseload'!$T$64)</f>
        <v>0</v>
      </c>
      <c r="AG81" s="94">
        <f>SUMIFS('caseload data'!Q:Q,'caseload data'!$D:$D,"PSO",'caseload data'!$C:$C,'divisional &amp; regional caseload'!$T$64)</f>
        <v>0</v>
      </c>
      <c r="AH81" s="94">
        <f>SUMIFS('caseload data'!R:R,'caseload data'!$D:$D,"PSO",'caseload data'!$C:$C,'divisional &amp; regional caseload'!$T$64)</f>
        <v>0</v>
      </c>
      <c r="AI81" s="94">
        <f>SUMIFS('caseload data'!S:S,'caseload data'!$D:$D,"PSO",'caseload data'!$C:$C,'divisional &amp; regional caseload'!$T$64)</f>
        <v>0</v>
      </c>
      <c r="AJ81" s="94">
        <f>SUMIFS('caseload data'!T:T,'caseload data'!$D:$D,"PSO",'caseload data'!$C:$C,'divisional &amp; regional caseload'!$T$64)</f>
        <v>0</v>
      </c>
    </row>
    <row r="82" spans="2:36" x14ac:dyDescent="0.15">
      <c r="B82" s="97" t="s">
        <v>1003</v>
      </c>
      <c r="C82" s="94">
        <f>SUMIFS('caseload data'!E:E,'caseload data'!$D:$D,"TPO",'caseload data'!$C:$C,'divisional &amp; regional caseload'!$B$78)</f>
        <v>0</v>
      </c>
      <c r="D82" s="94">
        <f>SUMIFS('caseload data'!F:F,'caseload data'!$D:$D,"TPO",'caseload data'!$C:$C,'divisional &amp; regional caseload'!$B$78)</f>
        <v>0</v>
      </c>
      <c r="E82" s="94">
        <f>SUMIFS('caseload data'!G:G,'caseload data'!$D:$D,"TPO",'caseload data'!$C:$C,'divisional &amp; regional caseload'!$B$78)</f>
        <v>0</v>
      </c>
      <c r="F82" s="94">
        <f>SUMIFS('caseload data'!H:H,'caseload data'!$D:$D,"TPO",'caseload data'!$C:$C,'divisional &amp; regional caseload'!$B$78)</f>
        <v>0</v>
      </c>
      <c r="G82" s="94">
        <f>SUMIFS('caseload data'!I:I,'caseload data'!$D:$D,"TPO",'caseload data'!$C:$C,'divisional &amp; regional caseload'!$B$78)</f>
        <v>0</v>
      </c>
      <c r="H82" s="94">
        <f>SUMIFS('caseload data'!J:J,'caseload data'!$D:$D,"TPO",'caseload data'!$C:$C,'divisional &amp; regional caseload'!$B$78)</f>
        <v>0</v>
      </c>
      <c r="I82" s="94">
        <f>SUMIFS('caseload data'!K:K,'caseload data'!$D:$D,"TPO",'caseload data'!$C:$C,'divisional &amp; regional caseload'!$B$78)</f>
        <v>0</v>
      </c>
      <c r="J82" s="94">
        <f>SUMIFS('caseload data'!L:L,'caseload data'!$D:$D,"TPO",'caseload data'!$C:$C,'divisional &amp; regional caseload'!$B$78)</f>
        <v>0</v>
      </c>
      <c r="K82" s="94">
        <f>SUMIFS('caseload data'!M:M,'caseload data'!$D:$D,"TPO",'caseload data'!$C:$C,'divisional &amp; regional caseload'!$B$78)</f>
        <v>0</v>
      </c>
      <c r="L82" s="94">
        <f>SUMIFS('caseload data'!N:N,'caseload data'!$D:$D,"TPO",'caseload data'!$C:$C,'divisional &amp; regional caseload'!$B$78)</f>
        <v>0</v>
      </c>
      <c r="M82" s="94">
        <f>SUMIFS('caseload data'!O:O,'caseload data'!$D:$D,"TPO",'caseload data'!$C:$C,'divisional &amp; regional caseload'!$B$78)</f>
        <v>0</v>
      </c>
      <c r="N82" s="94">
        <f>SUMIFS('caseload data'!P:P,'caseload data'!$D:$D,"TPO",'caseload data'!$C:$C,'divisional &amp; regional caseload'!$B$78)</f>
        <v>0</v>
      </c>
      <c r="O82" s="94">
        <f>SUMIFS('caseload data'!Q:Q,'caseload data'!$D:$D,"TPO",'caseload data'!$C:$C,'divisional &amp; regional caseload'!$B$78)</f>
        <v>0</v>
      </c>
      <c r="P82" s="94">
        <f>SUMIFS('caseload data'!R:R,'caseload data'!$D:$D,"TPO",'caseload data'!$C:$C,'divisional &amp; regional caseload'!$B$78)</f>
        <v>0</v>
      </c>
      <c r="Q82" s="94">
        <f>SUMIFS('caseload data'!S:S,'caseload data'!$D:$D,"TPO",'caseload data'!$C:$C,'divisional &amp; regional caseload'!$B$78)</f>
        <v>0</v>
      </c>
      <c r="R82" s="94">
        <f>SUMIFS('caseload data'!T:T,'caseload data'!$D:$D,"TPO",'caseload data'!$C:$C,'divisional &amp; regional caseload'!$B$78)</f>
        <v>0</v>
      </c>
      <c r="T82" s="97" t="s">
        <v>1003</v>
      </c>
      <c r="U82" s="94">
        <f>SUMIFS('caseload data'!E:E,'caseload data'!$D:$D,"TPO",'caseload data'!$C:$C,'divisional &amp; regional caseload'!$T$64)</f>
        <v>0</v>
      </c>
      <c r="V82" s="94">
        <f>SUMIFS('caseload data'!F:F,'caseload data'!$D:$D,"TPO",'caseload data'!$C:$C,'divisional &amp; regional caseload'!$T$64)</f>
        <v>0</v>
      </c>
      <c r="W82" s="94">
        <f>SUMIFS('caseload data'!G:G,'caseload data'!$D:$D,"TPO",'caseload data'!$C:$C,'divisional &amp; regional caseload'!$T$64)</f>
        <v>0</v>
      </c>
      <c r="X82" s="94">
        <f>SUMIFS('caseload data'!H:H,'caseload data'!$D:$D,"TPO",'caseload data'!$C:$C,'divisional &amp; regional caseload'!$T$64)</f>
        <v>0</v>
      </c>
      <c r="Y82" s="94">
        <f>SUMIFS('caseload data'!I:I,'caseload data'!$D:$D,"TPO",'caseload data'!$C:$C,'divisional &amp; regional caseload'!$T$64)</f>
        <v>0</v>
      </c>
      <c r="Z82" s="94">
        <f>SUMIFS('caseload data'!J:J,'caseload data'!$D:$D,"TPO",'caseload data'!$C:$C,'divisional &amp; regional caseload'!$T$64)</f>
        <v>0</v>
      </c>
      <c r="AA82" s="94">
        <f>SUMIFS('caseload data'!K:K,'caseload data'!$D:$D,"TPO",'caseload data'!$C:$C,'divisional &amp; regional caseload'!$T$64)</f>
        <v>0</v>
      </c>
      <c r="AB82" s="94">
        <f>SUMIFS('caseload data'!L:L,'caseload data'!$D:$D,"TPO",'caseload data'!$C:$C,'divisional &amp; regional caseload'!$T$64)</f>
        <v>0</v>
      </c>
      <c r="AC82" s="94">
        <f>SUMIFS('caseload data'!M:M,'caseload data'!$D:$D,"TPO",'caseload data'!$C:$C,'divisional &amp; regional caseload'!$T$64)</f>
        <v>0</v>
      </c>
      <c r="AD82" s="94">
        <f>SUMIFS('caseload data'!N:N,'caseload data'!$D:$D,"TPO",'caseload data'!$C:$C,'divisional &amp; regional caseload'!$T$64)</f>
        <v>0</v>
      </c>
      <c r="AE82" s="94">
        <f>SUMIFS('caseload data'!O:O,'caseload data'!$D:$D,"TPO",'caseload data'!$C:$C,'divisional &amp; regional caseload'!$T$64)</f>
        <v>0</v>
      </c>
      <c r="AF82" s="94">
        <f>SUMIFS('caseload data'!P:P,'caseload data'!$D:$D,"TPO",'caseload data'!$C:$C,'divisional &amp; regional caseload'!$T$64)</f>
        <v>0</v>
      </c>
      <c r="AG82" s="94">
        <f>SUMIFS('caseload data'!Q:Q,'caseload data'!$D:$D,"TPO",'caseload data'!$C:$C,'divisional &amp; regional caseload'!$T$64)</f>
        <v>0</v>
      </c>
      <c r="AH82" s="94">
        <f>SUMIFS('caseload data'!R:R,'caseload data'!$D:$D,"TPO",'caseload data'!$C:$C,'divisional &amp; regional caseload'!$T$64)</f>
        <v>0</v>
      </c>
      <c r="AI82" s="94">
        <f>SUMIFS('caseload data'!S:S,'caseload data'!$D:$D,"TPO",'caseload data'!$C:$C,'divisional &amp; regional caseload'!$T$64)</f>
        <v>0</v>
      </c>
      <c r="AJ82" s="94">
        <f>SUMIFS('caseload data'!T:T,'caseload data'!$D:$D,"TPO",'caseload data'!$C:$C,'divisional &amp; regional caseload'!$T$64)</f>
        <v>0</v>
      </c>
    </row>
    <row r="83" spans="2:36" x14ac:dyDescent="0.15">
      <c r="B83" s="98" t="s">
        <v>1004</v>
      </c>
      <c r="C83" s="94">
        <f>SUMIFS('caseload data'!E:E,'caseload data'!$D:$D,"SPO",'caseload data'!$C:$C,'divisional &amp; regional caseload'!$B$78)</f>
        <v>0</v>
      </c>
      <c r="D83" s="94">
        <f>SUMIFS('caseload data'!F:F,'caseload data'!$D:$D,"SPO",'caseload data'!$C:$C,'divisional &amp; regional caseload'!$B$78)</f>
        <v>0</v>
      </c>
      <c r="E83" s="94">
        <f>SUMIFS('caseload data'!G:G,'caseload data'!$D:$D,"SPO",'caseload data'!$C:$C,'divisional &amp; regional caseload'!$B$78)</f>
        <v>0</v>
      </c>
      <c r="F83" s="94">
        <f>SUMIFS('caseload data'!H:H,'caseload data'!$D:$D,"SPO",'caseload data'!$C:$C,'divisional &amp; regional caseload'!$B$78)</f>
        <v>0</v>
      </c>
      <c r="G83" s="94">
        <f>SUMIFS('caseload data'!I:I,'caseload data'!$D:$D,"SPO",'caseload data'!$C:$C,'divisional &amp; regional caseload'!$B$78)</f>
        <v>0</v>
      </c>
      <c r="H83" s="94">
        <f>SUMIFS('caseload data'!J:J,'caseload data'!$D:$D,"SPO",'caseload data'!$C:$C,'divisional &amp; regional caseload'!$B$78)</f>
        <v>0</v>
      </c>
      <c r="I83" s="94">
        <f>SUMIFS('caseload data'!K:K,'caseload data'!$D:$D,"SPO",'caseload data'!$C:$C,'divisional &amp; regional caseload'!$B$78)</f>
        <v>0</v>
      </c>
      <c r="J83" s="94">
        <f>SUMIFS('caseload data'!L:L,'caseload data'!$D:$D,"SPO",'caseload data'!$C:$C,'divisional &amp; regional caseload'!$B$78)</f>
        <v>0</v>
      </c>
      <c r="K83" s="94">
        <f>SUMIFS('caseload data'!M:M,'caseload data'!$D:$D,"SPO",'caseload data'!$C:$C,'divisional &amp; regional caseload'!$B$78)</f>
        <v>0</v>
      </c>
      <c r="L83" s="94">
        <f>SUMIFS('caseload data'!N:N,'caseload data'!$D:$D,"SPO",'caseload data'!$C:$C,'divisional &amp; regional caseload'!$B$78)</f>
        <v>0</v>
      </c>
      <c r="M83" s="94">
        <f>SUMIFS('caseload data'!O:O,'caseload data'!$D:$D,"SPO",'caseload data'!$C:$C,'divisional &amp; regional caseload'!$B$78)</f>
        <v>0</v>
      </c>
      <c r="N83" s="94">
        <f>SUMIFS('caseload data'!P:P,'caseload data'!$D:$D,"SPO",'caseload data'!$C:$C,'divisional &amp; regional caseload'!$B$78)</f>
        <v>0</v>
      </c>
      <c r="O83" s="94">
        <f>SUMIFS('caseload data'!Q:Q,'caseload data'!$D:$D,"SPO",'caseload data'!$C:$C,'divisional &amp; regional caseload'!$B$78)</f>
        <v>0</v>
      </c>
      <c r="P83" s="94">
        <f>SUMIFS('caseload data'!R:R,'caseload data'!$D:$D,"SPO",'caseload data'!$C:$C,'divisional &amp; regional caseload'!$B$78)</f>
        <v>0</v>
      </c>
      <c r="Q83" s="94">
        <f>SUMIFS('caseload data'!S:S,'caseload data'!$D:$D,"SPO",'caseload data'!$C:$C,'divisional &amp; regional caseload'!$B$78)</f>
        <v>0</v>
      </c>
      <c r="R83" s="94">
        <f>SUMIFS('caseload data'!T:T,'caseload data'!$D:$D,"SPO",'caseload data'!$C:$C,'divisional &amp; regional caseload'!$B$78)</f>
        <v>0</v>
      </c>
      <c r="T83" s="98" t="s">
        <v>1004</v>
      </c>
      <c r="U83" s="94">
        <f>SUMIFS('caseload data'!E:E,'caseload data'!$D:$D,"SPO",'caseload data'!$C:$C,'divisional &amp; regional caseload'!$T$64)</f>
        <v>0</v>
      </c>
      <c r="V83" s="94">
        <f>SUMIFS('caseload data'!F:F,'caseload data'!$D:$D,"SPO",'caseload data'!$C:$C,'divisional &amp; regional caseload'!$T$64)</f>
        <v>0</v>
      </c>
      <c r="W83" s="94">
        <f>SUMIFS('caseload data'!G:G,'caseload data'!$D:$D,"SPO",'caseload data'!$C:$C,'divisional &amp; regional caseload'!$T$64)</f>
        <v>0</v>
      </c>
      <c r="X83" s="94">
        <f>SUMIFS('caseload data'!H:H,'caseload data'!$D:$D,"SPO",'caseload data'!$C:$C,'divisional &amp; regional caseload'!$T$64)</f>
        <v>0</v>
      </c>
      <c r="Y83" s="94">
        <f>SUMIFS('caseload data'!I:I,'caseload data'!$D:$D,"SPO",'caseload data'!$C:$C,'divisional &amp; regional caseload'!$T$64)</f>
        <v>0</v>
      </c>
      <c r="Z83" s="94">
        <f>SUMIFS('caseload data'!J:J,'caseload data'!$D:$D,"SPO",'caseload data'!$C:$C,'divisional &amp; regional caseload'!$T$64)</f>
        <v>0</v>
      </c>
      <c r="AA83" s="94">
        <f>SUMIFS('caseload data'!K:K,'caseload data'!$D:$D,"SPO",'caseload data'!$C:$C,'divisional &amp; regional caseload'!$T$64)</f>
        <v>0</v>
      </c>
      <c r="AB83" s="94">
        <f>SUMIFS('caseload data'!L:L,'caseload data'!$D:$D,"SPO",'caseload data'!$C:$C,'divisional &amp; regional caseload'!$T$64)</f>
        <v>0</v>
      </c>
      <c r="AC83" s="94">
        <f>SUMIFS('caseload data'!M:M,'caseload data'!$D:$D,"SPO",'caseload data'!$C:$C,'divisional &amp; regional caseload'!$T$64)</f>
        <v>0</v>
      </c>
      <c r="AD83" s="94">
        <f>SUMIFS('caseload data'!N:N,'caseload data'!$D:$D,"SPO",'caseload data'!$C:$C,'divisional &amp; regional caseload'!$T$64)</f>
        <v>0</v>
      </c>
      <c r="AE83" s="94">
        <f>SUMIFS('caseload data'!O:O,'caseload data'!$D:$D,"SPO",'caseload data'!$C:$C,'divisional &amp; regional caseload'!$T$64)</f>
        <v>0</v>
      </c>
      <c r="AF83" s="94">
        <f>SUMIFS('caseload data'!P:P,'caseload data'!$D:$D,"SPO",'caseload data'!$C:$C,'divisional &amp; regional caseload'!$T$64)</f>
        <v>0</v>
      </c>
      <c r="AG83" s="94">
        <f>SUMIFS('caseload data'!Q:Q,'caseload data'!$D:$D,"SPO",'caseload data'!$C:$C,'divisional &amp; regional caseload'!$T$64)</f>
        <v>0</v>
      </c>
      <c r="AH83" s="94">
        <f>SUMIFS('caseload data'!R:R,'caseload data'!$D:$D,"SPO",'caseload data'!$C:$C,'divisional &amp; regional caseload'!$T$64)</f>
        <v>0</v>
      </c>
      <c r="AI83" s="94">
        <f>SUMIFS('caseload data'!S:S,'caseload data'!$D:$D,"SPO",'caseload data'!$C:$C,'divisional &amp; regional caseload'!$T$64)</f>
        <v>0</v>
      </c>
      <c r="AJ83" s="94">
        <f>SUMIFS('caseload data'!T:T,'caseload data'!$D:$D,"SPO",'caseload data'!$C:$C,'divisional &amp; regional caseload'!$T$64)</f>
        <v>0</v>
      </c>
    </row>
    <row r="85" spans="2:36" ht="40.5" customHeight="1" x14ac:dyDescent="0.15">
      <c r="B85" s="289">
        <f>HLOOKUP($B$5,Region_Table,24,0)</f>
        <v>0</v>
      </c>
      <c r="C85" s="509" t="s">
        <v>1092</v>
      </c>
      <c r="D85" s="510"/>
      <c r="E85" s="510"/>
      <c r="F85" s="510"/>
      <c r="G85" s="510"/>
      <c r="H85" s="510"/>
      <c r="I85" s="510"/>
      <c r="J85" s="510"/>
      <c r="K85" s="510"/>
      <c r="L85" s="510"/>
      <c r="M85" s="520"/>
      <c r="N85" s="520"/>
      <c r="O85" s="521"/>
      <c r="P85" s="512">
        <f>SUMIF('caseload data'!$C:$C,'divisional &amp; regional caseload'!B85,'caseload data'!V:V)</f>
        <v>0</v>
      </c>
      <c r="Q85" s="513"/>
      <c r="R85" s="514"/>
      <c r="T85" s="289">
        <f>HLOOKUP($B$5,Region_Table,25,0)</f>
        <v>0</v>
      </c>
      <c r="U85" s="509" t="s">
        <v>1092</v>
      </c>
      <c r="V85" s="510"/>
      <c r="W85" s="510"/>
      <c r="X85" s="510"/>
      <c r="Y85" s="510"/>
      <c r="Z85" s="510"/>
      <c r="AA85" s="510"/>
      <c r="AB85" s="510"/>
      <c r="AC85" s="510"/>
      <c r="AD85" s="510"/>
      <c r="AE85" s="510"/>
      <c r="AF85" s="510"/>
      <c r="AG85" s="511"/>
      <c r="AH85" s="512">
        <f>SUMIF('caseload data'!$C:$C,'divisional &amp; regional caseload'!T85,'caseload data'!V:V)</f>
        <v>0</v>
      </c>
      <c r="AI85" s="515"/>
      <c r="AJ85" s="516"/>
    </row>
    <row r="86" spans="2:36" x14ac:dyDescent="0.15">
      <c r="B86" s="95" t="s">
        <v>1000</v>
      </c>
      <c r="C86" s="38" t="s">
        <v>864</v>
      </c>
      <c r="D86" s="38" t="s">
        <v>865</v>
      </c>
      <c r="E86" s="38" t="s">
        <v>866</v>
      </c>
      <c r="F86" s="38" t="s">
        <v>867</v>
      </c>
      <c r="G86" s="38" t="s">
        <v>868</v>
      </c>
      <c r="H86" s="38" t="s">
        <v>869</v>
      </c>
      <c r="I86" s="38" t="s">
        <v>870</v>
      </c>
      <c r="J86" s="38" t="s">
        <v>871</v>
      </c>
      <c r="K86" s="38" t="s">
        <v>872</v>
      </c>
      <c r="L86" s="38" t="s">
        <v>873</v>
      </c>
      <c r="M86" s="38" t="s">
        <v>874</v>
      </c>
      <c r="N86" s="38" t="s">
        <v>875</v>
      </c>
      <c r="O86" s="38" t="s">
        <v>876</v>
      </c>
      <c r="P86" s="38" t="s">
        <v>877</v>
      </c>
      <c r="Q86" s="38" t="s">
        <v>878</v>
      </c>
      <c r="R86" s="38" t="s">
        <v>879</v>
      </c>
      <c r="T86" s="95" t="s">
        <v>1000</v>
      </c>
      <c r="U86" s="38" t="s">
        <v>864</v>
      </c>
      <c r="V86" s="38" t="s">
        <v>865</v>
      </c>
      <c r="W86" s="38" t="s">
        <v>866</v>
      </c>
      <c r="X86" s="38" t="s">
        <v>867</v>
      </c>
      <c r="Y86" s="38" t="s">
        <v>868</v>
      </c>
      <c r="Z86" s="38" t="s">
        <v>869</v>
      </c>
      <c r="AA86" s="38" t="s">
        <v>870</v>
      </c>
      <c r="AB86" s="38" t="s">
        <v>871</v>
      </c>
      <c r="AC86" s="38" t="s">
        <v>872</v>
      </c>
      <c r="AD86" s="38" t="s">
        <v>873</v>
      </c>
      <c r="AE86" s="38" t="s">
        <v>874</v>
      </c>
      <c r="AF86" s="38" t="s">
        <v>875</v>
      </c>
      <c r="AG86" s="38" t="s">
        <v>876</v>
      </c>
      <c r="AH86" s="38" t="s">
        <v>877</v>
      </c>
      <c r="AI86" s="38" t="s">
        <v>878</v>
      </c>
      <c r="AJ86" s="38" t="s">
        <v>879</v>
      </c>
    </row>
    <row r="87" spans="2:36" x14ac:dyDescent="0.15">
      <c r="B87" s="96" t="s">
        <v>997</v>
      </c>
      <c r="C87" s="94">
        <f>SUMIFS('caseload data'!E:E,'caseload data'!$D:$D,"PO",'caseload data'!$C:$C,'divisional &amp; regional caseload'!$B$85)</f>
        <v>0</v>
      </c>
      <c r="D87" s="94">
        <f>SUMIFS('caseload data'!F:F,'caseload data'!$D:$D,"PO",'caseload data'!$C:$C,'divisional &amp; regional caseload'!$B$85)</f>
        <v>0</v>
      </c>
      <c r="E87" s="94">
        <f>SUMIFS('caseload data'!G:G,'caseload data'!$D:$D,"PO",'caseload data'!$C:$C,'divisional &amp; regional caseload'!$B$85)</f>
        <v>0</v>
      </c>
      <c r="F87" s="94">
        <f>SUMIFS('caseload data'!H:H,'caseload data'!$D:$D,"PO",'caseload data'!$C:$C,'divisional &amp; regional caseload'!$B$85)</f>
        <v>0</v>
      </c>
      <c r="G87" s="94">
        <f>SUMIFS('caseload data'!I:I,'caseload data'!$D:$D,"PO",'caseload data'!$C:$C,'divisional &amp; regional caseload'!$B$85)</f>
        <v>0</v>
      </c>
      <c r="H87" s="94">
        <f>SUMIFS('caseload data'!J:J,'caseload data'!$D:$D,"PO",'caseload data'!$C:$C,'divisional &amp; regional caseload'!$B$85)</f>
        <v>0</v>
      </c>
      <c r="I87" s="94">
        <f>SUMIFS('caseload data'!K:K,'caseload data'!$D:$D,"PO",'caseload data'!$C:$C,'divisional &amp; regional caseload'!$B$85)</f>
        <v>0</v>
      </c>
      <c r="J87" s="94">
        <f>SUMIFS('caseload data'!L:L,'caseload data'!$D:$D,"PO",'caseload data'!$C:$C,'divisional &amp; regional caseload'!$B$85)</f>
        <v>0</v>
      </c>
      <c r="K87" s="94">
        <f>SUMIFS('caseload data'!M:M,'caseload data'!$D:$D,"PO",'caseload data'!$C:$C,'divisional &amp; regional caseload'!$B$85)</f>
        <v>0</v>
      </c>
      <c r="L87" s="94">
        <f>SUMIFS('caseload data'!N:N,'caseload data'!$D:$D,"PO",'caseload data'!$C:$C,'divisional &amp; regional caseload'!$B$85)</f>
        <v>0</v>
      </c>
      <c r="M87" s="94">
        <f>SUMIFS('caseload data'!O:O,'caseload data'!$D:$D,"PO",'caseload data'!$C:$C,'divisional &amp; regional caseload'!$B$85)</f>
        <v>0</v>
      </c>
      <c r="N87" s="94">
        <f>SUMIFS('caseload data'!P:P,'caseload data'!$D:$D,"PO",'caseload data'!$C:$C,'divisional &amp; regional caseload'!$B$85)</f>
        <v>0</v>
      </c>
      <c r="O87" s="94">
        <f>SUMIFS('caseload data'!Q:Q,'caseload data'!$D:$D,"PO",'caseload data'!$C:$C,'divisional &amp; regional caseload'!$B$85)</f>
        <v>0</v>
      </c>
      <c r="P87" s="94">
        <f>SUMIFS('caseload data'!R:R,'caseload data'!$D:$D,"PO",'caseload data'!$C:$C,'divisional &amp; regional caseload'!$B$85)</f>
        <v>0</v>
      </c>
      <c r="Q87" s="94">
        <f>SUMIFS('caseload data'!S:S,'caseload data'!$D:$D,"PO",'caseload data'!$C:$C,'divisional &amp; regional caseload'!$B$85)</f>
        <v>0</v>
      </c>
      <c r="R87" s="94">
        <f>SUMIFS('caseload data'!T:T,'caseload data'!$D:$D,"PO",'caseload data'!$C:$C,'divisional &amp; regional caseload'!$B$85)</f>
        <v>0</v>
      </c>
      <c r="T87" s="96" t="s">
        <v>997</v>
      </c>
      <c r="U87" s="94">
        <f>SUMIFS('caseload data'!E:E,'caseload data'!$D:$D,"PO",'caseload data'!$C:$C,'divisional &amp; regional caseload'!$T$64)</f>
        <v>0</v>
      </c>
      <c r="V87" s="94">
        <f>SUMIFS('caseload data'!F:F,'caseload data'!$D:$D,"PO",'caseload data'!$C:$C,'divisional &amp; regional caseload'!$T$64)</f>
        <v>0</v>
      </c>
      <c r="W87" s="94">
        <f>SUMIFS('caseload data'!G:G,'caseload data'!$D:$D,"PO",'caseload data'!$C:$C,'divisional &amp; regional caseload'!$T$64)</f>
        <v>0</v>
      </c>
      <c r="X87" s="94">
        <f>SUMIFS('caseload data'!H:H,'caseload data'!$D:$D,"PO",'caseload data'!$C:$C,'divisional &amp; regional caseload'!$T$64)</f>
        <v>0</v>
      </c>
      <c r="Y87" s="94">
        <f>SUMIFS('caseload data'!I:I,'caseload data'!$D:$D,"PO",'caseload data'!$C:$C,'divisional &amp; regional caseload'!$T$64)</f>
        <v>0</v>
      </c>
      <c r="Z87" s="94">
        <f>SUMIFS('caseload data'!J:J,'caseload data'!$D:$D,"PO",'caseload data'!$C:$C,'divisional &amp; regional caseload'!$T$64)</f>
        <v>0</v>
      </c>
      <c r="AA87" s="94">
        <f>SUMIFS('caseload data'!K:K,'caseload data'!$D:$D,"PO",'caseload data'!$C:$C,'divisional &amp; regional caseload'!$T$64)</f>
        <v>0</v>
      </c>
      <c r="AB87" s="94">
        <f>SUMIFS('caseload data'!L:L,'caseload data'!$D:$D,"PO",'caseload data'!$C:$C,'divisional &amp; regional caseload'!$T$64)</f>
        <v>0</v>
      </c>
      <c r="AC87" s="94">
        <f>SUMIFS('caseload data'!M:M,'caseload data'!$D:$D,"PO",'caseload data'!$C:$C,'divisional &amp; regional caseload'!$T$64)</f>
        <v>0</v>
      </c>
      <c r="AD87" s="94">
        <f>SUMIFS('caseload data'!N:N,'caseload data'!$D:$D,"PO",'caseload data'!$C:$C,'divisional &amp; regional caseload'!$T$64)</f>
        <v>0</v>
      </c>
      <c r="AE87" s="94">
        <f>SUMIFS('caseload data'!O:O,'caseload data'!$D:$D,"PO",'caseload data'!$C:$C,'divisional &amp; regional caseload'!$T$64)</f>
        <v>0</v>
      </c>
      <c r="AF87" s="94">
        <f>SUMIFS('caseload data'!P:P,'caseload data'!$D:$D,"PO",'caseload data'!$C:$C,'divisional &amp; regional caseload'!$T$64)</f>
        <v>0</v>
      </c>
      <c r="AG87" s="94">
        <f>SUMIFS('caseload data'!Q:Q,'caseload data'!$D:$D,"PO",'caseload data'!$C:$C,'divisional &amp; regional caseload'!$T$64)</f>
        <v>0</v>
      </c>
      <c r="AH87" s="94">
        <f>SUMIFS('caseload data'!R:R,'caseload data'!$D:$D,"PO",'caseload data'!$C:$C,'divisional &amp; regional caseload'!$T$64)</f>
        <v>0</v>
      </c>
      <c r="AI87" s="94">
        <f>SUMIFS('caseload data'!S:S,'caseload data'!$D:$D,"PO",'caseload data'!$C:$C,'divisional &amp; regional caseload'!$T$64)</f>
        <v>0</v>
      </c>
      <c r="AJ87" s="94">
        <f>SUMIFS('caseload data'!T:T,'caseload data'!$D:$D,"PO",'caseload data'!$C:$C,'divisional &amp; regional caseload'!$T$64)</f>
        <v>0</v>
      </c>
    </row>
    <row r="88" spans="2:36" x14ac:dyDescent="0.15">
      <c r="B88" s="97" t="s">
        <v>1002</v>
      </c>
      <c r="C88" s="94">
        <f>SUMIFS('caseload data'!E:E,'caseload data'!$D:$D,"PSO",'caseload data'!$C:$C,'divisional &amp; regional caseload'!$B$85)</f>
        <v>0</v>
      </c>
      <c r="D88" s="94">
        <f>SUMIFS('caseload data'!F:F,'caseload data'!$D:$D,"PSO",'caseload data'!$C:$C,'divisional &amp; regional caseload'!$B$85)</f>
        <v>0</v>
      </c>
      <c r="E88" s="94">
        <f>SUMIFS('caseload data'!G:G,'caseload data'!$D:$D,"PSO",'caseload data'!$C:$C,'divisional &amp; regional caseload'!$B$85)</f>
        <v>0</v>
      </c>
      <c r="F88" s="94">
        <f>SUMIFS('caseload data'!H:H,'caseload data'!$D:$D,"PSO",'caseload data'!$C:$C,'divisional &amp; regional caseload'!$B$85)</f>
        <v>0</v>
      </c>
      <c r="G88" s="94">
        <f>SUMIFS('caseload data'!I:I,'caseload data'!$D:$D,"PSO",'caseload data'!$C:$C,'divisional &amp; regional caseload'!$B$85)</f>
        <v>0</v>
      </c>
      <c r="H88" s="94">
        <f>SUMIFS('caseload data'!J:J,'caseload data'!$D:$D,"PSO",'caseload data'!$C:$C,'divisional &amp; regional caseload'!$B$85)</f>
        <v>0</v>
      </c>
      <c r="I88" s="94">
        <f>SUMIFS('caseload data'!K:K,'caseload data'!$D:$D,"PSO",'caseload data'!$C:$C,'divisional &amp; regional caseload'!$B$85)</f>
        <v>0</v>
      </c>
      <c r="J88" s="94">
        <f>SUMIFS('caseload data'!L:L,'caseload data'!$D:$D,"PSO",'caseload data'!$C:$C,'divisional &amp; regional caseload'!$B$85)</f>
        <v>0</v>
      </c>
      <c r="K88" s="94">
        <f>SUMIFS('caseload data'!M:M,'caseload data'!$D:$D,"PSO",'caseload data'!$C:$C,'divisional &amp; regional caseload'!$B$85)</f>
        <v>0</v>
      </c>
      <c r="L88" s="94">
        <f>SUMIFS('caseload data'!N:N,'caseload data'!$D:$D,"PSO",'caseload data'!$C:$C,'divisional &amp; regional caseload'!$B$85)</f>
        <v>0</v>
      </c>
      <c r="M88" s="94">
        <f>SUMIFS('caseload data'!O:O,'caseload data'!$D:$D,"PSO",'caseload data'!$C:$C,'divisional &amp; regional caseload'!$B$85)</f>
        <v>0</v>
      </c>
      <c r="N88" s="94">
        <f>SUMIFS('caseload data'!P:P,'caseload data'!$D:$D,"PSO",'caseload data'!$C:$C,'divisional &amp; regional caseload'!$B$85)</f>
        <v>0</v>
      </c>
      <c r="O88" s="94">
        <f>SUMIFS('caseload data'!Q:Q,'caseload data'!$D:$D,"PSO",'caseload data'!$C:$C,'divisional &amp; regional caseload'!$B$85)</f>
        <v>0</v>
      </c>
      <c r="P88" s="94">
        <f>SUMIFS('caseload data'!R:R,'caseload data'!$D:$D,"PSO",'caseload data'!$C:$C,'divisional &amp; regional caseload'!$B$85)</f>
        <v>0</v>
      </c>
      <c r="Q88" s="94">
        <f>SUMIFS('caseload data'!S:S,'caseload data'!$D:$D,"PSO",'caseload data'!$C:$C,'divisional &amp; regional caseload'!$B$85)</f>
        <v>0</v>
      </c>
      <c r="R88" s="94">
        <f>SUMIFS('caseload data'!T:T,'caseload data'!$D:$D,"PSO",'caseload data'!$C:$C,'divisional &amp; regional caseload'!$B$85)</f>
        <v>0</v>
      </c>
      <c r="T88" s="97" t="s">
        <v>1002</v>
      </c>
      <c r="U88" s="94">
        <f>SUMIFS('caseload data'!E:E,'caseload data'!$D:$D,"PSO",'caseload data'!$C:$C,'divisional &amp; regional caseload'!$T$64)</f>
        <v>0</v>
      </c>
      <c r="V88" s="94">
        <f>SUMIFS('caseload data'!F:F,'caseload data'!$D:$D,"PSO",'caseload data'!$C:$C,'divisional &amp; regional caseload'!$T$64)</f>
        <v>0</v>
      </c>
      <c r="W88" s="94">
        <f>SUMIFS('caseload data'!G:G,'caseload data'!$D:$D,"PSO",'caseload data'!$C:$C,'divisional &amp; regional caseload'!$T$64)</f>
        <v>0</v>
      </c>
      <c r="X88" s="94">
        <f>SUMIFS('caseload data'!H:H,'caseload data'!$D:$D,"PSO",'caseload data'!$C:$C,'divisional &amp; regional caseload'!$T$64)</f>
        <v>0</v>
      </c>
      <c r="Y88" s="94">
        <f>SUMIFS('caseload data'!I:I,'caseload data'!$D:$D,"PSO",'caseload data'!$C:$C,'divisional &amp; regional caseload'!$T$64)</f>
        <v>0</v>
      </c>
      <c r="Z88" s="94">
        <f>SUMIFS('caseload data'!J:J,'caseload data'!$D:$D,"PSO",'caseload data'!$C:$C,'divisional &amp; regional caseload'!$T$64)</f>
        <v>0</v>
      </c>
      <c r="AA88" s="94">
        <f>SUMIFS('caseload data'!K:K,'caseload data'!$D:$D,"PSO",'caseload data'!$C:$C,'divisional &amp; regional caseload'!$T$64)</f>
        <v>0</v>
      </c>
      <c r="AB88" s="94">
        <f>SUMIFS('caseload data'!L:L,'caseload data'!$D:$D,"PSO",'caseload data'!$C:$C,'divisional &amp; regional caseload'!$T$64)</f>
        <v>0</v>
      </c>
      <c r="AC88" s="94">
        <f>SUMIFS('caseload data'!M:M,'caseload data'!$D:$D,"PSO",'caseload data'!$C:$C,'divisional &amp; regional caseload'!$T$64)</f>
        <v>0</v>
      </c>
      <c r="AD88" s="94">
        <f>SUMIFS('caseload data'!N:N,'caseload data'!$D:$D,"PSO",'caseload data'!$C:$C,'divisional &amp; regional caseload'!$T$64)</f>
        <v>0</v>
      </c>
      <c r="AE88" s="94">
        <f>SUMIFS('caseload data'!O:O,'caseload data'!$D:$D,"PSO",'caseload data'!$C:$C,'divisional &amp; regional caseload'!$T$64)</f>
        <v>0</v>
      </c>
      <c r="AF88" s="94">
        <f>SUMIFS('caseload data'!P:P,'caseload data'!$D:$D,"PSO",'caseload data'!$C:$C,'divisional &amp; regional caseload'!$T$64)</f>
        <v>0</v>
      </c>
      <c r="AG88" s="94">
        <f>SUMIFS('caseload data'!Q:Q,'caseload data'!$D:$D,"PSO",'caseload data'!$C:$C,'divisional &amp; regional caseload'!$T$64)</f>
        <v>0</v>
      </c>
      <c r="AH88" s="94">
        <f>SUMIFS('caseload data'!R:R,'caseload data'!$D:$D,"PSO",'caseload data'!$C:$C,'divisional &amp; regional caseload'!$T$64)</f>
        <v>0</v>
      </c>
      <c r="AI88" s="94">
        <f>SUMIFS('caseload data'!S:S,'caseload data'!$D:$D,"PSO",'caseload data'!$C:$C,'divisional &amp; regional caseload'!$T$64)</f>
        <v>0</v>
      </c>
      <c r="AJ88" s="94">
        <f>SUMIFS('caseload data'!T:T,'caseload data'!$D:$D,"PSO",'caseload data'!$C:$C,'divisional &amp; regional caseload'!$T$64)</f>
        <v>0</v>
      </c>
    </row>
    <row r="89" spans="2:36" x14ac:dyDescent="0.15">
      <c r="B89" s="97" t="s">
        <v>1003</v>
      </c>
      <c r="C89" s="94">
        <f>SUMIFS('caseload data'!E:E,'caseload data'!$D:$D,"TPO",'caseload data'!$C:$C,'divisional &amp; regional caseload'!$B$85)</f>
        <v>0</v>
      </c>
      <c r="D89" s="94">
        <f>SUMIFS('caseload data'!F:F,'caseload data'!$D:$D,"TPO",'caseload data'!$C:$C,'divisional &amp; regional caseload'!$B$85)</f>
        <v>0</v>
      </c>
      <c r="E89" s="94">
        <f>SUMIFS('caseload data'!G:G,'caseload data'!$D:$D,"TPO",'caseload data'!$C:$C,'divisional &amp; regional caseload'!$B$85)</f>
        <v>0</v>
      </c>
      <c r="F89" s="94">
        <f>SUMIFS('caseload data'!H:H,'caseload data'!$D:$D,"TPO",'caseload data'!$C:$C,'divisional &amp; regional caseload'!$B$85)</f>
        <v>0</v>
      </c>
      <c r="G89" s="94">
        <f>SUMIFS('caseload data'!I:I,'caseload data'!$D:$D,"TPO",'caseload data'!$C:$C,'divisional &amp; regional caseload'!$B$85)</f>
        <v>0</v>
      </c>
      <c r="H89" s="94">
        <f>SUMIFS('caseload data'!J:J,'caseload data'!$D:$D,"TPO",'caseload data'!$C:$C,'divisional &amp; regional caseload'!$B$85)</f>
        <v>0</v>
      </c>
      <c r="I89" s="94">
        <f>SUMIFS('caseload data'!K:K,'caseload data'!$D:$D,"TPO",'caseload data'!$C:$C,'divisional &amp; regional caseload'!$B$85)</f>
        <v>0</v>
      </c>
      <c r="J89" s="94">
        <f>SUMIFS('caseload data'!L:L,'caseload data'!$D:$D,"TPO",'caseload data'!$C:$C,'divisional &amp; regional caseload'!$B$85)</f>
        <v>0</v>
      </c>
      <c r="K89" s="94">
        <f>SUMIFS('caseload data'!M:M,'caseload data'!$D:$D,"TPO",'caseload data'!$C:$C,'divisional &amp; regional caseload'!$B$85)</f>
        <v>0</v>
      </c>
      <c r="L89" s="94">
        <f>SUMIFS('caseload data'!N:N,'caseload data'!$D:$D,"TPO",'caseload data'!$C:$C,'divisional &amp; regional caseload'!$B$85)</f>
        <v>0</v>
      </c>
      <c r="M89" s="94">
        <f>SUMIFS('caseload data'!O:O,'caseload data'!$D:$D,"TPO",'caseload data'!$C:$C,'divisional &amp; regional caseload'!$B$85)</f>
        <v>0</v>
      </c>
      <c r="N89" s="94">
        <f>SUMIFS('caseload data'!P:P,'caseload data'!$D:$D,"TPO",'caseload data'!$C:$C,'divisional &amp; regional caseload'!$B$85)</f>
        <v>0</v>
      </c>
      <c r="O89" s="94">
        <f>SUMIFS('caseload data'!Q:Q,'caseload data'!$D:$D,"TPO",'caseload data'!$C:$C,'divisional &amp; regional caseload'!$B$85)</f>
        <v>0</v>
      </c>
      <c r="P89" s="94">
        <f>SUMIFS('caseload data'!R:R,'caseload data'!$D:$D,"TPO",'caseload data'!$C:$C,'divisional &amp; regional caseload'!$B$85)</f>
        <v>0</v>
      </c>
      <c r="Q89" s="94">
        <f>SUMIFS('caseload data'!S:S,'caseload data'!$D:$D,"TPO",'caseload data'!$C:$C,'divisional &amp; regional caseload'!$B$85)</f>
        <v>0</v>
      </c>
      <c r="R89" s="94">
        <f>SUMIFS('caseload data'!T:T,'caseload data'!$D:$D,"TPO",'caseload data'!$C:$C,'divisional &amp; regional caseload'!$B$85)</f>
        <v>0</v>
      </c>
      <c r="T89" s="97" t="s">
        <v>1003</v>
      </c>
      <c r="U89" s="94">
        <f>SUMIFS('caseload data'!E:E,'caseload data'!$D:$D,"TPO",'caseload data'!$C:$C,'divisional &amp; regional caseload'!$T$64)</f>
        <v>0</v>
      </c>
      <c r="V89" s="94">
        <f>SUMIFS('caseload data'!F:F,'caseload data'!$D:$D,"TPO",'caseload data'!$C:$C,'divisional &amp; regional caseload'!$T$64)</f>
        <v>0</v>
      </c>
      <c r="W89" s="94">
        <f>SUMIFS('caseload data'!G:G,'caseload data'!$D:$D,"TPO",'caseload data'!$C:$C,'divisional &amp; regional caseload'!$T$64)</f>
        <v>0</v>
      </c>
      <c r="X89" s="94">
        <f>SUMIFS('caseload data'!H:H,'caseload data'!$D:$D,"TPO",'caseload data'!$C:$C,'divisional &amp; regional caseload'!$T$64)</f>
        <v>0</v>
      </c>
      <c r="Y89" s="94">
        <f>SUMIFS('caseload data'!I:I,'caseload data'!$D:$D,"TPO",'caseload data'!$C:$C,'divisional &amp; regional caseload'!$T$64)</f>
        <v>0</v>
      </c>
      <c r="Z89" s="94">
        <f>SUMIFS('caseload data'!J:J,'caseload data'!$D:$D,"TPO",'caseload data'!$C:$C,'divisional &amp; regional caseload'!$T$64)</f>
        <v>0</v>
      </c>
      <c r="AA89" s="94">
        <f>SUMIFS('caseload data'!K:K,'caseload data'!$D:$D,"TPO",'caseload data'!$C:$C,'divisional &amp; regional caseload'!$T$64)</f>
        <v>0</v>
      </c>
      <c r="AB89" s="94">
        <f>SUMIFS('caseload data'!L:L,'caseload data'!$D:$D,"TPO",'caseload data'!$C:$C,'divisional &amp; regional caseload'!$T$64)</f>
        <v>0</v>
      </c>
      <c r="AC89" s="94">
        <f>SUMIFS('caseload data'!M:M,'caseload data'!$D:$D,"TPO",'caseload data'!$C:$C,'divisional &amp; regional caseload'!$T$64)</f>
        <v>0</v>
      </c>
      <c r="AD89" s="94">
        <f>SUMIFS('caseload data'!N:N,'caseload data'!$D:$D,"TPO",'caseload data'!$C:$C,'divisional &amp; regional caseload'!$T$64)</f>
        <v>0</v>
      </c>
      <c r="AE89" s="94">
        <f>SUMIFS('caseload data'!O:O,'caseload data'!$D:$D,"TPO",'caseload data'!$C:$C,'divisional &amp; regional caseload'!$T$64)</f>
        <v>0</v>
      </c>
      <c r="AF89" s="94">
        <f>SUMIFS('caseload data'!P:P,'caseload data'!$D:$D,"TPO",'caseload data'!$C:$C,'divisional &amp; regional caseload'!$T$64)</f>
        <v>0</v>
      </c>
      <c r="AG89" s="94">
        <f>SUMIFS('caseload data'!Q:Q,'caseload data'!$D:$D,"TPO",'caseload data'!$C:$C,'divisional &amp; regional caseload'!$T$64)</f>
        <v>0</v>
      </c>
      <c r="AH89" s="94">
        <f>SUMIFS('caseload data'!R:R,'caseload data'!$D:$D,"TPO",'caseload data'!$C:$C,'divisional &amp; regional caseload'!$T$64)</f>
        <v>0</v>
      </c>
      <c r="AI89" s="94">
        <f>SUMIFS('caseload data'!S:S,'caseload data'!$D:$D,"TPO",'caseload data'!$C:$C,'divisional &amp; regional caseload'!$T$64)</f>
        <v>0</v>
      </c>
      <c r="AJ89" s="94">
        <f>SUMIFS('caseload data'!T:T,'caseload data'!$D:$D,"TPO",'caseload data'!$C:$C,'divisional &amp; regional caseload'!$T$64)</f>
        <v>0</v>
      </c>
    </row>
    <row r="90" spans="2:36" x14ac:dyDescent="0.15">
      <c r="B90" s="98" t="s">
        <v>1004</v>
      </c>
      <c r="C90" s="94">
        <f>SUMIFS('caseload data'!E:E,'caseload data'!$D:$D,"SPO",'caseload data'!$C:$C,'divisional &amp; regional caseload'!$B$85)</f>
        <v>0</v>
      </c>
      <c r="D90" s="94">
        <f>SUMIFS('caseload data'!F:F,'caseload data'!$D:$D,"SPO",'caseload data'!$C:$C,'divisional &amp; regional caseload'!$B$85)</f>
        <v>0</v>
      </c>
      <c r="E90" s="94">
        <f>SUMIFS('caseload data'!G:G,'caseload data'!$D:$D,"SPO",'caseload data'!$C:$C,'divisional &amp; regional caseload'!$B$85)</f>
        <v>0</v>
      </c>
      <c r="F90" s="94">
        <f>SUMIFS('caseload data'!H:H,'caseload data'!$D:$D,"SPO",'caseload data'!$C:$C,'divisional &amp; regional caseload'!$B$85)</f>
        <v>0</v>
      </c>
      <c r="G90" s="94">
        <f>SUMIFS('caseload data'!I:I,'caseload data'!$D:$D,"SPO",'caseload data'!$C:$C,'divisional &amp; regional caseload'!$B$85)</f>
        <v>0</v>
      </c>
      <c r="H90" s="94">
        <f>SUMIFS('caseload data'!J:J,'caseload data'!$D:$D,"SPO",'caseload data'!$C:$C,'divisional &amp; regional caseload'!$B$85)</f>
        <v>0</v>
      </c>
      <c r="I90" s="94">
        <f>SUMIFS('caseload data'!K:K,'caseload data'!$D:$D,"SPO",'caseload data'!$C:$C,'divisional &amp; regional caseload'!$B$85)</f>
        <v>0</v>
      </c>
      <c r="J90" s="94">
        <f>SUMIFS('caseload data'!L:L,'caseload data'!$D:$D,"SPO",'caseload data'!$C:$C,'divisional &amp; regional caseload'!$B$85)</f>
        <v>0</v>
      </c>
      <c r="K90" s="94">
        <f>SUMIFS('caseload data'!M:M,'caseload data'!$D:$D,"SPO",'caseload data'!$C:$C,'divisional &amp; regional caseload'!$B$85)</f>
        <v>0</v>
      </c>
      <c r="L90" s="94">
        <f>SUMIFS('caseload data'!N:N,'caseload data'!$D:$D,"SPO",'caseload data'!$C:$C,'divisional &amp; regional caseload'!$B$85)</f>
        <v>0</v>
      </c>
      <c r="M90" s="94">
        <f>SUMIFS('caseload data'!O:O,'caseload data'!$D:$D,"SPO",'caseload data'!$C:$C,'divisional &amp; regional caseload'!$B$85)</f>
        <v>0</v>
      </c>
      <c r="N90" s="94">
        <f>SUMIFS('caseload data'!P:P,'caseload data'!$D:$D,"SPO",'caseload data'!$C:$C,'divisional &amp; regional caseload'!$B$85)</f>
        <v>0</v>
      </c>
      <c r="O90" s="94">
        <f>SUMIFS('caseload data'!Q:Q,'caseload data'!$D:$D,"SPO",'caseload data'!$C:$C,'divisional &amp; regional caseload'!$B$85)</f>
        <v>0</v>
      </c>
      <c r="P90" s="94">
        <f>SUMIFS('caseload data'!R:R,'caseload data'!$D:$D,"SPO",'caseload data'!$C:$C,'divisional &amp; regional caseload'!$B$85)</f>
        <v>0</v>
      </c>
      <c r="Q90" s="94">
        <f>SUMIFS('caseload data'!S:S,'caseload data'!$D:$D,"SPO",'caseload data'!$C:$C,'divisional &amp; regional caseload'!$B$85)</f>
        <v>0</v>
      </c>
      <c r="R90" s="94">
        <f>SUMIFS('caseload data'!T:T,'caseload data'!$D:$D,"SPO",'caseload data'!$C:$C,'divisional &amp; regional caseload'!$B$85)</f>
        <v>0</v>
      </c>
      <c r="T90" s="98" t="s">
        <v>1004</v>
      </c>
      <c r="U90" s="94">
        <f>SUMIFS('caseload data'!E:E,'caseload data'!$D:$D,"SPO",'caseload data'!$C:$C,'divisional &amp; regional caseload'!$T$64)</f>
        <v>0</v>
      </c>
      <c r="V90" s="94">
        <f>SUMIFS('caseload data'!F:F,'caseload data'!$D:$D,"SPO",'caseload data'!$C:$C,'divisional &amp; regional caseload'!$T$64)</f>
        <v>0</v>
      </c>
      <c r="W90" s="94">
        <f>SUMIFS('caseload data'!G:G,'caseload data'!$D:$D,"SPO",'caseload data'!$C:$C,'divisional &amp; regional caseload'!$T$64)</f>
        <v>0</v>
      </c>
      <c r="X90" s="94">
        <f>SUMIFS('caseload data'!H:H,'caseload data'!$D:$D,"SPO",'caseload data'!$C:$C,'divisional &amp; regional caseload'!$T$64)</f>
        <v>0</v>
      </c>
      <c r="Y90" s="94">
        <f>SUMIFS('caseload data'!I:I,'caseload data'!$D:$D,"SPO",'caseload data'!$C:$C,'divisional &amp; regional caseload'!$T$64)</f>
        <v>0</v>
      </c>
      <c r="Z90" s="94">
        <f>SUMIFS('caseload data'!J:J,'caseload data'!$D:$D,"SPO",'caseload data'!$C:$C,'divisional &amp; regional caseload'!$T$64)</f>
        <v>0</v>
      </c>
      <c r="AA90" s="94">
        <f>SUMIFS('caseload data'!K:K,'caseload data'!$D:$D,"SPO",'caseload data'!$C:$C,'divisional &amp; regional caseload'!$T$64)</f>
        <v>0</v>
      </c>
      <c r="AB90" s="94">
        <f>SUMIFS('caseload data'!L:L,'caseload data'!$D:$D,"SPO",'caseload data'!$C:$C,'divisional &amp; regional caseload'!$T$64)</f>
        <v>0</v>
      </c>
      <c r="AC90" s="94">
        <f>SUMIFS('caseload data'!M:M,'caseload data'!$D:$D,"SPO",'caseload data'!$C:$C,'divisional &amp; regional caseload'!$T$64)</f>
        <v>0</v>
      </c>
      <c r="AD90" s="94">
        <f>SUMIFS('caseload data'!N:N,'caseload data'!$D:$D,"SPO",'caseload data'!$C:$C,'divisional &amp; regional caseload'!$T$64)</f>
        <v>0</v>
      </c>
      <c r="AE90" s="94">
        <f>SUMIFS('caseload data'!O:O,'caseload data'!$D:$D,"SPO",'caseload data'!$C:$C,'divisional &amp; regional caseload'!$T$64)</f>
        <v>0</v>
      </c>
      <c r="AF90" s="94">
        <f>SUMIFS('caseload data'!P:P,'caseload data'!$D:$D,"SPO",'caseload data'!$C:$C,'divisional &amp; regional caseload'!$T$64)</f>
        <v>0</v>
      </c>
      <c r="AG90" s="94">
        <f>SUMIFS('caseload data'!Q:Q,'caseload data'!$D:$D,"SPO",'caseload data'!$C:$C,'divisional &amp; regional caseload'!$T$64)</f>
        <v>0</v>
      </c>
      <c r="AH90" s="94">
        <f>SUMIFS('caseload data'!R:R,'caseload data'!$D:$D,"SPO",'caseload data'!$C:$C,'divisional &amp; regional caseload'!$T$64)</f>
        <v>0</v>
      </c>
      <c r="AI90" s="94">
        <f>SUMIFS('caseload data'!S:S,'caseload data'!$D:$D,"SPO",'caseload data'!$C:$C,'divisional &amp; regional caseload'!$T$64)</f>
        <v>0</v>
      </c>
      <c r="AJ90" s="94">
        <f>SUMIFS('caseload data'!T:T,'caseload data'!$D:$D,"SPO",'caseload data'!$C:$C,'divisional &amp; regional caseload'!$T$64)</f>
        <v>0</v>
      </c>
    </row>
    <row r="92" spans="2:36" ht="30.75" customHeight="1" x14ac:dyDescent="0.15">
      <c r="B92" s="142">
        <f>HLOOKUP($B$5,Region_Table,26,0)</f>
        <v>0</v>
      </c>
      <c r="C92" s="509" t="s">
        <v>1092</v>
      </c>
      <c r="D92" s="510"/>
      <c r="E92" s="510"/>
      <c r="F92" s="510"/>
      <c r="G92" s="510"/>
      <c r="H92" s="510"/>
      <c r="I92" s="510"/>
      <c r="J92" s="510"/>
      <c r="K92" s="510"/>
      <c r="L92" s="510"/>
      <c r="M92" s="520"/>
      <c r="N92" s="520"/>
      <c r="O92" s="521"/>
      <c r="P92" s="512">
        <f>SUMIF('caseload data'!$C:$C,'divisional &amp; regional caseload'!B92,'caseload data'!V:V)</f>
        <v>0</v>
      </c>
      <c r="Q92" s="513"/>
      <c r="R92" s="514"/>
      <c r="T92" s="142">
        <f>HLOOKUP($B$5,Region_Table,27,0)</f>
        <v>0</v>
      </c>
      <c r="U92" s="509" t="s">
        <v>1092</v>
      </c>
      <c r="V92" s="510"/>
      <c r="W92" s="510"/>
      <c r="X92" s="510"/>
      <c r="Y92" s="510"/>
      <c r="Z92" s="510"/>
      <c r="AA92" s="510"/>
      <c r="AB92" s="510"/>
      <c r="AC92" s="510"/>
      <c r="AD92" s="510"/>
      <c r="AE92" s="510"/>
      <c r="AF92" s="510"/>
      <c r="AG92" s="511"/>
      <c r="AH92" s="512">
        <f>SUMIF('caseload data'!$C:$C,'divisional &amp; regional caseload'!T92,'caseload data'!V:V)</f>
        <v>0</v>
      </c>
      <c r="AI92" s="515"/>
      <c r="AJ92" s="516"/>
    </row>
    <row r="93" spans="2:36" x14ac:dyDescent="0.15">
      <c r="B93" s="95" t="s">
        <v>1000</v>
      </c>
      <c r="C93" s="38" t="s">
        <v>864</v>
      </c>
      <c r="D93" s="38" t="s">
        <v>865</v>
      </c>
      <c r="E93" s="38" t="s">
        <v>866</v>
      </c>
      <c r="F93" s="38" t="s">
        <v>867</v>
      </c>
      <c r="G93" s="38" t="s">
        <v>868</v>
      </c>
      <c r="H93" s="38" t="s">
        <v>869</v>
      </c>
      <c r="I93" s="38" t="s">
        <v>870</v>
      </c>
      <c r="J93" s="38" t="s">
        <v>871</v>
      </c>
      <c r="K93" s="38" t="s">
        <v>872</v>
      </c>
      <c r="L93" s="38" t="s">
        <v>873</v>
      </c>
      <c r="M93" s="38" t="s">
        <v>874</v>
      </c>
      <c r="N93" s="38" t="s">
        <v>875</v>
      </c>
      <c r="O93" s="38" t="s">
        <v>876</v>
      </c>
      <c r="P93" s="38" t="s">
        <v>877</v>
      </c>
      <c r="Q93" s="38" t="s">
        <v>878</v>
      </c>
      <c r="R93" s="38" t="s">
        <v>879</v>
      </c>
      <c r="T93" s="95" t="s">
        <v>1000</v>
      </c>
      <c r="U93" s="38" t="s">
        <v>864</v>
      </c>
      <c r="V93" s="38" t="s">
        <v>865</v>
      </c>
      <c r="W93" s="38" t="s">
        <v>866</v>
      </c>
      <c r="X93" s="38" t="s">
        <v>867</v>
      </c>
      <c r="Y93" s="38" t="s">
        <v>868</v>
      </c>
      <c r="Z93" s="38" t="s">
        <v>869</v>
      </c>
      <c r="AA93" s="38" t="s">
        <v>870</v>
      </c>
      <c r="AB93" s="38" t="s">
        <v>871</v>
      </c>
      <c r="AC93" s="38" t="s">
        <v>872</v>
      </c>
      <c r="AD93" s="38" t="s">
        <v>873</v>
      </c>
      <c r="AE93" s="38" t="s">
        <v>874</v>
      </c>
      <c r="AF93" s="38" t="s">
        <v>875</v>
      </c>
      <c r="AG93" s="38" t="s">
        <v>876</v>
      </c>
      <c r="AH93" s="38" t="s">
        <v>877</v>
      </c>
      <c r="AI93" s="38" t="s">
        <v>878</v>
      </c>
      <c r="AJ93" s="38" t="s">
        <v>879</v>
      </c>
    </row>
    <row r="94" spans="2:36" x14ac:dyDescent="0.15">
      <c r="B94" s="96" t="s">
        <v>997</v>
      </c>
      <c r="C94" s="94">
        <f>SUMIFS('caseload data'!E:E,'caseload data'!$D:$D,"PO",'caseload data'!$C:$C,'divisional &amp; regional caseload'!$B$92)</f>
        <v>0</v>
      </c>
      <c r="D94" s="94">
        <f>SUMIFS('caseload data'!F:F,'caseload data'!$D:$D,"PO",'caseload data'!$C:$C,'divisional &amp; regional caseload'!$B$92)</f>
        <v>0</v>
      </c>
      <c r="E94" s="94">
        <f>SUMIFS('caseload data'!G:G,'caseload data'!$D:$D,"PO",'caseload data'!$C:$C,'divisional &amp; regional caseload'!$B$92)</f>
        <v>0</v>
      </c>
      <c r="F94" s="94">
        <f>SUMIFS('caseload data'!H:H,'caseload data'!$D:$D,"PO",'caseload data'!$C:$C,'divisional &amp; regional caseload'!$B$92)</f>
        <v>0</v>
      </c>
      <c r="G94" s="94">
        <f>SUMIFS('caseload data'!I:I,'caseload data'!$D:$D,"PO",'caseload data'!$C:$C,'divisional &amp; regional caseload'!$B$92)</f>
        <v>0</v>
      </c>
      <c r="H94" s="94">
        <f>SUMIFS('caseload data'!J:J,'caseload data'!$D:$D,"PO",'caseload data'!$C:$C,'divisional &amp; regional caseload'!$B$92)</f>
        <v>0</v>
      </c>
      <c r="I94" s="94">
        <f>SUMIFS('caseload data'!K:K,'caseload data'!$D:$D,"PO",'caseload data'!$C:$C,'divisional &amp; regional caseload'!$B$92)</f>
        <v>0</v>
      </c>
      <c r="J94" s="94">
        <f>SUMIFS('caseload data'!L:L,'caseload data'!$D:$D,"PO",'caseload data'!$C:$C,'divisional &amp; regional caseload'!$B$92)</f>
        <v>0</v>
      </c>
      <c r="K94" s="94">
        <f>SUMIFS('caseload data'!M:M,'caseload data'!$D:$D,"PO",'caseload data'!$C:$C,'divisional &amp; regional caseload'!$B$92)</f>
        <v>0</v>
      </c>
      <c r="L94" s="94">
        <f>SUMIFS('caseload data'!N:N,'caseload data'!$D:$D,"PO",'caseload data'!$C:$C,'divisional &amp; regional caseload'!$B$92)</f>
        <v>0</v>
      </c>
      <c r="M94" s="94">
        <f>SUMIFS('caseload data'!O:O,'caseload data'!$D:$D,"PO",'caseload data'!$C:$C,'divisional &amp; regional caseload'!$B$92)</f>
        <v>0</v>
      </c>
      <c r="N94" s="94">
        <f>SUMIFS('caseload data'!P:P,'caseload data'!$D:$D,"PO",'caseload data'!$C:$C,'divisional &amp; regional caseload'!$B$92)</f>
        <v>0</v>
      </c>
      <c r="O94" s="94">
        <f>SUMIFS('caseload data'!Q:Q,'caseload data'!$D:$D,"PO",'caseload data'!$C:$C,'divisional &amp; regional caseload'!$B$92)</f>
        <v>0</v>
      </c>
      <c r="P94" s="94">
        <f>SUMIFS('caseload data'!R:R,'caseload data'!$D:$D,"PO",'caseload data'!$C:$C,'divisional &amp; regional caseload'!$B$92)</f>
        <v>0</v>
      </c>
      <c r="Q94" s="94">
        <f>SUMIFS('caseload data'!S:S,'caseload data'!$D:$D,"PO",'caseload data'!$C:$C,'divisional &amp; regional caseload'!$B$92)</f>
        <v>0</v>
      </c>
      <c r="R94" s="94">
        <f>SUMIFS('caseload data'!T:T,'caseload data'!$D:$D,"PO",'caseload data'!$C:$C,'divisional &amp; regional caseload'!$B$92)</f>
        <v>0</v>
      </c>
      <c r="T94" s="96" t="s">
        <v>997</v>
      </c>
      <c r="U94" s="94">
        <f>SUMIFS('caseload data'!E:E,'caseload data'!$D:$D,"PO",'caseload data'!$C:$C,'divisional &amp; regional caseload'!$T$64)</f>
        <v>0</v>
      </c>
      <c r="V94" s="94">
        <f>SUMIFS('caseload data'!F:F,'caseload data'!$D:$D,"PO",'caseload data'!$C:$C,'divisional &amp; regional caseload'!$T$64)</f>
        <v>0</v>
      </c>
      <c r="W94" s="94">
        <f>SUMIFS('caseload data'!G:G,'caseload data'!$D:$D,"PO",'caseload data'!$C:$C,'divisional &amp; regional caseload'!$T$64)</f>
        <v>0</v>
      </c>
      <c r="X94" s="94">
        <f>SUMIFS('caseload data'!H:H,'caseload data'!$D:$D,"PO",'caseload data'!$C:$C,'divisional &amp; regional caseload'!$T$64)</f>
        <v>0</v>
      </c>
      <c r="Y94" s="94">
        <f>SUMIFS('caseload data'!I:I,'caseload data'!$D:$D,"PO",'caseload data'!$C:$C,'divisional &amp; regional caseload'!$T$64)</f>
        <v>0</v>
      </c>
      <c r="Z94" s="94">
        <f>SUMIFS('caseload data'!J:J,'caseload data'!$D:$D,"PO",'caseload data'!$C:$C,'divisional &amp; regional caseload'!$T$64)</f>
        <v>0</v>
      </c>
      <c r="AA94" s="94">
        <f>SUMIFS('caseload data'!K:K,'caseload data'!$D:$D,"PO",'caseload data'!$C:$C,'divisional &amp; regional caseload'!$T$64)</f>
        <v>0</v>
      </c>
      <c r="AB94" s="94">
        <f>SUMIFS('caseload data'!L:L,'caseload data'!$D:$D,"PO",'caseload data'!$C:$C,'divisional &amp; regional caseload'!$T$64)</f>
        <v>0</v>
      </c>
      <c r="AC94" s="94">
        <f>SUMIFS('caseload data'!M:M,'caseload data'!$D:$D,"PO",'caseload data'!$C:$C,'divisional &amp; regional caseload'!$T$64)</f>
        <v>0</v>
      </c>
      <c r="AD94" s="94">
        <f>SUMIFS('caseload data'!N:N,'caseload data'!$D:$D,"PO",'caseload data'!$C:$C,'divisional &amp; regional caseload'!$T$64)</f>
        <v>0</v>
      </c>
      <c r="AE94" s="94">
        <f>SUMIFS('caseload data'!O:O,'caseload data'!$D:$D,"PO",'caseload data'!$C:$C,'divisional &amp; regional caseload'!$T$64)</f>
        <v>0</v>
      </c>
      <c r="AF94" s="94">
        <f>SUMIFS('caseload data'!P:P,'caseload data'!$D:$D,"PO",'caseload data'!$C:$C,'divisional &amp; regional caseload'!$T$64)</f>
        <v>0</v>
      </c>
      <c r="AG94" s="94">
        <f>SUMIFS('caseload data'!Q:Q,'caseload data'!$D:$D,"PO",'caseload data'!$C:$C,'divisional &amp; regional caseload'!$T$64)</f>
        <v>0</v>
      </c>
      <c r="AH94" s="94">
        <f>SUMIFS('caseload data'!R:R,'caseload data'!$D:$D,"PO",'caseload data'!$C:$C,'divisional &amp; regional caseload'!$T$64)</f>
        <v>0</v>
      </c>
      <c r="AI94" s="94">
        <f>SUMIFS('caseload data'!S:S,'caseload data'!$D:$D,"PO",'caseload data'!$C:$C,'divisional &amp; regional caseload'!$T$64)</f>
        <v>0</v>
      </c>
      <c r="AJ94" s="94">
        <f>SUMIFS('caseload data'!T:T,'caseload data'!$D:$D,"PO",'caseload data'!$C:$C,'divisional &amp; regional caseload'!$T$64)</f>
        <v>0</v>
      </c>
    </row>
    <row r="95" spans="2:36" x14ac:dyDescent="0.15">
      <c r="B95" s="97" t="s">
        <v>1002</v>
      </c>
      <c r="C95" s="94">
        <f>SUMIFS('caseload data'!E:E,'caseload data'!$D:$D,"PSO",'caseload data'!$C:$C,'divisional &amp; regional caseload'!$B$92)</f>
        <v>0</v>
      </c>
      <c r="D95" s="94">
        <f>SUMIFS('caseload data'!F:F,'caseload data'!$D:$D,"PSO",'caseload data'!$C:$C,'divisional &amp; regional caseload'!$B$92)</f>
        <v>0</v>
      </c>
      <c r="E95" s="94">
        <f>SUMIFS('caseload data'!G:G,'caseload data'!$D:$D,"PSO",'caseload data'!$C:$C,'divisional &amp; regional caseload'!$B$92)</f>
        <v>0</v>
      </c>
      <c r="F95" s="94">
        <f>SUMIFS('caseload data'!H:H,'caseload data'!$D:$D,"PSO",'caseload data'!$C:$C,'divisional &amp; regional caseload'!$B$92)</f>
        <v>0</v>
      </c>
      <c r="G95" s="94">
        <f>SUMIFS('caseload data'!I:I,'caseload data'!$D:$D,"PSO",'caseload data'!$C:$C,'divisional &amp; regional caseload'!$B$92)</f>
        <v>0</v>
      </c>
      <c r="H95" s="94">
        <f>SUMIFS('caseload data'!J:J,'caseload data'!$D:$D,"PSO",'caseload data'!$C:$C,'divisional &amp; regional caseload'!$B$92)</f>
        <v>0</v>
      </c>
      <c r="I95" s="94">
        <f>SUMIFS('caseload data'!K:K,'caseload data'!$D:$D,"PSO",'caseload data'!$C:$C,'divisional &amp; regional caseload'!$B$92)</f>
        <v>0</v>
      </c>
      <c r="J95" s="94">
        <f>SUMIFS('caseload data'!L:L,'caseload data'!$D:$D,"PSO",'caseload data'!$C:$C,'divisional &amp; regional caseload'!$B$92)</f>
        <v>0</v>
      </c>
      <c r="K95" s="94">
        <f>SUMIFS('caseload data'!M:M,'caseload data'!$D:$D,"PSO",'caseload data'!$C:$C,'divisional &amp; regional caseload'!$B$92)</f>
        <v>0</v>
      </c>
      <c r="L95" s="94">
        <f>SUMIFS('caseload data'!N:N,'caseload data'!$D:$D,"PSO",'caseload data'!$C:$C,'divisional &amp; regional caseload'!$B$92)</f>
        <v>0</v>
      </c>
      <c r="M95" s="94">
        <f>SUMIFS('caseload data'!O:O,'caseload data'!$D:$D,"PSO",'caseload data'!$C:$C,'divisional &amp; regional caseload'!$B$92)</f>
        <v>0</v>
      </c>
      <c r="N95" s="94">
        <f>SUMIFS('caseload data'!P:P,'caseload data'!$D:$D,"PSO",'caseload data'!$C:$C,'divisional &amp; regional caseload'!$B$92)</f>
        <v>0</v>
      </c>
      <c r="O95" s="94">
        <f>SUMIFS('caseload data'!Q:Q,'caseload data'!$D:$D,"PSO",'caseload data'!$C:$C,'divisional &amp; regional caseload'!$B$92)</f>
        <v>0</v>
      </c>
      <c r="P95" s="94">
        <f>SUMIFS('caseload data'!R:R,'caseload data'!$D:$D,"PSO",'caseload data'!$C:$C,'divisional &amp; regional caseload'!$B$92)</f>
        <v>0</v>
      </c>
      <c r="Q95" s="94">
        <f>SUMIFS('caseload data'!S:S,'caseload data'!$D:$D,"PSO",'caseload data'!$C:$C,'divisional &amp; regional caseload'!$B$92)</f>
        <v>0</v>
      </c>
      <c r="R95" s="94">
        <f>SUMIFS('caseload data'!T:T,'caseload data'!$D:$D,"PSO",'caseload data'!$C:$C,'divisional &amp; regional caseload'!$B$92)</f>
        <v>0</v>
      </c>
      <c r="T95" s="97" t="s">
        <v>1002</v>
      </c>
      <c r="U95" s="94">
        <f>SUMIFS('caseload data'!E:E,'caseload data'!$D:$D,"PSO",'caseload data'!$C:$C,'divisional &amp; regional caseload'!$T$64)</f>
        <v>0</v>
      </c>
      <c r="V95" s="94">
        <f>SUMIFS('caseload data'!F:F,'caseload data'!$D:$D,"PSO",'caseload data'!$C:$C,'divisional &amp; regional caseload'!$T$64)</f>
        <v>0</v>
      </c>
      <c r="W95" s="94">
        <f>SUMIFS('caseload data'!G:G,'caseload data'!$D:$D,"PSO",'caseload data'!$C:$C,'divisional &amp; regional caseload'!$T$64)</f>
        <v>0</v>
      </c>
      <c r="X95" s="94">
        <f>SUMIFS('caseload data'!H:H,'caseload data'!$D:$D,"PSO",'caseload data'!$C:$C,'divisional &amp; regional caseload'!$T$64)</f>
        <v>0</v>
      </c>
      <c r="Y95" s="94">
        <f>SUMIFS('caseload data'!I:I,'caseload data'!$D:$D,"PSO",'caseload data'!$C:$C,'divisional &amp; regional caseload'!$T$64)</f>
        <v>0</v>
      </c>
      <c r="Z95" s="94">
        <f>SUMIFS('caseload data'!J:J,'caseload data'!$D:$D,"PSO",'caseload data'!$C:$C,'divisional &amp; regional caseload'!$T$64)</f>
        <v>0</v>
      </c>
      <c r="AA95" s="94">
        <f>SUMIFS('caseload data'!K:K,'caseload data'!$D:$D,"PSO",'caseload data'!$C:$C,'divisional &amp; regional caseload'!$T$64)</f>
        <v>0</v>
      </c>
      <c r="AB95" s="94">
        <f>SUMIFS('caseload data'!L:L,'caseload data'!$D:$D,"PSO",'caseload data'!$C:$C,'divisional &amp; regional caseload'!$T$64)</f>
        <v>0</v>
      </c>
      <c r="AC95" s="94">
        <f>SUMIFS('caseload data'!M:M,'caseload data'!$D:$D,"PSO",'caseload data'!$C:$C,'divisional &amp; regional caseload'!$T$64)</f>
        <v>0</v>
      </c>
      <c r="AD95" s="94">
        <f>SUMIFS('caseload data'!N:N,'caseload data'!$D:$D,"PSO",'caseload data'!$C:$C,'divisional &amp; regional caseload'!$T$64)</f>
        <v>0</v>
      </c>
      <c r="AE95" s="94">
        <f>SUMIFS('caseload data'!O:O,'caseload data'!$D:$D,"PSO",'caseload data'!$C:$C,'divisional &amp; regional caseload'!$T$64)</f>
        <v>0</v>
      </c>
      <c r="AF95" s="94">
        <f>SUMIFS('caseload data'!P:P,'caseload data'!$D:$D,"PSO",'caseload data'!$C:$C,'divisional &amp; regional caseload'!$T$64)</f>
        <v>0</v>
      </c>
      <c r="AG95" s="94">
        <f>SUMIFS('caseload data'!Q:Q,'caseload data'!$D:$D,"PSO",'caseload data'!$C:$C,'divisional &amp; regional caseload'!$T$64)</f>
        <v>0</v>
      </c>
      <c r="AH95" s="94">
        <f>SUMIFS('caseload data'!R:R,'caseload data'!$D:$D,"PSO",'caseload data'!$C:$C,'divisional &amp; regional caseload'!$T$64)</f>
        <v>0</v>
      </c>
      <c r="AI95" s="94">
        <f>SUMIFS('caseload data'!S:S,'caseload data'!$D:$D,"PSO",'caseload data'!$C:$C,'divisional &amp; regional caseload'!$T$64)</f>
        <v>0</v>
      </c>
      <c r="AJ95" s="94">
        <f>SUMIFS('caseload data'!T:T,'caseload data'!$D:$D,"PSO",'caseload data'!$C:$C,'divisional &amp; regional caseload'!$T$64)</f>
        <v>0</v>
      </c>
    </row>
    <row r="96" spans="2:36" x14ac:dyDescent="0.15">
      <c r="B96" s="97" t="s">
        <v>1003</v>
      </c>
      <c r="C96" s="94">
        <f>SUMIFS('caseload data'!E:E,'caseload data'!$D:$D,"TPO",'caseload data'!$C:$C,'divisional &amp; regional caseload'!$B$92)</f>
        <v>0</v>
      </c>
      <c r="D96" s="94">
        <f>SUMIFS('caseload data'!F:F,'caseload data'!$D:$D,"TPO",'caseload data'!$C:$C,'divisional &amp; regional caseload'!$B$92)</f>
        <v>0</v>
      </c>
      <c r="E96" s="94">
        <f>SUMIFS('caseload data'!G:G,'caseload data'!$D:$D,"TPO",'caseload data'!$C:$C,'divisional &amp; regional caseload'!$B$92)</f>
        <v>0</v>
      </c>
      <c r="F96" s="94">
        <f>SUMIFS('caseload data'!H:H,'caseload data'!$D:$D,"TPO",'caseload data'!$C:$C,'divisional &amp; regional caseload'!$B$92)</f>
        <v>0</v>
      </c>
      <c r="G96" s="94">
        <f>SUMIFS('caseload data'!I:I,'caseload data'!$D:$D,"TPO",'caseload data'!$C:$C,'divisional &amp; regional caseload'!$B$92)</f>
        <v>0</v>
      </c>
      <c r="H96" s="94">
        <f>SUMIFS('caseload data'!J:J,'caseload data'!$D:$D,"TPO",'caseload data'!$C:$C,'divisional &amp; regional caseload'!$B$92)</f>
        <v>0</v>
      </c>
      <c r="I96" s="94">
        <f>SUMIFS('caseload data'!K:K,'caseload data'!$D:$D,"TPO",'caseload data'!$C:$C,'divisional &amp; regional caseload'!$B$92)</f>
        <v>0</v>
      </c>
      <c r="J96" s="94">
        <f>SUMIFS('caseload data'!L:L,'caseload data'!$D:$D,"TPO",'caseload data'!$C:$C,'divisional &amp; regional caseload'!$B$92)</f>
        <v>0</v>
      </c>
      <c r="K96" s="94">
        <f>SUMIFS('caseload data'!M:M,'caseload data'!$D:$D,"TPO",'caseload data'!$C:$C,'divisional &amp; regional caseload'!$B$92)</f>
        <v>0</v>
      </c>
      <c r="L96" s="94">
        <f>SUMIFS('caseload data'!N:N,'caseload data'!$D:$D,"TPO",'caseload data'!$C:$C,'divisional &amp; regional caseload'!$B$92)</f>
        <v>0</v>
      </c>
      <c r="M96" s="94">
        <f>SUMIFS('caseload data'!O:O,'caseload data'!$D:$D,"TPO",'caseload data'!$C:$C,'divisional &amp; regional caseload'!$B$92)</f>
        <v>0</v>
      </c>
      <c r="N96" s="94">
        <f>SUMIFS('caseload data'!P:P,'caseload data'!$D:$D,"TPO",'caseload data'!$C:$C,'divisional &amp; regional caseload'!$B$92)</f>
        <v>0</v>
      </c>
      <c r="O96" s="94">
        <f>SUMIFS('caseload data'!Q:Q,'caseload data'!$D:$D,"TPO",'caseload data'!$C:$C,'divisional &amp; regional caseload'!$B$92)</f>
        <v>0</v>
      </c>
      <c r="P96" s="94">
        <f>SUMIFS('caseload data'!R:R,'caseload data'!$D:$D,"TPO",'caseload data'!$C:$C,'divisional &amp; regional caseload'!$B$92)</f>
        <v>0</v>
      </c>
      <c r="Q96" s="94">
        <f>SUMIFS('caseload data'!S:S,'caseload data'!$D:$D,"TPO",'caseload data'!$C:$C,'divisional &amp; regional caseload'!$B$92)</f>
        <v>0</v>
      </c>
      <c r="R96" s="94">
        <f>SUMIFS('caseload data'!T:T,'caseload data'!$D:$D,"TPO",'caseload data'!$C:$C,'divisional &amp; regional caseload'!$B$92)</f>
        <v>0</v>
      </c>
      <c r="T96" s="97" t="s">
        <v>1003</v>
      </c>
      <c r="U96" s="94">
        <f>SUMIFS('caseload data'!E:E,'caseload data'!$D:$D,"TPO",'caseload data'!$C:$C,'divisional &amp; regional caseload'!$T$64)</f>
        <v>0</v>
      </c>
      <c r="V96" s="94">
        <f>SUMIFS('caseload data'!F:F,'caseload data'!$D:$D,"TPO",'caseload data'!$C:$C,'divisional &amp; regional caseload'!$T$64)</f>
        <v>0</v>
      </c>
      <c r="W96" s="94">
        <f>SUMIFS('caseload data'!G:G,'caseload data'!$D:$D,"TPO",'caseload data'!$C:$C,'divisional &amp; regional caseload'!$T$64)</f>
        <v>0</v>
      </c>
      <c r="X96" s="94">
        <f>SUMIFS('caseload data'!H:H,'caseload data'!$D:$D,"TPO",'caseload data'!$C:$C,'divisional &amp; regional caseload'!$T$64)</f>
        <v>0</v>
      </c>
      <c r="Y96" s="94">
        <f>SUMIFS('caseload data'!I:I,'caseload data'!$D:$D,"TPO",'caseload data'!$C:$C,'divisional &amp; regional caseload'!$T$64)</f>
        <v>0</v>
      </c>
      <c r="Z96" s="94">
        <f>SUMIFS('caseload data'!J:J,'caseload data'!$D:$D,"TPO",'caseload data'!$C:$C,'divisional &amp; regional caseload'!$T$64)</f>
        <v>0</v>
      </c>
      <c r="AA96" s="94">
        <f>SUMIFS('caseload data'!K:K,'caseload data'!$D:$D,"TPO",'caseload data'!$C:$C,'divisional &amp; regional caseload'!$T$64)</f>
        <v>0</v>
      </c>
      <c r="AB96" s="94">
        <f>SUMIFS('caseload data'!L:L,'caseload data'!$D:$D,"TPO",'caseload data'!$C:$C,'divisional &amp; regional caseload'!$T$64)</f>
        <v>0</v>
      </c>
      <c r="AC96" s="94">
        <f>SUMIFS('caseload data'!M:M,'caseload data'!$D:$D,"TPO",'caseload data'!$C:$C,'divisional &amp; regional caseload'!$T$64)</f>
        <v>0</v>
      </c>
      <c r="AD96" s="94">
        <f>SUMIFS('caseload data'!N:N,'caseload data'!$D:$D,"TPO",'caseload data'!$C:$C,'divisional &amp; regional caseload'!$T$64)</f>
        <v>0</v>
      </c>
      <c r="AE96" s="94">
        <f>SUMIFS('caseload data'!O:O,'caseload data'!$D:$D,"TPO",'caseload data'!$C:$C,'divisional &amp; regional caseload'!$T$64)</f>
        <v>0</v>
      </c>
      <c r="AF96" s="94">
        <f>SUMIFS('caseload data'!P:P,'caseload data'!$D:$D,"TPO",'caseload data'!$C:$C,'divisional &amp; regional caseload'!$T$64)</f>
        <v>0</v>
      </c>
      <c r="AG96" s="94">
        <f>SUMIFS('caseload data'!Q:Q,'caseload data'!$D:$D,"TPO",'caseload data'!$C:$C,'divisional &amp; regional caseload'!$T$64)</f>
        <v>0</v>
      </c>
      <c r="AH96" s="94">
        <f>SUMIFS('caseload data'!R:R,'caseload data'!$D:$D,"TPO",'caseload data'!$C:$C,'divisional &amp; regional caseload'!$T$64)</f>
        <v>0</v>
      </c>
      <c r="AI96" s="94">
        <f>SUMIFS('caseload data'!S:S,'caseload data'!$D:$D,"TPO",'caseload data'!$C:$C,'divisional &amp; regional caseload'!$T$64)</f>
        <v>0</v>
      </c>
      <c r="AJ96" s="94">
        <f>SUMIFS('caseload data'!T:T,'caseload data'!$D:$D,"TPO",'caseload data'!$C:$C,'divisional &amp; regional caseload'!$T$64)</f>
        <v>0</v>
      </c>
    </row>
    <row r="97" spans="2:36" x14ac:dyDescent="0.15">
      <c r="B97" s="98" t="s">
        <v>1004</v>
      </c>
      <c r="C97" s="94">
        <f>SUMIFS('caseload data'!E:E,'caseload data'!$D:$D,"SPO",'caseload data'!$C:$C,'divisional &amp; regional caseload'!$B$92)</f>
        <v>0</v>
      </c>
      <c r="D97" s="94">
        <f>SUMIFS('caseload data'!F:F,'caseload data'!$D:$D,"SPO",'caseload data'!$C:$C,'divisional &amp; regional caseload'!$B$92)</f>
        <v>0</v>
      </c>
      <c r="E97" s="94">
        <f>SUMIFS('caseload data'!G:G,'caseload data'!$D:$D,"SPO",'caseload data'!$C:$C,'divisional &amp; regional caseload'!$B$92)</f>
        <v>0</v>
      </c>
      <c r="F97" s="94">
        <f>SUMIFS('caseload data'!H:H,'caseload data'!$D:$D,"SPO",'caseload data'!$C:$C,'divisional &amp; regional caseload'!$B$92)</f>
        <v>0</v>
      </c>
      <c r="G97" s="94">
        <f>SUMIFS('caseload data'!I:I,'caseload data'!$D:$D,"SPO",'caseload data'!$C:$C,'divisional &amp; regional caseload'!$B$92)</f>
        <v>0</v>
      </c>
      <c r="H97" s="94">
        <f>SUMIFS('caseload data'!J:J,'caseload data'!$D:$D,"SPO",'caseload data'!$C:$C,'divisional &amp; regional caseload'!$B$92)</f>
        <v>0</v>
      </c>
      <c r="I97" s="94">
        <f>SUMIFS('caseload data'!K:K,'caseload data'!$D:$D,"SPO",'caseload data'!$C:$C,'divisional &amp; regional caseload'!$B$92)</f>
        <v>0</v>
      </c>
      <c r="J97" s="94">
        <f>SUMIFS('caseload data'!L:L,'caseload data'!$D:$D,"SPO",'caseload data'!$C:$C,'divisional &amp; regional caseload'!$B$92)</f>
        <v>0</v>
      </c>
      <c r="K97" s="94">
        <f>SUMIFS('caseload data'!M:M,'caseload data'!$D:$D,"SPO",'caseload data'!$C:$C,'divisional &amp; regional caseload'!$B$92)</f>
        <v>0</v>
      </c>
      <c r="L97" s="94">
        <f>SUMIFS('caseload data'!N:N,'caseload data'!$D:$D,"SPO",'caseload data'!$C:$C,'divisional &amp; regional caseload'!$B$92)</f>
        <v>0</v>
      </c>
      <c r="M97" s="94">
        <f>SUMIFS('caseload data'!O:O,'caseload data'!$D:$D,"SPO",'caseload data'!$C:$C,'divisional &amp; regional caseload'!$B$92)</f>
        <v>0</v>
      </c>
      <c r="N97" s="94">
        <f>SUMIFS('caseload data'!P:P,'caseload data'!$D:$D,"SPO",'caseload data'!$C:$C,'divisional &amp; regional caseload'!$B$92)</f>
        <v>0</v>
      </c>
      <c r="O97" s="94">
        <f>SUMIFS('caseload data'!Q:Q,'caseload data'!$D:$D,"SPO",'caseload data'!$C:$C,'divisional &amp; regional caseload'!$B$92)</f>
        <v>0</v>
      </c>
      <c r="P97" s="94">
        <f>SUMIFS('caseload data'!R:R,'caseload data'!$D:$D,"SPO",'caseload data'!$C:$C,'divisional &amp; regional caseload'!$B$92)</f>
        <v>0</v>
      </c>
      <c r="Q97" s="94">
        <f>SUMIFS('caseload data'!S:S,'caseload data'!$D:$D,"SPO",'caseload data'!$C:$C,'divisional &amp; regional caseload'!$B$92)</f>
        <v>0</v>
      </c>
      <c r="R97" s="94">
        <f>SUMIFS('caseload data'!T:T,'caseload data'!$D:$D,"SPO",'caseload data'!$C:$C,'divisional &amp; regional caseload'!$B$92)</f>
        <v>0</v>
      </c>
      <c r="T97" s="98" t="s">
        <v>1004</v>
      </c>
      <c r="U97" s="94">
        <f>SUMIFS('caseload data'!E:E,'caseload data'!$D:$D,"SPO",'caseload data'!$C:$C,'divisional &amp; regional caseload'!$T$64)</f>
        <v>0</v>
      </c>
      <c r="V97" s="94">
        <f>SUMIFS('caseload data'!F:F,'caseload data'!$D:$D,"SPO",'caseload data'!$C:$C,'divisional &amp; regional caseload'!$T$64)</f>
        <v>0</v>
      </c>
      <c r="W97" s="94">
        <f>SUMIFS('caseload data'!G:G,'caseload data'!$D:$D,"SPO",'caseload data'!$C:$C,'divisional &amp; regional caseload'!$T$64)</f>
        <v>0</v>
      </c>
      <c r="X97" s="94">
        <f>SUMIFS('caseload data'!H:H,'caseload data'!$D:$D,"SPO",'caseload data'!$C:$C,'divisional &amp; regional caseload'!$T$64)</f>
        <v>0</v>
      </c>
      <c r="Y97" s="94">
        <f>SUMIFS('caseload data'!I:I,'caseload data'!$D:$D,"SPO",'caseload data'!$C:$C,'divisional &amp; regional caseload'!$T$64)</f>
        <v>0</v>
      </c>
      <c r="Z97" s="94">
        <f>SUMIFS('caseload data'!J:J,'caseload data'!$D:$D,"SPO",'caseload data'!$C:$C,'divisional &amp; regional caseload'!$T$64)</f>
        <v>0</v>
      </c>
      <c r="AA97" s="94">
        <f>SUMIFS('caseload data'!K:K,'caseload data'!$D:$D,"SPO",'caseload data'!$C:$C,'divisional &amp; regional caseload'!$T$64)</f>
        <v>0</v>
      </c>
      <c r="AB97" s="94">
        <f>SUMIFS('caseload data'!L:L,'caseload data'!$D:$D,"SPO",'caseload data'!$C:$C,'divisional &amp; regional caseload'!$T$64)</f>
        <v>0</v>
      </c>
      <c r="AC97" s="94">
        <f>SUMIFS('caseload data'!M:M,'caseload data'!$D:$D,"SPO",'caseload data'!$C:$C,'divisional &amp; regional caseload'!$T$64)</f>
        <v>0</v>
      </c>
      <c r="AD97" s="94">
        <f>SUMIFS('caseload data'!N:N,'caseload data'!$D:$D,"SPO",'caseload data'!$C:$C,'divisional &amp; regional caseload'!$T$64)</f>
        <v>0</v>
      </c>
      <c r="AE97" s="94">
        <f>SUMIFS('caseload data'!O:O,'caseload data'!$D:$D,"SPO",'caseload data'!$C:$C,'divisional &amp; regional caseload'!$T$64)</f>
        <v>0</v>
      </c>
      <c r="AF97" s="94">
        <f>SUMIFS('caseload data'!P:P,'caseload data'!$D:$D,"SPO",'caseload data'!$C:$C,'divisional &amp; regional caseload'!$T$64)</f>
        <v>0</v>
      </c>
      <c r="AG97" s="94">
        <f>SUMIFS('caseload data'!Q:Q,'caseload data'!$D:$D,"SPO",'caseload data'!$C:$C,'divisional &amp; regional caseload'!$T$64)</f>
        <v>0</v>
      </c>
      <c r="AH97" s="94">
        <f>SUMIFS('caseload data'!R:R,'caseload data'!$D:$D,"SPO",'caseload data'!$C:$C,'divisional &amp; regional caseload'!$T$64)</f>
        <v>0</v>
      </c>
      <c r="AI97" s="94">
        <f>SUMIFS('caseload data'!S:S,'caseload data'!$D:$D,"SPO",'caseload data'!$C:$C,'divisional &amp; regional caseload'!$T$64)</f>
        <v>0</v>
      </c>
      <c r="AJ97" s="94">
        <f>SUMIFS('caseload data'!T:T,'caseload data'!$D:$D,"SPO",'caseload data'!$C:$C,'divisional &amp; regional caseload'!$T$64)</f>
        <v>0</v>
      </c>
    </row>
    <row r="99" spans="2:36" ht="31.5" customHeight="1" x14ac:dyDescent="0.15">
      <c r="B99" s="142">
        <f>HLOOKUP($B$5,Region_Table,28,0)</f>
        <v>0</v>
      </c>
      <c r="C99" s="509" t="s">
        <v>1092</v>
      </c>
      <c r="D99" s="510"/>
      <c r="E99" s="510"/>
      <c r="F99" s="510"/>
      <c r="G99" s="510"/>
      <c r="H99" s="510"/>
      <c r="I99" s="510"/>
      <c r="J99" s="510"/>
      <c r="K99" s="510"/>
      <c r="L99" s="510"/>
      <c r="M99" s="520"/>
      <c r="N99" s="520"/>
      <c r="O99" s="521"/>
      <c r="P99" s="512">
        <f>SUMIF('caseload data'!$C:$C,'divisional &amp; regional caseload'!B99,'caseload data'!V:V)</f>
        <v>0</v>
      </c>
      <c r="Q99" s="513"/>
      <c r="R99" s="514"/>
      <c r="T99" s="142">
        <f>HLOOKUP($B$5,Region_Table,29,0)</f>
        <v>0</v>
      </c>
      <c r="U99" s="509" t="s">
        <v>1092</v>
      </c>
      <c r="V99" s="510"/>
      <c r="W99" s="510"/>
      <c r="X99" s="510"/>
      <c r="Y99" s="510"/>
      <c r="Z99" s="510"/>
      <c r="AA99" s="510"/>
      <c r="AB99" s="510"/>
      <c r="AC99" s="510"/>
      <c r="AD99" s="510"/>
      <c r="AE99" s="510"/>
      <c r="AF99" s="510"/>
      <c r="AG99" s="511"/>
      <c r="AH99" s="512">
        <f>SUMIF('caseload data'!$C:$C,'divisional &amp; regional caseload'!T99,'caseload data'!V:V)</f>
        <v>0</v>
      </c>
      <c r="AI99" s="515"/>
      <c r="AJ99" s="516"/>
    </row>
    <row r="100" spans="2:36" x14ac:dyDescent="0.15">
      <c r="B100" s="95" t="s">
        <v>1000</v>
      </c>
      <c r="C100" s="38" t="s">
        <v>864</v>
      </c>
      <c r="D100" s="38" t="s">
        <v>865</v>
      </c>
      <c r="E100" s="38" t="s">
        <v>866</v>
      </c>
      <c r="F100" s="38" t="s">
        <v>867</v>
      </c>
      <c r="G100" s="38" t="s">
        <v>868</v>
      </c>
      <c r="H100" s="38" t="s">
        <v>869</v>
      </c>
      <c r="I100" s="38" t="s">
        <v>870</v>
      </c>
      <c r="J100" s="38" t="s">
        <v>871</v>
      </c>
      <c r="K100" s="38" t="s">
        <v>872</v>
      </c>
      <c r="L100" s="38" t="s">
        <v>873</v>
      </c>
      <c r="M100" s="38" t="s">
        <v>874</v>
      </c>
      <c r="N100" s="38" t="s">
        <v>875</v>
      </c>
      <c r="O100" s="38" t="s">
        <v>876</v>
      </c>
      <c r="P100" s="38" t="s">
        <v>877</v>
      </c>
      <c r="Q100" s="38" t="s">
        <v>878</v>
      </c>
      <c r="R100" s="38" t="s">
        <v>879</v>
      </c>
      <c r="T100" s="95" t="s">
        <v>1000</v>
      </c>
      <c r="U100" s="38" t="s">
        <v>864</v>
      </c>
      <c r="V100" s="38" t="s">
        <v>865</v>
      </c>
      <c r="W100" s="38" t="s">
        <v>866</v>
      </c>
      <c r="X100" s="38" t="s">
        <v>867</v>
      </c>
      <c r="Y100" s="38" t="s">
        <v>868</v>
      </c>
      <c r="Z100" s="38" t="s">
        <v>869</v>
      </c>
      <c r="AA100" s="38" t="s">
        <v>870</v>
      </c>
      <c r="AB100" s="38" t="s">
        <v>871</v>
      </c>
      <c r="AC100" s="38" t="s">
        <v>872</v>
      </c>
      <c r="AD100" s="38" t="s">
        <v>873</v>
      </c>
      <c r="AE100" s="38" t="s">
        <v>874</v>
      </c>
      <c r="AF100" s="38" t="s">
        <v>875</v>
      </c>
      <c r="AG100" s="38" t="s">
        <v>876</v>
      </c>
      <c r="AH100" s="38" t="s">
        <v>877</v>
      </c>
      <c r="AI100" s="38" t="s">
        <v>878</v>
      </c>
      <c r="AJ100" s="38" t="s">
        <v>879</v>
      </c>
    </row>
    <row r="101" spans="2:36" x14ac:dyDescent="0.15">
      <c r="B101" s="96" t="s">
        <v>997</v>
      </c>
      <c r="C101" s="94">
        <f>SUMIFS('caseload data'!E:E,'caseload data'!$D:$D,"PO",'caseload data'!$C:$C,'divisional &amp; regional caseload'!$B$71)</f>
        <v>0</v>
      </c>
      <c r="D101" s="94">
        <f>SUMIFS('caseload data'!F:F,'caseload data'!$D:$D,"PO",'caseload data'!$C:$C,'divisional &amp; regional caseload'!$B$71)</f>
        <v>0</v>
      </c>
      <c r="E101" s="94">
        <f>SUMIFS('caseload data'!G:G,'caseload data'!$D:$D,"PO",'caseload data'!$C:$C,'divisional &amp; regional caseload'!$B$71)</f>
        <v>0</v>
      </c>
      <c r="F101" s="94">
        <f>SUMIFS('caseload data'!H:H,'caseload data'!$D:$D,"PO",'caseload data'!$C:$C,'divisional &amp; regional caseload'!$B$71)</f>
        <v>0</v>
      </c>
      <c r="G101" s="94">
        <f>SUMIFS('caseload data'!I:I,'caseload data'!$D:$D,"PO",'caseload data'!$C:$C,'divisional &amp; regional caseload'!$B$71)</f>
        <v>0</v>
      </c>
      <c r="H101" s="94">
        <f>SUMIFS('caseload data'!J:J,'caseload data'!$D:$D,"PO",'caseload data'!$C:$C,'divisional &amp; regional caseload'!$B$71)</f>
        <v>0</v>
      </c>
      <c r="I101" s="94">
        <f>SUMIFS('caseload data'!K:K,'caseload data'!$D:$D,"PO",'caseload data'!$C:$C,'divisional &amp; regional caseload'!$B$71)</f>
        <v>0</v>
      </c>
      <c r="J101" s="94">
        <f>SUMIFS('caseload data'!L:L,'caseload data'!$D:$D,"PO",'caseload data'!$C:$C,'divisional &amp; regional caseload'!$B$71)</f>
        <v>0</v>
      </c>
      <c r="K101" s="94">
        <f>SUMIFS('caseload data'!M:M,'caseload data'!$D:$D,"PO",'caseload data'!$C:$C,'divisional &amp; regional caseload'!$B$71)</f>
        <v>0</v>
      </c>
      <c r="L101" s="94">
        <f>SUMIFS('caseload data'!N:N,'caseload data'!$D:$D,"PO",'caseload data'!$C:$C,'divisional &amp; regional caseload'!$B$71)</f>
        <v>0</v>
      </c>
      <c r="M101" s="94">
        <f>SUMIFS('caseload data'!O:O,'caseload data'!$D:$D,"PO",'caseload data'!$C:$C,'divisional &amp; regional caseload'!$B$71)</f>
        <v>0</v>
      </c>
      <c r="N101" s="94">
        <f>SUMIFS('caseload data'!P:P,'caseload data'!$D:$D,"PO",'caseload data'!$C:$C,'divisional &amp; regional caseload'!$B$71)</f>
        <v>0</v>
      </c>
      <c r="O101" s="94">
        <f>SUMIFS('caseload data'!Q:Q,'caseload data'!$D:$D,"PO",'caseload data'!$C:$C,'divisional &amp; regional caseload'!$B$71)</f>
        <v>0</v>
      </c>
      <c r="P101" s="94">
        <f>SUMIFS('caseload data'!R:R,'caseload data'!$D:$D,"PO",'caseload data'!$C:$C,'divisional &amp; regional caseload'!$B$71)</f>
        <v>0</v>
      </c>
      <c r="Q101" s="94">
        <f>SUMIFS('caseload data'!S:S,'caseload data'!$D:$D,"PO",'caseload data'!$C:$C,'divisional &amp; regional caseload'!$B$71)</f>
        <v>0</v>
      </c>
      <c r="R101" s="94">
        <f>SUMIFS('caseload data'!T:T,'caseload data'!$D:$D,"PO",'caseload data'!$C:$C,'divisional &amp; regional caseload'!$B$71)</f>
        <v>0</v>
      </c>
      <c r="T101" s="96" t="s">
        <v>997</v>
      </c>
      <c r="U101" s="94">
        <f>SUMIFS('caseload data'!E:E,'caseload data'!$D:$D,"PO",'caseload data'!$C:$C,'divisional &amp; regional caseload'!$T$99)</f>
        <v>0</v>
      </c>
      <c r="V101" s="94">
        <f>SUMIFS('caseload data'!F:F,'caseload data'!$D:$D,"PO",'caseload data'!$C:$C,'divisional &amp; regional caseload'!$T$99)</f>
        <v>0</v>
      </c>
      <c r="W101" s="94">
        <f>SUMIFS('caseload data'!G:G,'caseload data'!$D:$D,"PO",'caseload data'!$C:$C,'divisional &amp; regional caseload'!$T$99)</f>
        <v>0</v>
      </c>
      <c r="X101" s="94">
        <f>SUMIFS('caseload data'!H:H,'caseload data'!$D:$D,"PO",'caseload data'!$C:$C,'divisional &amp; regional caseload'!$T$99)</f>
        <v>0</v>
      </c>
      <c r="Y101" s="94">
        <f>SUMIFS('caseload data'!I:I,'caseload data'!$D:$D,"PO",'caseload data'!$C:$C,'divisional &amp; regional caseload'!$T$99)</f>
        <v>0</v>
      </c>
      <c r="Z101" s="94">
        <f>SUMIFS('caseload data'!J:J,'caseload data'!$D:$D,"PO",'caseload data'!$C:$C,'divisional &amp; regional caseload'!$T$99)</f>
        <v>0</v>
      </c>
      <c r="AA101" s="94">
        <f>SUMIFS('caseload data'!K:K,'caseload data'!$D:$D,"PO",'caseload data'!$C:$C,'divisional &amp; regional caseload'!$T$99)</f>
        <v>0</v>
      </c>
      <c r="AB101" s="94">
        <f>SUMIFS('caseload data'!L:L,'caseload data'!$D:$D,"PO",'caseload data'!$C:$C,'divisional &amp; regional caseload'!$T$99)</f>
        <v>0</v>
      </c>
      <c r="AC101" s="94">
        <f>SUMIFS('caseload data'!M:M,'caseload data'!$D:$D,"PO",'caseload data'!$C:$C,'divisional &amp; regional caseload'!$T$99)</f>
        <v>0</v>
      </c>
      <c r="AD101" s="94">
        <f>SUMIFS('caseload data'!N:N,'caseload data'!$D:$D,"PO",'caseload data'!$C:$C,'divisional &amp; regional caseload'!$T$99)</f>
        <v>0</v>
      </c>
      <c r="AE101" s="94">
        <f>SUMIFS('caseload data'!O:O,'caseload data'!$D:$D,"PO",'caseload data'!$C:$C,'divisional &amp; regional caseload'!$T$99)</f>
        <v>0</v>
      </c>
      <c r="AF101" s="94">
        <f>SUMIFS('caseload data'!P:P,'caseload data'!$D:$D,"PO",'caseload data'!$C:$C,'divisional &amp; regional caseload'!$T$99)</f>
        <v>0</v>
      </c>
      <c r="AG101" s="94">
        <f>SUMIFS('caseload data'!Q:Q,'caseload data'!$D:$D,"PO",'caseload data'!$C:$C,'divisional &amp; regional caseload'!$T$99)</f>
        <v>0</v>
      </c>
      <c r="AH101" s="94">
        <f>SUMIFS('caseload data'!R:R,'caseload data'!$D:$D,"PO",'caseload data'!$C:$C,'divisional &amp; regional caseload'!$T$99)</f>
        <v>0</v>
      </c>
      <c r="AI101" s="94">
        <f>SUMIFS('caseload data'!S:S,'caseload data'!$D:$D,"PO",'caseload data'!$C:$C,'divisional &amp; regional caseload'!$T$99)</f>
        <v>0</v>
      </c>
      <c r="AJ101" s="94">
        <f>SUMIFS('caseload data'!T:T,'caseload data'!$D:$D,"PO",'caseload data'!$C:$C,'divisional &amp; regional caseload'!$T$99)</f>
        <v>0</v>
      </c>
    </row>
    <row r="102" spans="2:36" x14ac:dyDescent="0.15">
      <c r="B102" s="97" t="s">
        <v>1002</v>
      </c>
      <c r="C102" s="94">
        <f>SUMIFS('caseload data'!E:E,'caseload data'!$D:$D,"PSO",'caseload data'!$C:$C,'divisional &amp; regional caseload'!$B$71)</f>
        <v>0</v>
      </c>
      <c r="D102" s="94">
        <f>SUMIFS('caseload data'!F:F,'caseload data'!$D:$D,"PSO",'caseload data'!$C:$C,'divisional &amp; regional caseload'!$B$71)</f>
        <v>0</v>
      </c>
      <c r="E102" s="94">
        <f>SUMIFS('caseload data'!G:G,'caseload data'!$D:$D,"PSO",'caseload data'!$C:$C,'divisional &amp; regional caseload'!$B$71)</f>
        <v>0</v>
      </c>
      <c r="F102" s="94">
        <f>SUMIFS('caseload data'!H:H,'caseload data'!$D:$D,"PSO",'caseload data'!$C:$C,'divisional &amp; regional caseload'!$B$71)</f>
        <v>0</v>
      </c>
      <c r="G102" s="94">
        <f>SUMIFS('caseload data'!I:I,'caseload data'!$D:$D,"PSO",'caseload data'!$C:$C,'divisional &amp; regional caseload'!$B$71)</f>
        <v>0</v>
      </c>
      <c r="H102" s="94">
        <f>SUMIFS('caseload data'!J:J,'caseload data'!$D:$D,"PSO",'caseload data'!$C:$C,'divisional &amp; regional caseload'!$B$71)</f>
        <v>0</v>
      </c>
      <c r="I102" s="94">
        <f>SUMIFS('caseload data'!K:K,'caseload data'!$D:$D,"PSO",'caseload data'!$C:$C,'divisional &amp; regional caseload'!$B$71)</f>
        <v>0</v>
      </c>
      <c r="J102" s="94">
        <f>SUMIFS('caseload data'!L:L,'caseload data'!$D:$D,"PSO",'caseload data'!$C:$C,'divisional &amp; regional caseload'!$B$71)</f>
        <v>0</v>
      </c>
      <c r="K102" s="94">
        <f>SUMIFS('caseload data'!M:M,'caseload data'!$D:$D,"PSO",'caseload data'!$C:$C,'divisional &amp; regional caseload'!$B$71)</f>
        <v>0</v>
      </c>
      <c r="L102" s="94">
        <f>SUMIFS('caseload data'!N:N,'caseload data'!$D:$D,"PSO",'caseload data'!$C:$C,'divisional &amp; regional caseload'!$B$71)</f>
        <v>0</v>
      </c>
      <c r="M102" s="94">
        <f>SUMIFS('caseload data'!O:O,'caseload data'!$D:$D,"PSO",'caseload data'!$C:$C,'divisional &amp; regional caseload'!$B$71)</f>
        <v>0</v>
      </c>
      <c r="N102" s="94">
        <f>SUMIFS('caseload data'!P:P,'caseload data'!$D:$D,"PSO",'caseload data'!$C:$C,'divisional &amp; regional caseload'!$B$71)</f>
        <v>0</v>
      </c>
      <c r="O102" s="94">
        <f>SUMIFS('caseload data'!Q:Q,'caseload data'!$D:$D,"PSO",'caseload data'!$C:$C,'divisional &amp; regional caseload'!$B$71)</f>
        <v>0</v>
      </c>
      <c r="P102" s="94">
        <f>SUMIFS('caseload data'!R:R,'caseload data'!$D:$D,"PSO",'caseload data'!$C:$C,'divisional &amp; regional caseload'!$B$71)</f>
        <v>0</v>
      </c>
      <c r="Q102" s="94">
        <f>SUMIFS('caseload data'!S:S,'caseload data'!$D:$D,"PSO",'caseload data'!$C:$C,'divisional &amp; regional caseload'!$B$71)</f>
        <v>0</v>
      </c>
      <c r="R102" s="94">
        <f>SUMIFS('caseload data'!T:T,'caseload data'!$D:$D,"PSO",'caseload data'!$C:$C,'divisional &amp; regional caseload'!$B$71)</f>
        <v>0</v>
      </c>
      <c r="T102" s="97" t="s">
        <v>1002</v>
      </c>
      <c r="U102" s="94">
        <f>SUMIFS('caseload data'!E:E,'caseload data'!$D:$D,"PSO",'caseload data'!$C:$C,'divisional &amp; regional caseload'!$T$99)</f>
        <v>0</v>
      </c>
      <c r="V102" s="94">
        <f>SUMIFS('caseload data'!F:F,'caseload data'!$D:$D,"PSO",'caseload data'!$C:$C,'divisional &amp; regional caseload'!$T$99)</f>
        <v>0</v>
      </c>
      <c r="W102" s="94">
        <f>SUMIFS('caseload data'!G:G,'caseload data'!$D:$D,"PSO",'caseload data'!$C:$C,'divisional &amp; regional caseload'!$T$99)</f>
        <v>0</v>
      </c>
      <c r="X102" s="94">
        <f>SUMIFS('caseload data'!H:H,'caseload data'!$D:$D,"PSO",'caseload data'!$C:$C,'divisional &amp; regional caseload'!$T$99)</f>
        <v>0</v>
      </c>
      <c r="Y102" s="94">
        <f>SUMIFS('caseload data'!I:I,'caseload data'!$D:$D,"PSO",'caseload data'!$C:$C,'divisional &amp; regional caseload'!$T$99)</f>
        <v>0</v>
      </c>
      <c r="Z102" s="94">
        <f>SUMIFS('caseload data'!J:J,'caseload data'!$D:$D,"PSO",'caseload data'!$C:$C,'divisional &amp; regional caseload'!$T$99)</f>
        <v>0</v>
      </c>
      <c r="AA102" s="94">
        <f>SUMIFS('caseload data'!K:K,'caseload data'!$D:$D,"PSO",'caseload data'!$C:$C,'divisional &amp; regional caseload'!$T$99)</f>
        <v>0</v>
      </c>
      <c r="AB102" s="94">
        <f>SUMIFS('caseload data'!L:L,'caseload data'!$D:$D,"PSO",'caseload data'!$C:$C,'divisional &amp; regional caseload'!$T$99)</f>
        <v>0</v>
      </c>
      <c r="AC102" s="94">
        <f>SUMIFS('caseload data'!M:M,'caseload data'!$D:$D,"PSO",'caseload data'!$C:$C,'divisional &amp; regional caseload'!$T$99)</f>
        <v>0</v>
      </c>
      <c r="AD102" s="94">
        <f>SUMIFS('caseload data'!N:N,'caseload data'!$D:$D,"PSO",'caseload data'!$C:$C,'divisional &amp; regional caseload'!$T$99)</f>
        <v>0</v>
      </c>
      <c r="AE102" s="94">
        <f>SUMIFS('caseload data'!O:O,'caseload data'!$D:$D,"PSO",'caseload data'!$C:$C,'divisional &amp; regional caseload'!$T$99)</f>
        <v>0</v>
      </c>
      <c r="AF102" s="94">
        <f>SUMIFS('caseload data'!P:P,'caseload data'!$D:$D,"PSO",'caseload data'!$C:$C,'divisional &amp; regional caseload'!$T$99)</f>
        <v>0</v>
      </c>
      <c r="AG102" s="94">
        <f>SUMIFS('caseload data'!Q:Q,'caseload data'!$D:$D,"PSO",'caseload data'!$C:$C,'divisional &amp; regional caseload'!$T$99)</f>
        <v>0</v>
      </c>
      <c r="AH102" s="94">
        <f>SUMIFS('caseload data'!R:R,'caseload data'!$D:$D,"PSO",'caseload data'!$C:$C,'divisional &amp; regional caseload'!$T$99)</f>
        <v>0</v>
      </c>
      <c r="AI102" s="94">
        <f>SUMIFS('caseload data'!S:S,'caseload data'!$D:$D,"PSO",'caseload data'!$C:$C,'divisional &amp; regional caseload'!$T$99)</f>
        <v>0</v>
      </c>
      <c r="AJ102" s="94">
        <f>SUMIFS('caseload data'!T:T,'caseload data'!$D:$D,"PSO",'caseload data'!$C:$C,'divisional &amp; regional caseload'!$T$99)</f>
        <v>0</v>
      </c>
    </row>
    <row r="103" spans="2:36" x14ac:dyDescent="0.15">
      <c r="B103" s="97" t="s">
        <v>1003</v>
      </c>
      <c r="C103" s="94">
        <f>SUMIFS('caseload data'!E:E,'caseload data'!$D:$D,"TPO",'caseload data'!$C:$C,'divisional &amp; regional caseload'!$B$71)</f>
        <v>0</v>
      </c>
      <c r="D103" s="94">
        <f>SUMIFS('caseload data'!F:F,'caseload data'!$D:$D,"TPO",'caseload data'!$C:$C,'divisional &amp; regional caseload'!$B$71)</f>
        <v>0</v>
      </c>
      <c r="E103" s="94">
        <f>SUMIFS('caseload data'!G:G,'caseload data'!$D:$D,"TPO",'caseload data'!$C:$C,'divisional &amp; regional caseload'!$B$71)</f>
        <v>0</v>
      </c>
      <c r="F103" s="94">
        <f>SUMIFS('caseload data'!H:H,'caseload data'!$D:$D,"TPO",'caseload data'!$C:$C,'divisional &amp; regional caseload'!$B$71)</f>
        <v>0</v>
      </c>
      <c r="G103" s="94">
        <f>SUMIFS('caseload data'!I:I,'caseload data'!$D:$D,"TPO",'caseload data'!$C:$C,'divisional &amp; regional caseload'!$B$71)</f>
        <v>0</v>
      </c>
      <c r="H103" s="94">
        <f>SUMIFS('caseload data'!J:J,'caseload data'!$D:$D,"TPO",'caseload data'!$C:$C,'divisional &amp; regional caseload'!$B$71)</f>
        <v>0</v>
      </c>
      <c r="I103" s="94">
        <f>SUMIFS('caseload data'!K:K,'caseload data'!$D:$D,"TPO",'caseload data'!$C:$C,'divisional &amp; regional caseload'!$B$71)</f>
        <v>0</v>
      </c>
      <c r="J103" s="94">
        <f>SUMIFS('caseload data'!L:L,'caseload data'!$D:$D,"TPO",'caseload data'!$C:$C,'divisional &amp; regional caseload'!$B$71)</f>
        <v>0</v>
      </c>
      <c r="K103" s="94">
        <f>SUMIFS('caseload data'!M:M,'caseload data'!$D:$D,"TPO",'caseload data'!$C:$C,'divisional &amp; regional caseload'!$B$71)</f>
        <v>0</v>
      </c>
      <c r="L103" s="94">
        <f>SUMIFS('caseload data'!N:N,'caseload data'!$D:$D,"TPO",'caseload data'!$C:$C,'divisional &amp; regional caseload'!$B$71)</f>
        <v>0</v>
      </c>
      <c r="M103" s="94">
        <f>SUMIFS('caseload data'!O:O,'caseload data'!$D:$D,"TPO",'caseload data'!$C:$C,'divisional &amp; regional caseload'!$B$71)</f>
        <v>0</v>
      </c>
      <c r="N103" s="94">
        <f>SUMIFS('caseload data'!P:P,'caseload data'!$D:$D,"TPO",'caseload data'!$C:$C,'divisional &amp; regional caseload'!$B$71)</f>
        <v>0</v>
      </c>
      <c r="O103" s="94">
        <f>SUMIFS('caseload data'!Q:Q,'caseload data'!$D:$D,"TPO",'caseload data'!$C:$C,'divisional &amp; regional caseload'!$B$71)</f>
        <v>0</v>
      </c>
      <c r="P103" s="94">
        <f>SUMIFS('caseload data'!R:R,'caseload data'!$D:$D,"TPO",'caseload data'!$C:$C,'divisional &amp; regional caseload'!$B$71)</f>
        <v>0</v>
      </c>
      <c r="Q103" s="94">
        <f>SUMIFS('caseload data'!S:S,'caseload data'!$D:$D,"TPO",'caseload data'!$C:$C,'divisional &amp; regional caseload'!$B$71)</f>
        <v>0</v>
      </c>
      <c r="R103" s="94">
        <f>SUMIFS('caseload data'!T:T,'caseload data'!$D:$D,"TPO",'caseload data'!$C:$C,'divisional &amp; regional caseload'!$B$71)</f>
        <v>0</v>
      </c>
      <c r="T103" s="97" t="s">
        <v>1003</v>
      </c>
      <c r="U103" s="94">
        <f>SUMIFS('caseload data'!E:E,'caseload data'!$D:$D,"TPO",'caseload data'!$C:$C,'divisional &amp; regional caseload'!$T$99)</f>
        <v>0</v>
      </c>
      <c r="V103" s="94">
        <f>SUMIFS('caseload data'!F:F,'caseload data'!$D:$D,"TPO",'caseload data'!$C:$C,'divisional &amp; regional caseload'!$T$99)</f>
        <v>0</v>
      </c>
      <c r="W103" s="94">
        <f>SUMIFS('caseload data'!G:G,'caseload data'!$D:$D,"TPO",'caseload data'!$C:$C,'divisional &amp; regional caseload'!$T$99)</f>
        <v>0</v>
      </c>
      <c r="X103" s="94">
        <f>SUMIFS('caseload data'!H:H,'caseload data'!$D:$D,"TPO",'caseload data'!$C:$C,'divisional &amp; regional caseload'!$T$99)</f>
        <v>0</v>
      </c>
      <c r="Y103" s="94">
        <f>SUMIFS('caseload data'!I:I,'caseload data'!$D:$D,"TPO",'caseload data'!$C:$C,'divisional &amp; regional caseload'!$T$99)</f>
        <v>0</v>
      </c>
      <c r="Z103" s="94">
        <f>SUMIFS('caseload data'!J:J,'caseload data'!$D:$D,"TPO",'caseload data'!$C:$C,'divisional &amp; regional caseload'!$T$99)</f>
        <v>0</v>
      </c>
      <c r="AA103" s="94">
        <f>SUMIFS('caseload data'!K:K,'caseload data'!$D:$D,"TPO",'caseload data'!$C:$C,'divisional &amp; regional caseload'!$T$99)</f>
        <v>0</v>
      </c>
      <c r="AB103" s="94">
        <f>SUMIFS('caseload data'!L:L,'caseload data'!$D:$D,"TPO",'caseload data'!$C:$C,'divisional &amp; regional caseload'!$T$99)</f>
        <v>0</v>
      </c>
      <c r="AC103" s="94">
        <f>SUMIFS('caseload data'!M:M,'caseload data'!$D:$D,"TPO",'caseload data'!$C:$C,'divisional &amp; regional caseload'!$T$99)</f>
        <v>0</v>
      </c>
      <c r="AD103" s="94">
        <f>SUMIFS('caseload data'!N:N,'caseload data'!$D:$D,"TPO",'caseload data'!$C:$C,'divisional &amp; regional caseload'!$T$99)</f>
        <v>0</v>
      </c>
      <c r="AE103" s="94">
        <f>SUMIFS('caseload data'!O:O,'caseload data'!$D:$D,"TPO",'caseload data'!$C:$C,'divisional &amp; regional caseload'!$T$99)</f>
        <v>0</v>
      </c>
      <c r="AF103" s="94">
        <f>SUMIFS('caseload data'!P:P,'caseload data'!$D:$D,"TPO",'caseload data'!$C:$C,'divisional &amp; regional caseload'!$T$99)</f>
        <v>0</v>
      </c>
      <c r="AG103" s="94">
        <f>SUMIFS('caseload data'!Q:Q,'caseload data'!$D:$D,"TPO",'caseload data'!$C:$C,'divisional &amp; regional caseload'!$T$99)</f>
        <v>0</v>
      </c>
      <c r="AH103" s="94">
        <f>SUMIFS('caseload data'!R:R,'caseload data'!$D:$D,"TPO",'caseload data'!$C:$C,'divisional &amp; regional caseload'!$T$99)</f>
        <v>0</v>
      </c>
      <c r="AI103" s="94">
        <f>SUMIFS('caseload data'!S:S,'caseload data'!$D:$D,"TPO",'caseload data'!$C:$C,'divisional &amp; regional caseload'!$T$99)</f>
        <v>0</v>
      </c>
      <c r="AJ103" s="94">
        <f>SUMIFS('caseload data'!T:T,'caseload data'!$D:$D,"TPO",'caseload data'!$C:$C,'divisional &amp; regional caseload'!$T$99)</f>
        <v>0</v>
      </c>
    </row>
    <row r="104" spans="2:36" x14ac:dyDescent="0.15">
      <c r="B104" s="98" t="s">
        <v>1004</v>
      </c>
      <c r="C104" s="94">
        <f>SUMIFS('caseload data'!E:E,'caseload data'!$D:$D,"SPO",'caseload data'!$C:$C,'divisional &amp; regional caseload'!$B$71)</f>
        <v>0</v>
      </c>
      <c r="D104" s="94">
        <f>SUMIFS('caseload data'!F:F,'caseload data'!$D:$D,"SPO",'caseload data'!$C:$C,'divisional &amp; regional caseload'!$B$71)</f>
        <v>0</v>
      </c>
      <c r="E104" s="94">
        <f>SUMIFS('caseload data'!G:G,'caseload data'!$D:$D,"SPO",'caseload data'!$C:$C,'divisional &amp; regional caseload'!$B$71)</f>
        <v>0</v>
      </c>
      <c r="F104" s="94">
        <f>SUMIFS('caseload data'!H:H,'caseload data'!$D:$D,"SPO",'caseload data'!$C:$C,'divisional &amp; regional caseload'!$B$71)</f>
        <v>0</v>
      </c>
      <c r="G104" s="94">
        <f>SUMIFS('caseload data'!I:I,'caseload data'!$D:$D,"SPO",'caseload data'!$C:$C,'divisional &amp; regional caseload'!$B$71)</f>
        <v>0</v>
      </c>
      <c r="H104" s="94">
        <f>SUMIFS('caseload data'!J:J,'caseload data'!$D:$D,"SPO",'caseload data'!$C:$C,'divisional &amp; regional caseload'!$B$71)</f>
        <v>0</v>
      </c>
      <c r="I104" s="94">
        <f>SUMIFS('caseload data'!K:K,'caseload data'!$D:$D,"SPO",'caseload data'!$C:$C,'divisional &amp; regional caseload'!$B$71)</f>
        <v>0</v>
      </c>
      <c r="J104" s="94">
        <f>SUMIFS('caseload data'!L:L,'caseload data'!$D:$D,"SPO",'caseload data'!$C:$C,'divisional &amp; regional caseload'!$B$71)</f>
        <v>0</v>
      </c>
      <c r="K104" s="94">
        <f>SUMIFS('caseload data'!M:M,'caseload data'!$D:$D,"SPO",'caseload data'!$C:$C,'divisional &amp; regional caseload'!$B$71)</f>
        <v>0</v>
      </c>
      <c r="L104" s="94">
        <f>SUMIFS('caseload data'!N:N,'caseload data'!$D:$D,"SPO",'caseload data'!$C:$C,'divisional &amp; regional caseload'!$B$71)</f>
        <v>0</v>
      </c>
      <c r="M104" s="94">
        <f>SUMIFS('caseload data'!O:O,'caseload data'!$D:$D,"SPO",'caseload data'!$C:$C,'divisional &amp; regional caseload'!$B$71)</f>
        <v>0</v>
      </c>
      <c r="N104" s="94">
        <f>SUMIFS('caseload data'!P:P,'caseload data'!$D:$D,"SPO",'caseload data'!$C:$C,'divisional &amp; regional caseload'!$B$71)</f>
        <v>0</v>
      </c>
      <c r="O104" s="94">
        <f>SUMIFS('caseload data'!Q:Q,'caseload data'!$D:$D,"SPO",'caseload data'!$C:$C,'divisional &amp; regional caseload'!$B$71)</f>
        <v>0</v>
      </c>
      <c r="P104" s="94">
        <f>SUMIFS('caseload data'!R:R,'caseload data'!$D:$D,"SPO",'caseload data'!$C:$C,'divisional &amp; regional caseload'!$B$71)</f>
        <v>0</v>
      </c>
      <c r="Q104" s="94">
        <f>SUMIFS('caseload data'!S:S,'caseload data'!$D:$D,"SPO",'caseload data'!$C:$C,'divisional &amp; regional caseload'!$B$71)</f>
        <v>0</v>
      </c>
      <c r="R104" s="94">
        <f>SUMIFS('caseload data'!T:T,'caseload data'!$D:$D,"SPO",'caseload data'!$C:$C,'divisional &amp; regional caseload'!$B$71)</f>
        <v>0</v>
      </c>
      <c r="T104" s="98" t="s">
        <v>1004</v>
      </c>
      <c r="U104" s="94">
        <f>SUMIFS('caseload data'!E:E,'caseload data'!$D:$D,"SPO",'caseload data'!$C:$C,'divisional &amp; regional caseload'!$T$99)</f>
        <v>0</v>
      </c>
      <c r="V104" s="94">
        <f>SUMIFS('caseload data'!F:F,'caseload data'!$D:$D,"SPO",'caseload data'!$C:$C,'divisional &amp; regional caseload'!$T$99)</f>
        <v>0</v>
      </c>
      <c r="W104" s="94">
        <f>SUMIFS('caseload data'!G:G,'caseload data'!$D:$D,"SPO",'caseload data'!$C:$C,'divisional &amp; regional caseload'!$T$99)</f>
        <v>0</v>
      </c>
      <c r="X104" s="94">
        <f>SUMIFS('caseload data'!H:H,'caseload data'!$D:$D,"SPO",'caseload data'!$C:$C,'divisional &amp; regional caseload'!$T$99)</f>
        <v>0</v>
      </c>
      <c r="Y104" s="94">
        <f>SUMIFS('caseload data'!I:I,'caseload data'!$D:$D,"SPO",'caseload data'!$C:$C,'divisional &amp; regional caseload'!$T$99)</f>
        <v>0</v>
      </c>
      <c r="Z104" s="94">
        <f>SUMIFS('caseload data'!J:J,'caseload data'!$D:$D,"SPO",'caseload data'!$C:$C,'divisional &amp; regional caseload'!$T$99)</f>
        <v>0</v>
      </c>
      <c r="AA104" s="94">
        <f>SUMIFS('caseload data'!K:K,'caseload data'!$D:$D,"SPO",'caseload data'!$C:$C,'divisional &amp; regional caseload'!$T$99)</f>
        <v>0</v>
      </c>
      <c r="AB104" s="94">
        <f>SUMIFS('caseload data'!L:L,'caseload data'!$D:$D,"SPO",'caseload data'!$C:$C,'divisional &amp; regional caseload'!$T$99)</f>
        <v>0</v>
      </c>
      <c r="AC104" s="94">
        <f>SUMIFS('caseload data'!M:M,'caseload data'!$D:$D,"SPO",'caseload data'!$C:$C,'divisional &amp; regional caseload'!$T$99)</f>
        <v>0</v>
      </c>
      <c r="AD104" s="94">
        <f>SUMIFS('caseload data'!N:N,'caseload data'!$D:$D,"SPO",'caseload data'!$C:$C,'divisional &amp; regional caseload'!$T$99)</f>
        <v>0</v>
      </c>
      <c r="AE104" s="94">
        <f>SUMIFS('caseload data'!O:O,'caseload data'!$D:$D,"SPO",'caseload data'!$C:$C,'divisional &amp; regional caseload'!$T$99)</f>
        <v>0</v>
      </c>
      <c r="AF104" s="94">
        <f>SUMIFS('caseload data'!P:P,'caseload data'!$D:$D,"SPO",'caseload data'!$C:$C,'divisional &amp; regional caseload'!$T$99)</f>
        <v>0</v>
      </c>
      <c r="AG104" s="94">
        <f>SUMIFS('caseload data'!Q:Q,'caseload data'!$D:$D,"SPO",'caseload data'!$C:$C,'divisional &amp; regional caseload'!$T$99)</f>
        <v>0</v>
      </c>
      <c r="AH104" s="94">
        <f>SUMIFS('caseload data'!R:R,'caseload data'!$D:$D,"SPO",'caseload data'!$C:$C,'divisional &amp; regional caseload'!$T$99)</f>
        <v>0</v>
      </c>
      <c r="AI104" s="94">
        <f>SUMIFS('caseload data'!S:S,'caseload data'!$D:$D,"SPO",'caseload data'!$C:$C,'divisional &amp; regional caseload'!$T$99)</f>
        <v>0</v>
      </c>
      <c r="AJ104" s="94">
        <f>SUMIFS('caseload data'!T:T,'caseload data'!$D:$D,"SPO",'caseload data'!$C:$C,'divisional &amp; regional caseload'!$T$99)</f>
        <v>0</v>
      </c>
    </row>
  </sheetData>
  <mergeCells count="59">
    <mergeCell ref="A2:AO2"/>
    <mergeCell ref="C8:O8"/>
    <mergeCell ref="P8:R8"/>
    <mergeCell ref="C15:O15"/>
    <mergeCell ref="P15:R15"/>
    <mergeCell ref="AH8:AJ8"/>
    <mergeCell ref="AH15:AJ15"/>
    <mergeCell ref="AH22:AJ22"/>
    <mergeCell ref="U22:AG22"/>
    <mergeCell ref="AH29:AJ29"/>
    <mergeCell ref="C43:O43"/>
    <mergeCell ref="P43:R43"/>
    <mergeCell ref="AH36:AJ36"/>
    <mergeCell ref="AH43:AJ43"/>
    <mergeCell ref="U29:AG29"/>
    <mergeCell ref="U36:AG36"/>
    <mergeCell ref="C22:O22"/>
    <mergeCell ref="P22:R22"/>
    <mergeCell ref="C29:O29"/>
    <mergeCell ref="P29:R29"/>
    <mergeCell ref="C36:O36"/>
    <mergeCell ref="P36:R36"/>
    <mergeCell ref="C99:O99"/>
    <mergeCell ref="P99:R99"/>
    <mergeCell ref="AH57:AJ57"/>
    <mergeCell ref="P57:R57"/>
    <mergeCell ref="U43:AG43"/>
    <mergeCell ref="U50:AG50"/>
    <mergeCell ref="U57:AG57"/>
    <mergeCell ref="C64:O64"/>
    <mergeCell ref="P64:R64"/>
    <mergeCell ref="AH64:AJ64"/>
    <mergeCell ref="C71:O71"/>
    <mergeCell ref="P71:R71"/>
    <mergeCell ref="AH71:AJ71"/>
    <mergeCell ref="U64:AG64"/>
    <mergeCell ref="U71:AG71"/>
    <mergeCell ref="U78:AG78"/>
    <mergeCell ref="A1:Z1"/>
    <mergeCell ref="AA1:AO1"/>
    <mergeCell ref="U8:AG8"/>
    <mergeCell ref="U15:AG15"/>
    <mergeCell ref="C92:O92"/>
    <mergeCell ref="P92:R92"/>
    <mergeCell ref="AH92:AJ92"/>
    <mergeCell ref="C78:O78"/>
    <mergeCell ref="P78:R78"/>
    <mergeCell ref="AH78:AJ78"/>
    <mergeCell ref="C85:O85"/>
    <mergeCell ref="P85:R85"/>
    <mergeCell ref="AH85:AJ85"/>
    <mergeCell ref="C50:O50"/>
    <mergeCell ref="P50:R50"/>
    <mergeCell ref="C57:O57"/>
    <mergeCell ref="U85:AG85"/>
    <mergeCell ref="AH50:AJ50"/>
    <mergeCell ref="AH99:AJ99"/>
    <mergeCell ref="U92:AG92"/>
    <mergeCell ref="U99:AG99"/>
  </mergeCells>
  <conditionalFormatting sqref="C11:C12">
    <cfRule type="cellIs" dxfId="4701" priority="639" operator="equal">
      <formula>0</formula>
    </cfRule>
    <cfRule type="cellIs" dxfId="4700" priority="640" operator="notEqual">
      <formula>0</formula>
    </cfRule>
  </conditionalFormatting>
  <conditionalFormatting sqref="D11:D12">
    <cfRule type="cellIs" dxfId="4699" priority="637" operator="equal">
      <formula>0</formula>
    </cfRule>
    <cfRule type="cellIs" dxfId="4698" priority="638" operator="notEqual">
      <formula>0</formula>
    </cfRule>
  </conditionalFormatting>
  <conditionalFormatting sqref="E11:E12">
    <cfRule type="cellIs" dxfId="4697" priority="635" operator="equal">
      <formula>0</formula>
    </cfRule>
    <cfRule type="cellIs" dxfId="4696" priority="636" operator="notEqual">
      <formula>0</formula>
    </cfRule>
  </conditionalFormatting>
  <conditionalFormatting sqref="F11:F12">
    <cfRule type="cellIs" dxfId="4695" priority="633" operator="equal">
      <formula>0</formula>
    </cfRule>
    <cfRule type="cellIs" dxfId="4694" priority="634" operator="notEqual">
      <formula>0</formula>
    </cfRule>
  </conditionalFormatting>
  <conditionalFormatting sqref="G11:G12">
    <cfRule type="cellIs" dxfId="4693" priority="631" operator="equal">
      <formula>0</formula>
    </cfRule>
    <cfRule type="cellIs" dxfId="4692" priority="632" operator="notEqual">
      <formula>0</formula>
    </cfRule>
  </conditionalFormatting>
  <conditionalFormatting sqref="H11:H12">
    <cfRule type="cellIs" dxfId="4691" priority="629" operator="equal">
      <formula>0</formula>
    </cfRule>
    <cfRule type="cellIs" dxfId="4690" priority="630" operator="notEqual">
      <formula>0</formula>
    </cfRule>
  </conditionalFormatting>
  <conditionalFormatting sqref="I11:I12">
    <cfRule type="cellIs" dxfId="4689" priority="627" operator="equal">
      <formula>0</formula>
    </cfRule>
    <cfRule type="cellIs" dxfId="4688" priority="628" operator="notEqual">
      <formula>0</formula>
    </cfRule>
  </conditionalFormatting>
  <conditionalFormatting sqref="J11:J12">
    <cfRule type="cellIs" dxfId="4687" priority="625" operator="equal">
      <formula>0</formula>
    </cfRule>
    <cfRule type="cellIs" dxfId="4686" priority="626" operator="notEqual">
      <formula>0</formula>
    </cfRule>
  </conditionalFormatting>
  <conditionalFormatting sqref="O10">
    <cfRule type="cellIs" dxfId="4685" priority="623" operator="equal">
      <formula>0</formula>
    </cfRule>
    <cfRule type="cellIs" dxfId="4684" priority="624" operator="notEqual">
      <formula>0</formula>
    </cfRule>
  </conditionalFormatting>
  <conditionalFormatting sqref="O13">
    <cfRule type="cellIs" dxfId="4683" priority="621" operator="equal">
      <formula>0</formula>
    </cfRule>
    <cfRule type="cellIs" dxfId="4682" priority="622" operator="notEqual">
      <formula>0</formula>
    </cfRule>
  </conditionalFormatting>
  <conditionalFormatting sqref="P10">
    <cfRule type="cellIs" dxfId="4681" priority="619" operator="equal">
      <formula>0</formula>
    </cfRule>
    <cfRule type="cellIs" dxfId="4680" priority="620" operator="notEqual">
      <formula>0</formula>
    </cfRule>
  </conditionalFormatting>
  <conditionalFormatting sqref="P13">
    <cfRule type="cellIs" dxfId="4679" priority="617" operator="equal">
      <formula>0</formula>
    </cfRule>
    <cfRule type="cellIs" dxfId="4678" priority="618" operator="notEqual">
      <formula>0</formula>
    </cfRule>
  </conditionalFormatting>
  <conditionalFormatting sqref="Q10">
    <cfRule type="cellIs" dxfId="4677" priority="615" operator="equal">
      <formula>0</formula>
    </cfRule>
    <cfRule type="cellIs" dxfId="4676" priority="616" operator="notEqual">
      <formula>0</formula>
    </cfRule>
  </conditionalFormatting>
  <conditionalFormatting sqref="Q13">
    <cfRule type="cellIs" dxfId="4675" priority="613" operator="equal">
      <formula>0</formula>
    </cfRule>
    <cfRule type="cellIs" dxfId="4674" priority="614" operator="notEqual">
      <formula>0</formula>
    </cfRule>
  </conditionalFormatting>
  <conditionalFormatting sqref="R10">
    <cfRule type="cellIs" dxfId="4673" priority="611" operator="equal">
      <formula>0</formula>
    </cfRule>
    <cfRule type="cellIs" dxfId="4672" priority="612" operator="notEqual">
      <formula>0</formula>
    </cfRule>
  </conditionalFormatting>
  <conditionalFormatting sqref="R13">
    <cfRule type="cellIs" dxfId="4671" priority="609" operator="equal">
      <formula>0</formula>
    </cfRule>
    <cfRule type="cellIs" dxfId="4670" priority="610" operator="notEqual">
      <formula>0</formula>
    </cfRule>
  </conditionalFormatting>
  <conditionalFormatting sqref="C18:C19">
    <cfRule type="cellIs" dxfId="4669" priority="575" operator="equal">
      <formula>0</formula>
    </cfRule>
    <cfRule type="cellIs" dxfId="4668" priority="576" operator="notEqual">
      <formula>0</formula>
    </cfRule>
  </conditionalFormatting>
  <conditionalFormatting sqref="D18:D19">
    <cfRule type="cellIs" dxfId="4667" priority="573" operator="equal">
      <formula>0</formula>
    </cfRule>
    <cfRule type="cellIs" dxfId="4666" priority="574" operator="notEqual">
      <formula>0</formula>
    </cfRule>
  </conditionalFormatting>
  <conditionalFormatting sqref="E18:E19">
    <cfRule type="cellIs" dxfId="4665" priority="571" operator="equal">
      <formula>0</formula>
    </cfRule>
    <cfRule type="cellIs" dxfId="4664" priority="572" operator="notEqual">
      <formula>0</formula>
    </cfRule>
  </conditionalFormatting>
  <conditionalFormatting sqref="F18:F19">
    <cfRule type="cellIs" dxfId="4663" priority="569" operator="equal">
      <formula>0</formula>
    </cfRule>
    <cfRule type="cellIs" dxfId="4662" priority="570" operator="notEqual">
      <formula>0</formula>
    </cfRule>
  </conditionalFormatting>
  <conditionalFormatting sqref="G18:G19">
    <cfRule type="cellIs" dxfId="4661" priority="567" operator="equal">
      <formula>0</formula>
    </cfRule>
    <cfRule type="cellIs" dxfId="4660" priority="568" operator="notEqual">
      <formula>0</formula>
    </cfRule>
  </conditionalFormatting>
  <conditionalFormatting sqref="H18:H19">
    <cfRule type="cellIs" dxfId="4659" priority="565" operator="equal">
      <formula>0</formula>
    </cfRule>
    <cfRule type="cellIs" dxfId="4658" priority="566" operator="notEqual">
      <formula>0</formula>
    </cfRule>
  </conditionalFormatting>
  <conditionalFormatting sqref="I18:I19">
    <cfRule type="cellIs" dxfId="4657" priority="563" operator="equal">
      <formula>0</formula>
    </cfRule>
    <cfRule type="cellIs" dxfId="4656" priority="564" operator="notEqual">
      <formula>0</formula>
    </cfRule>
  </conditionalFormatting>
  <conditionalFormatting sqref="J18:J19">
    <cfRule type="cellIs" dxfId="4655" priority="561" operator="equal">
      <formula>0</formula>
    </cfRule>
    <cfRule type="cellIs" dxfId="4654" priority="562" operator="notEqual">
      <formula>0</formula>
    </cfRule>
  </conditionalFormatting>
  <conditionalFormatting sqref="O17">
    <cfRule type="cellIs" dxfId="4653" priority="559" operator="equal">
      <formula>0</formula>
    </cfRule>
    <cfRule type="cellIs" dxfId="4652" priority="560" operator="notEqual">
      <formula>0</formula>
    </cfRule>
  </conditionalFormatting>
  <conditionalFormatting sqref="O20">
    <cfRule type="cellIs" dxfId="4651" priority="557" operator="equal">
      <formula>0</formula>
    </cfRule>
    <cfRule type="cellIs" dxfId="4650" priority="558" operator="notEqual">
      <formula>0</formula>
    </cfRule>
  </conditionalFormatting>
  <conditionalFormatting sqref="P17">
    <cfRule type="cellIs" dxfId="4649" priority="555" operator="equal">
      <formula>0</formula>
    </cfRule>
    <cfRule type="cellIs" dxfId="4648" priority="556" operator="notEqual">
      <formula>0</formula>
    </cfRule>
  </conditionalFormatting>
  <conditionalFormatting sqref="P20">
    <cfRule type="cellIs" dxfId="4647" priority="553" operator="equal">
      <formula>0</formula>
    </cfRule>
    <cfRule type="cellIs" dxfId="4646" priority="554" operator="notEqual">
      <formula>0</formula>
    </cfRule>
  </conditionalFormatting>
  <conditionalFormatting sqref="Q17">
    <cfRule type="cellIs" dxfId="4645" priority="551" operator="equal">
      <formula>0</formula>
    </cfRule>
    <cfRule type="cellIs" dxfId="4644" priority="552" operator="notEqual">
      <formula>0</formula>
    </cfRule>
  </conditionalFormatting>
  <conditionalFormatting sqref="Q20">
    <cfRule type="cellIs" dxfId="4643" priority="549" operator="equal">
      <formula>0</formula>
    </cfRule>
    <cfRule type="cellIs" dxfId="4642" priority="550" operator="notEqual">
      <formula>0</formula>
    </cfRule>
  </conditionalFormatting>
  <conditionalFormatting sqref="R17">
    <cfRule type="cellIs" dxfId="4641" priority="547" operator="equal">
      <formula>0</formula>
    </cfRule>
    <cfRule type="cellIs" dxfId="4640" priority="548" operator="notEqual">
      <formula>0</formula>
    </cfRule>
  </conditionalFormatting>
  <conditionalFormatting sqref="R20">
    <cfRule type="cellIs" dxfId="4639" priority="545" operator="equal">
      <formula>0</formula>
    </cfRule>
    <cfRule type="cellIs" dxfId="4638" priority="546" operator="notEqual">
      <formula>0</formula>
    </cfRule>
  </conditionalFormatting>
  <conditionalFormatting sqref="C25:C26">
    <cfRule type="cellIs" dxfId="4637" priority="543" operator="equal">
      <formula>0</formula>
    </cfRule>
    <cfRule type="cellIs" dxfId="4636" priority="544" operator="notEqual">
      <formula>0</formula>
    </cfRule>
  </conditionalFormatting>
  <conditionalFormatting sqref="D25:D26">
    <cfRule type="cellIs" dxfId="4635" priority="541" operator="equal">
      <formula>0</formula>
    </cfRule>
    <cfRule type="cellIs" dxfId="4634" priority="542" operator="notEqual">
      <formula>0</formula>
    </cfRule>
  </conditionalFormatting>
  <conditionalFormatting sqref="E25:E26">
    <cfRule type="cellIs" dxfId="4633" priority="539" operator="equal">
      <formula>0</formula>
    </cfRule>
    <cfRule type="cellIs" dxfId="4632" priority="540" operator="notEqual">
      <formula>0</formula>
    </cfRule>
  </conditionalFormatting>
  <conditionalFormatting sqref="F25:F26">
    <cfRule type="cellIs" dxfId="4631" priority="537" operator="equal">
      <formula>0</formula>
    </cfRule>
    <cfRule type="cellIs" dxfId="4630" priority="538" operator="notEqual">
      <formula>0</formula>
    </cfRule>
  </conditionalFormatting>
  <conditionalFormatting sqref="G25:G26">
    <cfRule type="cellIs" dxfId="4629" priority="535" operator="equal">
      <formula>0</formula>
    </cfRule>
    <cfRule type="cellIs" dxfId="4628" priority="536" operator="notEqual">
      <formula>0</formula>
    </cfRule>
  </conditionalFormatting>
  <conditionalFormatting sqref="H25:H26">
    <cfRule type="cellIs" dxfId="4627" priority="533" operator="equal">
      <formula>0</formula>
    </cfRule>
    <cfRule type="cellIs" dxfId="4626" priority="534" operator="notEqual">
      <formula>0</formula>
    </cfRule>
  </conditionalFormatting>
  <conditionalFormatting sqref="I25:I26">
    <cfRule type="cellIs" dxfId="4625" priority="531" operator="equal">
      <formula>0</formula>
    </cfRule>
    <cfRule type="cellIs" dxfId="4624" priority="532" operator="notEqual">
      <formula>0</formula>
    </cfRule>
  </conditionalFormatting>
  <conditionalFormatting sqref="J25:J26">
    <cfRule type="cellIs" dxfId="4623" priority="529" operator="equal">
      <formula>0</formula>
    </cfRule>
    <cfRule type="cellIs" dxfId="4622" priority="530" operator="notEqual">
      <formula>0</formula>
    </cfRule>
  </conditionalFormatting>
  <conditionalFormatting sqref="O24">
    <cfRule type="cellIs" dxfId="4621" priority="527" operator="equal">
      <formula>0</formula>
    </cfRule>
    <cfRule type="cellIs" dxfId="4620" priority="528" operator="notEqual">
      <formula>0</formula>
    </cfRule>
  </conditionalFormatting>
  <conditionalFormatting sqref="O27">
    <cfRule type="cellIs" dxfId="4619" priority="525" operator="equal">
      <formula>0</formula>
    </cfRule>
    <cfRule type="cellIs" dxfId="4618" priority="526" operator="notEqual">
      <formula>0</formula>
    </cfRule>
  </conditionalFormatting>
  <conditionalFormatting sqref="P24">
    <cfRule type="cellIs" dxfId="4617" priority="523" operator="equal">
      <formula>0</formula>
    </cfRule>
    <cfRule type="cellIs" dxfId="4616" priority="524" operator="notEqual">
      <formula>0</formula>
    </cfRule>
  </conditionalFormatting>
  <conditionalFormatting sqref="P27">
    <cfRule type="cellIs" dxfId="4615" priority="521" operator="equal">
      <formula>0</formula>
    </cfRule>
    <cfRule type="cellIs" dxfId="4614" priority="522" operator="notEqual">
      <formula>0</formula>
    </cfRule>
  </conditionalFormatting>
  <conditionalFormatting sqref="Q24">
    <cfRule type="cellIs" dxfId="4613" priority="519" operator="equal">
      <formula>0</formula>
    </cfRule>
    <cfRule type="cellIs" dxfId="4612" priority="520" operator="notEqual">
      <formula>0</formula>
    </cfRule>
  </conditionalFormatting>
  <conditionalFormatting sqref="Q27">
    <cfRule type="cellIs" dxfId="4611" priority="517" operator="equal">
      <formula>0</formula>
    </cfRule>
    <cfRule type="cellIs" dxfId="4610" priority="518" operator="notEqual">
      <formula>0</formula>
    </cfRule>
  </conditionalFormatting>
  <conditionalFormatting sqref="R24">
    <cfRule type="cellIs" dxfId="4609" priority="515" operator="equal">
      <formula>0</formula>
    </cfRule>
    <cfRule type="cellIs" dxfId="4608" priority="516" operator="notEqual">
      <formula>0</formula>
    </cfRule>
  </conditionalFormatting>
  <conditionalFormatting sqref="R27">
    <cfRule type="cellIs" dxfId="4607" priority="513" operator="equal">
      <formula>0</formula>
    </cfRule>
    <cfRule type="cellIs" dxfId="4606" priority="514" operator="notEqual">
      <formula>0</formula>
    </cfRule>
  </conditionalFormatting>
  <conditionalFormatting sqref="C32:C33">
    <cfRule type="cellIs" dxfId="4605" priority="511" operator="equal">
      <formula>0</formula>
    </cfRule>
    <cfRule type="cellIs" dxfId="4604" priority="512" operator="notEqual">
      <formula>0</formula>
    </cfRule>
  </conditionalFormatting>
  <conditionalFormatting sqref="D32:D33">
    <cfRule type="cellIs" dxfId="4603" priority="509" operator="equal">
      <formula>0</formula>
    </cfRule>
    <cfRule type="cellIs" dxfId="4602" priority="510" operator="notEqual">
      <formula>0</formula>
    </cfRule>
  </conditionalFormatting>
  <conditionalFormatting sqref="E32:E33">
    <cfRule type="cellIs" dxfId="4601" priority="507" operator="equal">
      <formula>0</formula>
    </cfRule>
    <cfRule type="cellIs" dxfId="4600" priority="508" operator="notEqual">
      <formula>0</formula>
    </cfRule>
  </conditionalFormatting>
  <conditionalFormatting sqref="F32:F33">
    <cfRule type="cellIs" dxfId="4599" priority="505" operator="equal">
      <formula>0</formula>
    </cfRule>
    <cfRule type="cellIs" dxfId="4598" priority="506" operator="notEqual">
      <formula>0</formula>
    </cfRule>
  </conditionalFormatting>
  <conditionalFormatting sqref="G32:G33">
    <cfRule type="cellIs" dxfId="4597" priority="503" operator="equal">
      <formula>0</formula>
    </cfRule>
    <cfRule type="cellIs" dxfId="4596" priority="504" operator="notEqual">
      <formula>0</formula>
    </cfRule>
  </conditionalFormatting>
  <conditionalFormatting sqref="H32:H33">
    <cfRule type="cellIs" dxfId="4595" priority="501" operator="equal">
      <formula>0</formula>
    </cfRule>
    <cfRule type="cellIs" dxfId="4594" priority="502" operator="notEqual">
      <formula>0</formula>
    </cfRule>
  </conditionalFormatting>
  <conditionalFormatting sqref="I32:I33">
    <cfRule type="cellIs" dxfId="4593" priority="499" operator="equal">
      <formula>0</formula>
    </cfRule>
    <cfRule type="cellIs" dxfId="4592" priority="500" operator="notEqual">
      <formula>0</formula>
    </cfRule>
  </conditionalFormatting>
  <conditionalFormatting sqref="J32:J33">
    <cfRule type="cellIs" dxfId="4591" priority="497" operator="equal">
      <formula>0</formula>
    </cfRule>
    <cfRule type="cellIs" dxfId="4590" priority="498" operator="notEqual">
      <formula>0</formula>
    </cfRule>
  </conditionalFormatting>
  <conditionalFormatting sqref="O31">
    <cfRule type="cellIs" dxfId="4589" priority="495" operator="equal">
      <formula>0</formula>
    </cfRule>
    <cfRule type="cellIs" dxfId="4588" priority="496" operator="notEqual">
      <formula>0</formula>
    </cfRule>
  </conditionalFormatting>
  <conditionalFormatting sqref="O34">
    <cfRule type="cellIs" dxfId="4587" priority="493" operator="equal">
      <formula>0</formula>
    </cfRule>
    <cfRule type="cellIs" dxfId="4586" priority="494" operator="notEqual">
      <formula>0</formula>
    </cfRule>
  </conditionalFormatting>
  <conditionalFormatting sqref="P31">
    <cfRule type="cellIs" dxfId="4585" priority="491" operator="equal">
      <formula>0</formula>
    </cfRule>
    <cfRule type="cellIs" dxfId="4584" priority="492" operator="notEqual">
      <formula>0</formula>
    </cfRule>
  </conditionalFormatting>
  <conditionalFormatting sqref="P34">
    <cfRule type="cellIs" dxfId="4583" priority="489" operator="equal">
      <formula>0</formula>
    </cfRule>
    <cfRule type="cellIs" dxfId="4582" priority="490" operator="notEqual">
      <formula>0</formula>
    </cfRule>
  </conditionalFormatting>
  <conditionalFormatting sqref="Q31">
    <cfRule type="cellIs" dxfId="4581" priority="487" operator="equal">
      <formula>0</formula>
    </cfRule>
    <cfRule type="cellIs" dxfId="4580" priority="488" operator="notEqual">
      <formula>0</formula>
    </cfRule>
  </conditionalFormatting>
  <conditionalFormatting sqref="Q34">
    <cfRule type="cellIs" dxfId="4579" priority="485" operator="equal">
      <formula>0</formula>
    </cfRule>
    <cfRule type="cellIs" dxfId="4578" priority="486" operator="notEqual">
      <formula>0</formula>
    </cfRule>
  </conditionalFormatting>
  <conditionalFormatting sqref="R31">
    <cfRule type="cellIs" dxfId="4577" priority="483" operator="equal">
      <formula>0</formula>
    </cfRule>
    <cfRule type="cellIs" dxfId="4576" priority="484" operator="notEqual">
      <formula>0</formula>
    </cfRule>
  </conditionalFormatting>
  <conditionalFormatting sqref="R34">
    <cfRule type="cellIs" dxfId="4575" priority="481" operator="equal">
      <formula>0</formula>
    </cfRule>
    <cfRule type="cellIs" dxfId="4574" priority="482" operator="notEqual">
      <formula>0</formula>
    </cfRule>
  </conditionalFormatting>
  <conditionalFormatting sqref="C39:C40">
    <cfRule type="cellIs" dxfId="4573" priority="479" operator="equal">
      <formula>0</formula>
    </cfRule>
    <cfRule type="cellIs" dxfId="4572" priority="480" operator="notEqual">
      <formula>0</formula>
    </cfRule>
  </conditionalFormatting>
  <conditionalFormatting sqref="D39:D40">
    <cfRule type="cellIs" dxfId="4571" priority="477" operator="equal">
      <formula>0</formula>
    </cfRule>
    <cfRule type="cellIs" dxfId="4570" priority="478" operator="notEqual">
      <formula>0</formula>
    </cfRule>
  </conditionalFormatting>
  <conditionalFormatting sqref="E39:E40">
    <cfRule type="cellIs" dxfId="4569" priority="475" operator="equal">
      <formula>0</formula>
    </cfRule>
    <cfRule type="cellIs" dxfId="4568" priority="476" operator="notEqual">
      <formula>0</formula>
    </cfRule>
  </conditionalFormatting>
  <conditionalFormatting sqref="F39:F40">
    <cfRule type="cellIs" dxfId="4567" priority="473" operator="equal">
      <formula>0</formula>
    </cfRule>
    <cfRule type="cellIs" dxfId="4566" priority="474" operator="notEqual">
      <formula>0</formula>
    </cfRule>
  </conditionalFormatting>
  <conditionalFormatting sqref="G39:G40">
    <cfRule type="cellIs" dxfId="4565" priority="471" operator="equal">
      <formula>0</formula>
    </cfRule>
    <cfRule type="cellIs" dxfId="4564" priority="472" operator="notEqual">
      <formula>0</formula>
    </cfRule>
  </conditionalFormatting>
  <conditionalFormatting sqref="H39:H40">
    <cfRule type="cellIs" dxfId="4563" priority="469" operator="equal">
      <formula>0</formula>
    </cfRule>
    <cfRule type="cellIs" dxfId="4562" priority="470" operator="notEqual">
      <formula>0</formula>
    </cfRule>
  </conditionalFormatting>
  <conditionalFormatting sqref="I39:I40">
    <cfRule type="cellIs" dxfId="4561" priority="467" operator="equal">
      <formula>0</formula>
    </cfRule>
    <cfRule type="cellIs" dxfId="4560" priority="468" operator="notEqual">
      <formula>0</formula>
    </cfRule>
  </conditionalFormatting>
  <conditionalFormatting sqref="J39:J40">
    <cfRule type="cellIs" dxfId="4559" priority="465" operator="equal">
      <formula>0</formula>
    </cfRule>
    <cfRule type="cellIs" dxfId="4558" priority="466" operator="notEqual">
      <formula>0</formula>
    </cfRule>
  </conditionalFormatting>
  <conditionalFormatting sqref="O38">
    <cfRule type="cellIs" dxfId="4557" priority="463" operator="equal">
      <formula>0</formula>
    </cfRule>
    <cfRule type="cellIs" dxfId="4556" priority="464" operator="notEqual">
      <formula>0</formula>
    </cfRule>
  </conditionalFormatting>
  <conditionalFormatting sqref="O41">
    <cfRule type="cellIs" dxfId="4555" priority="461" operator="equal">
      <formula>0</formula>
    </cfRule>
    <cfRule type="cellIs" dxfId="4554" priority="462" operator="notEqual">
      <formula>0</formula>
    </cfRule>
  </conditionalFormatting>
  <conditionalFormatting sqref="P38">
    <cfRule type="cellIs" dxfId="4553" priority="459" operator="equal">
      <formula>0</formula>
    </cfRule>
    <cfRule type="cellIs" dxfId="4552" priority="460" operator="notEqual">
      <formula>0</formula>
    </cfRule>
  </conditionalFormatting>
  <conditionalFormatting sqref="P41">
    <cfRule type="cellIs" dxfId="4551" priority="457" operator="equal">
      <formula>0</formula>
    </cfRule>
    <cfRule type="cellIs" dxfId="4550" priority="458" operator="notEqual">
      <formula>0</formula>
    </cfRule>
  </conditionalFormatting>
  <conditionalFormatting sqref="Q38">
    <cfRule type="cellIs" dxfId="4549" priority="455" operator="equal">
      <formula>0</formula>
    </cfRule>
    <cfRule type="cellIs" dxfId="4548" priority="456" operator="notEqual">
      <formula>0</formula>
    </cfRule>
  </conditionalFormatting>
  <conditionalFormatting sqref="Q41">
    <cfRule type="cellIs" dxfId="4547" priority="453" operator="equal">
      <formula>0</formula>
    </cfRule>
    <cfRule type="cellIs" dxfId="4546" priority="454" operator="notEqual">
      <formula>0</formula>
    </cfRule>
  </conditionalFormatting>
  <conditionalFormatting sqref="R38">
    <cfRule type="cellIs" dxfId="4545" priority="451" operator="equal">
      <formula>0</formula>
    </cfRule>
    <cfRule type="cellIs" dxfId="4544" priority="452" operator="notEqual">
      <formula>0</formula>
    </cfRule>
  </conditionalFormatting>
  <conditionalFormatting sqref="R41">
    <cfRule type="cellIs" dxfId="4543" priority="449" operator="equal">
      <formula>0</formula>
    </cfRule>
    <cfRule type="cellIs" dxfId="4542" priority="450" operator="notEqual">
      <formula>0</formula>
    </cfRule>
  </conditionalFormatting>
  <conditionalFormatting sqref="C46:C47">
    <cfRule type="cellIs" dxfId="4541" priority="447" operator="equal">
      <formula>0</formula>
    </cfRule>
    <cfRule type="cellIs" dxfId="4540" priority="448" operator="notEqual">
      <formula>0</formula>
    </cfRule>
  </conditionalFormatting>
  <conditionalFormatting sqref="D46:D47">
    <cfRule type="cellIs" dxfId="4539" priority="445" operator="equal">
      <formula>0</formula>
    </cfRule>
    <cfRule type="cellIs" dxfId="4538" priority="446" operator="notEqual">
      <formula>0</formula>
    </cfRule>
  </conditionalFormatting>
  <conditionalFormatting sqref="E46:E47">
    <cfRule type="cellIs" dxfId="4537" priority="443" operator="equal">
      <formula>0</formula>
    </cfRule>
    <cfRule type="cellIs" dxfId="4536" priority="444" operator="notEqual">
      <formula>0</formula>
    </cfRule>
  </conditionalFormatting>
  <conditionalFormatting sqref="F46:F47">
    <cfRule type="cellIs" dxfId="4535" priority="441" operator="equal">
      <formula>0</formula>
    </cfRule>
    <cfRule type="cellIs" dxfId="4534" priority="442" operator="notEqual">
      <formula>0</formula>
    </cfRule>
  </conditionalFormatting>
  <conditionalFormatting sqref="G46:G47">
    <cfRule type="cellIs" dxfId="4533" priority="439" operator="equal">
      <formula>0</formula>
    </cfRule>
    <cfRule type="cellIs" dxfId="4532" priority="440" operator="notEqual">
      <formula>0</formula>
    </cfRule>
  </conditionalFormatting>
  <conditionalFormatting sqref="H46:H47">
    <cfRule type="cellIs" dxfId="4531" priority="437" operator="equal">
      <formula>0</formula>
    </cfRule>
    <cfRule type="cellIs" dxfId="4530" priority="438" operator="notEqual">
      <formula>0</formula>
    </cfRule>
  </conditionalFormatting>
  <conditionalFormatting sqref="I46:I47">
    <cfRule type="cellIs" dxfId="4529" priority="435" operator="equal">
      <formula>0</formula>
    </cfRule>
    <cfRule type="cellIs" dxfId="4528" priority="436" operator="notEqual">
      <formula>0</formula>
    </cfRule>
  </conditionalFormatting>
  <conditionalFormatting sqref="J46:J47">
    <cfRule type="cellIs" dxfId="4527" priority="433" operator="equal">
      <formula>0</formula>
    </cfRule>
    <cfRule type="cellIs" dxfId="4526" priority="434" operator="notEqual">
      <formula>0</formula>
    </cfRule>
  </conditionalFormatting>
  <conditionalFormatting sqref="O45">
    <cfRule type="cellIs" dxfId="4525" priority="431" operator="equal">
      <formula>0</formula>
    </cfRule>
    <cfRule type="cellIs" dxfId="4524" priority="432" operator="notEqual">
      <formula>0</formula>
    </cfRule>
  </conditionalFormatting>
  <conditionalFormatting sqref="O48">
    <cfRule type="cellIs" dxfId="4523" priority="429" operator="equal">
      <formula>0</formula>
    </cfRule>
    <cfRule type="cellIs" dxfId="4522" priority="430" operator="notEqual">
      <formula>0</formula>
    </cfRule>
  </conditionalFormatting>
  <conditionalFormatting sqref="P45">
    <cfRule type="cellIs" dxfId="4521" priority="427" operator="equal">
      <formula>0</formula>
    </cfRule>
    <cfRule type="cellIs" dxfId="4520" priority="428" operator="notEqual">
      <formula>0</formula>
    </cfRule>
  </conditionalFormatting>
  <conditionalFormatting sqref="P48">
    <cfRule type="cellIs" dxfId="4519" priority="425" operator="equal">
      <formula>0</formula>
    </cfRule>
    <cfRule type="cellIs" dxfId="4518" priority="426" operator="notEqual">
      <formula>0</formula>
    </cfRule>
  </conditionalFormatting>
  <conditionalFormatting sqref="Q45">
    <cfRule type="cellIs" dxfId="4517" priority="423" operator="equal">
      <formula>0</formula>
    </cfRule>
    <cfRule type="cellIs" dxfId="4516" priority="424" operator="notEqual">
      <formula>0</formula>
    </cfRule>
  </conditionalFormatting>
  <conditionalFormatting sqref="Q48">
    <cfRule type="cellIs" dxfId="4515" priority="421" operator="equal">
      <formula>0</formula>
    </cfRule>
    <cfRule type="cellIs" dxfId="4514" priority="422" operator="notEqual">
      <formula>0</formula>
    </cfRule>
  </conditionalFormatting>
  <conditionalFormatting sqref="R45">
    <cfRule type="cellIs" dxfId="4513" priority="419" operator="equal">
      <formula>0</formula>
    </cfRule>
    <cfRule type="cellIs" dxfId="4512" priority="420" operator="notEqual">
      <formula>0</formula>
    </cfRule>
  </conditionalFormatting>
  <conditionalFormatting sqref="R48">
    <cfRule type="cellIs" dxfId="4511" priority="417" operator="equal">
      <formula>0</formula>
    </cfRule>
    <cfRule type="cellIs" dxfId="4510" priority="418" operator="notEqual">
      <formula>0</formula>
    </cfRule>
  </conditionalFormatting>
  <conditionalFormatting sqref="C53:C54">
    <cfRule type="cellIs" dxfId="4509" priority="415" operator="equal">
      <formula>0</formula>
    </cfRule>
    <cfRule type="cellIs" dxfId="4508" priority="416" operator="notEqual">
      <formula>0</formula>
    </cfRule>
  </conditionalFormatting>
  <conditionalFormatting sqref="D53:D54">
    <cfRule type="cellIs" dxfId="4507" priority="413" operator="equal">
      <formula>0</formula>
    </cfRule>
    <cfRule type="cellIs" dxfId="4506" priority="414" operator="notEqual">
      <formula>0</formula>
    </cfRule>
  </conditionalFormatting>
  <conditionalFormatting sqref="E53:E54">
    <cfRule type="cellIs" dxfId="4505" priority="411" operator="equal">
      <formula>0</formula>
    </cfRule>
    <cfRule type="cellIs" dxfId="4504" priority="412" operator="notEqual">
      <formula>0</formula>
    </cfRule>
  </conditionalFormatting>
  <conditionalFormatting sqref="F53:F54">
    <cfRule type="cellIs" dxfId="4503" priority="409" operator="equal">
      <formula>0</formula>
    </cfRule>
    <cfRule type="cellIs" dxfId="4502" priority="410" operator="notEqual">
      <formula>0</formula>
    </cfRule>
  </conditionalFormatting>
  <conditionalFormatting sqref="G53:G54">
    <cfRule type="cellIs" dxfId="4501" priority="407" operator="equal">
      <formula>0</formula>
    </cfRule>
    <cfRule type="cellIs" dxfId="4500" priority="408" operator="notEqual">
      <formula>0</formula>
    </cfRule>
  </conditionalFormatting>
  <conditionalFormatting sqref="H53:H54">
    <cfRule type="cellIs" dxfId="4499" priority="405" operator="equal">
      <formula>0</formula>
    </cfRule>
    <cfRule type="cellIs" dxfId="4498" priority="406" operator="notEqual">
      <formula>0</formula>
    </cfRule>
  </conditionalFormatting>
  <conditionalFormatting sqref="I53:I54">
    <cfRule type="cellIs" dxfId="4497" priority="403" operator="equal">
      <formula>0</formula>
    </cfRule>
    <cfRule type="cellIs" dxfId="4496" priority="404" operator="notEqual">
      <formula>0</formula>
    </cfRule>
  </conditionalFormatting>
  <conditionalFormatting sqref="J53:J54">
    <cfRule type="cellIs" dxfId="4495" priority="401" operator="equal">
      <formula>0</formula>
    </cfRule>
    <cfRule type="cellIs" dxfId="4494" priority="402" operator="notEqual">
      <formula>0</formula>
    </cfRule>
  </conditionalFormatting>
  <conditionalFormatting sqref="O52">
    <cfRule type="cellIs" dxfId="4493" priority="399" operator="equal">
      <formula>0</formula>
    </cfRule>
    <cfRule type="cellIs" dxfId="4492" priority="400" operator="notEqual">
      <formula>0</formula>
    </cfRule>
  </conditionalFormatting>
  <conditionalFormatting sqref="O55">
    <cfRule type="cellIs" dxfId="4491" priority="397" operator="equal">
      <formula>0</formula>
    </cfRule>
    <cfRule type="cellIs" dxfId="4490" priority="398" operator="notEqual">
      <formula>0</formula>
    </cfRule>
  </conditionalFormatting>
  <conditionalFormatting sqref="P52">
    <cfRule type="cellIs" dxfId="4489" priority="395" operator="equal">
      <formula>0</formula>
    </cfRule>
    <cfRule type="cellIs" dxfId="4488" priority="396" operator="notEqual">
      <formula>0</formula>
    </cfRule>
  </conditionalFormatting>
  <conditionalFormatting sqref="P55">
    <cfRule type="cellIs" dxfId="4487" priority="393" operator="equal">
      <formula>0</formula>
    </cfRule>
    <cfRule type="cellIs" dxfId="4486" priority="394" operator="notEqual">
      <formula>0</formula>
    </cfRule>
  </conditionalFormatting>
  <conditionalFormatting sqref="Q52">
    <cfRule type="cellIs" dxfId="4485" priority="391" operator="equal">
      <formula>0</formula>
    </cfRule>
    <cfRule type="cellIs" dxfId="4484" priority="392" operator="notEqual">
      <formula>0</formula>
    </cfRule>
  </conditionalFormatting>
  <conditionalFormatting sqref="Q55">
    <cfRule type="cellIs" dxfId="4483" priority="389" operator="equal">
      <formula>0</formula>
    </cfRule>
    <cfRule type="cellIs" dxfId="4482" priority="390" operator="notEqual">
      <formula>0</formula>
    </cfRule>
  </conditionalFormatting>
  <conditionalFormatting sqref="R52">
    <cfRule type="cellIs" dxfId="4481" priority="387" operator="equal">
      <formula>0</formula>
    </cfRule>
    <cfRule type="cellIs" dxfId="4480" priority="388" operator="notEqual">
      <formula>0</formula>
    </cfRule>
  </conditionalFormatting>
  <conditionalFormatting sqref="R55">
    <cfRule type="cellIs" dxfId="4479" priority="385" operator="equal">
      <formula>0</formula>
    </cfRule>
    <cfRule type="cellIs" dxfId="4478" priority="386" operator="notEqual">
      <formula>0</formula>
    </cfRule>
  </conditionalFormatting>
  <conditionalFormatting sqref="C60:C61">
    <cfRule type="cellIs" dxfId="4477" priority="383" operator="equal">
      <formula>0</formula>
    </cfRule>
    <cfRule type="cellIs" dxfId="4476" priority="384" operator="notEqual">
      <formula>0</formula>
    </cfRule>
  </conditionalFormatting>
  <conditionalFormatting sqref="D60:D61">
    <cfRule type="cellIs" dxfId="4475" priority="381" operator="equal">
      <formula>0</formula>
    </cfRule>
    <cfRule type="cellIs" dxfId="4474" priority="382" operator="notEqual">
      <formula>0</formula>
    </cfRule>
  </conditionalFormatting>
  <conditionalFormatting sqref="E60:E61">
    <cfRule type="cellIs" dxfId="4473" priority="379" operator="equal">
      <formula>0</formula>
    </cfRule>
    <cfRule type="cellIs" dxfId="4472" priority="380" operator="notEqual">
      <formula>0</formula>
    </cfRule>
  </conditionalFormatting>
  <conditionalFormatting sqref="F60:F61">
    <cfRule type="cellIs" dxfId="4471" priority="377" operator="equal">
      <formula>0</formula>
    </cfRule>
    <cfRule type="cellIs" dxfId="4470" priority="378" operator="notEqual">
      <formula>0</formula>
    </cfRule>
  </conditionalFormatting>
  <conditionalFormatting sqref="G60:G61">
    <cfRule type="cellIs" dxfId="4469" priority="375" operator="equal">
      <formula>0</formula>
    </cfRule>
    <cfRule type="cellIs" dxfId="4468" priority="376" operator="notEqual">
      <formula>0</formula>
    </cfRule>
  </conditionalFormatting>
  <conditionalFormatting sqref="H60:H61">
    <cfRule type="cellIs" dxfId="4467" priority="373" operator="equal">
      <formula>0</formula>
    </cfRule>
    <cfRule type="cellIs" dxfId="4466" priority="374" operator="notEqual">
      <formula>0</formula>
    </cfRule>
  </conditionalFormatting>
  <conditionalFormatting sqref="I60:I61">
    <cfRule type="cellIs" dxfId="4465" priority="371" operator="equal">
      <formula>0</formula>
    </cfRule>
    <cfRule type="cellIs" dxfId="4464" priority="372" operator="notEqual">
      <formula>0</formula>
    </cfRule>
  </conditionalFormatting>
  <conditionalFormatting sqref="J60:J61">
    <cfRule type="cellIs" dxfId="4463" priority="369" operator="equal">
      <formula>0</formula>
    </cfRule>
    <cfRule type="cellIs" dxfId="4462" priority="370" operator="notEqual">
      <formula>0</formula>
    </cfRule>
  </conditionalFormatting>
  <conditionalFormatting sqref="O59">
    <cfRule type="cellIs" dxfId="4461" priority="367" operator="equal">
      <formula>0</formula>
    </cfRule>
    <cfRule type="cellIs" dxfId="4460" priority="368" operator="notEqual">
      <formula>0</formula>
    </cfRule>
  </conditionalFormatting>
  <conditionalFormatting sqref="O62">
    <cfRule type="cellIs" dxfId="4459" priority="365" operator="equal">
      <formula>0</formula>
    </cfRule>
    <cfRule type="cellIs" dxfId="4458" priority="366" operator="notEqual">
      <formula>0</formula>
    </cfRule>
  </conditionalFormatting>
  <conditionalFormatting sqref="P59">
    <cfRule type="cellIs" dxfId="4457" priority="363" operator="equal">
      <formula>0</formula>
    </cfRule>
    <cfRule type="cellIs" dxfId="4456" priority="364" operator="notEqual">
      <formula>0</formula>
    </cfRule>
  </conditionalFormatting>
  <conditionalFormatting sqref="P62">
    <cfRule type="cellIs" dxfId="4455" priority="361" operator="equal">
      <formula>0</formula>
    </cfRule>
    <cfRule type="cellIs" dxfId="4454" priority="362" operator="notEqual">
      <formula>0</formula>
    </cfRule>
  </conditionalFormatting>
  <conditionalFormatting sqref="Q59">
    <cfRule type="cellIs" dxfId="4453" priority="359" operator="equal">
      <formula>0</formula>
    </cfRule>
    <cfRule type="cellIs" dxfId="4452" priority="360" operator="notEqual">
      <formula>0</formula>
    </cfRule>
  </conditionalFormatting>
  <conditionalFormatting sqref="Q62">
    <cfRule type="cellIs" dxfId="4451" priority="357" operator="equal">
      <formula>0</formula>
    </cfRule>
    <cfRule type="cellIs" dxfId="4450" priority="358" operator="notEqual">
      <formula>0</formula>
    </cfRule>
  </conditionalFormatting>
  <conditionalFormatting sqref="R59">
    <cfRule type="cellIs" dxfId="4449" priority="355" operator="equal">
      <formula>0</formula>
    </cfRule>
    <cfRule type="cellIs" dxfId="4448" priority="356" operator="notEqual">
      <formula>0</formula>
    </cfRule>
  </conditionalFormatting>
  <conditionalFormatting sqref="R62">
    <cfRule type="cellIs" dxfId="4447" priority="353" operator="equal">
      <formula>0</formula>
    </cfRule>
    <cfRule type="cellIs" dxfId="4446" priority="354" operator="notEqual">
      <formula>0</formula>
    </cfRule>
  </conditionalFormatting>
  <conditionalFormatting sqref="C67:C68">
    <cfRule type="cellIs" dxfId="4445" priority="351" operator="equal">
      <formula>0</formula>
    </cfRule>
    <cfRule type="cellIs" dxfId="4444" priority="352" operator="notEqual">
      <formula>0</formula>
    </cfRule>
  </conditionalFormatting>
  <conditionalFormatting sqref="D67:D68">
    <cfRule type="cellIs" dxfId="4443" priority="349" operator="equal">
      <formula>0</formula>
    </cfRule>
    <cfRule type="cellIs" dxfId="4442" priority="350" operator="notEqual">
      <formula>0</formula>
    </cfRule>
  </conditionalFormatting>
  <conditionalFormatting sqref="E67:E68">
    <cfRule type="cellIs" dxfId="4441" priority="347" operator="equal">
      <formula>0</formula>
    </cfRule>
    <cfRule type="cellIs" dxfId="4440" priority="348" operator="notEqual">
      <formula>0</formula>
    </cfRule>
  </conditionalFormatting>
  <conditionalFormatting sqref="F67:F68">
    <cfRule type="cellIs" dxfId="4439" priority="345" operator="equal">
      <formula>0</formula>
    </cfRule>
    <cfRule type="cellIs" dxfId="4438" priority="346" operator="notEqual">
      <formula>0</formula>
    </cfRule>
  </conditionalFormatting>
  <conditionalFormatting sqref="G67:G68">
    <cfRule type="cellIs" dxfId="4437" priority="343" operator="equal">
      <formula>0</formula>
    </cfRule>
    <cfRule type="cellIs" dxfId="4436" priority="344" operator="notEqual">
      <formula>0</formula>
    </cfRule>
  </conditionalFormatting>
  <conditionalFormatting sqref="H67:H68">
    <cfRule type="cellIs" dxfId="4435" priority="341" operator="equal">
      <formula>0</formula>
    </cfRule>
    <cfRule type="cellIs" dxfId="4434" priority="342" operator="notEqual">
      <formula>0</formula>
    </cfRule>
  </conditionalFormatting>
  <conditionalFormatting sqref="I67:I68">
    <cfRule type="cellIs" dxfId="4433" priority="339" operator="equal">
      <formula>0</formula>
    </cfRule>
    <cfRule type="cellIs" dxfId="4432" priority="340" operator="notEqual">
      <formula>0</formula>
    </cfRule>
  </conditionalFormatting>
  <conditionalFormatting sqref="J67:J68">
    <cfRule type="cellIs" dxfId="4431" priority="337" operator="equal">
      <formula>0</formula>
    </cfRule>
    <cfRule type="cellIs" dxfId="4430" priority="338" operator="notEqual">
      <formula>0</formula>
    </cfRule>
  </conditionalFormatting>
  <conditionalFormatting sqref="O66">
    <cfRule type="cellIs" dxfId="4429" priority="335" operator="equal">
      <formula>0</formula>
    </cfRule>
    <cfRule type="cellIs" dxfId="4428" priority="336" operator="notEqual">
      <formula>0</formula>
    </cfRule>
  </conditionalFormatting>
  <conditionalFormatting sqref="O69">
    <cfRule type="cellIs" dxfId="4427" priority="333" operator="equal">
      <formula>0</formula>
    </cfRule>
    <cfRule type="cellIs" dxfId="4426" priority="334" operator="notEqual">
      <formula>0</formula>
    </cfRule>
  </conditionalFormatting>
  <conditionalFormatting sqref="P66">
    <cfRule type="cellIs" dxfId="4425" priority="331" operator="equal">
      <formula>0</formula>
    </cfRule>
    <cfRule type="cellIs" dxfId="4424" priority="332" operator="notEqual">
      <formula>0</formula>
    </cfRule>
  </conditionalFormatting>
  <conditionalFormatting sqref="P69">
    <cfRule type="cellIs" dxfId="4423" priority="329" operator="equal">
      <formula>0</formula>
    </cfRule>
    <cfRule type="cellIs" dxfId="4422" priority="330" operator="notEqual">
      <formula>0</formula>
    </cfRule>
  </conditionalFormatting>
  <conditionalFormatting sqref="Q66">
    <cfRule type="cellIs" dxfId="4421" priority="327" operator="equal">
      <formula>0</formula>
    </cfRule>
    <cfRule type="cellIs" dxfId="4420" priority="328" operator="notEqual">
      <formula>0</formula>
    </cfRule>
  </conditionalFormatting>
  <conditionalFormatting sqref="Q69">
    <cfRule type="cellIs" dxfId="4419" priority="325" operator="equal">
      <formula>0</formula>
    </cfRule>
    <cfRule type="cellIs" dxfId="4418" priority="326" operator="notEqual">
      <formula>0</formula>
    </cfRule>
  </conditionalFormatting>
  <conditionalFormatting sqref="R66">
    <cfRule type="cellIs" dxfId="4417" priority="323" operator="equal">
      <formula>0</formula>
    </cfRule>
    <cfRule type="cellIs" dxfId="4416" priority="324" operator="notEqual">
      <formula>0</formula>
    </cfRule>
  </conditionalFormatting>
  <conditionalFormatting sqref="R69">
    <cfRule type="cellIs" dxfId="4415" priority="321" operator="equal">
      <formula>0</formula>
    </cfRule>
    <cfRule type="cellIs" dxfId="4414" priority="322" operator="notEqual">
      <formula>0</formula>
    </cfRule>
  </conditionalFormatting>
  <conditionalFormatting sqref="C74:C75 C81:C82 C88:C89 C95:C96 C102:C103">
    <cfRule type="cellIs" dxfId="4413" priority="319" operator="equal">
      <formula>0</formula>
    </cfRule>
    <cfRule type="cellIs" dxfId="4412" priority="320" operator="notEqual">
      <formula>0</formula>
    </cfRule>
  </conditionalFormatting>
  <conditionalFormatting sqref="D74:D75 D81:D82 D88:D89 D95:D96 D102:D103">
    <cfRule type="cellIs" dxfId="4411" priority="317" operator="equal">
      <formula>0</formula>
    </cfRule>
    <cfRule type="cellIs" dxfId="4410" priority="318" operator="notEqual">
      <formula>0</formula>
    </cfRule>
  </conditionalFormatting>
  <conditionalFormatting sqref="E74:E75 E81:E82 E88:E89 E95:E96 E102:E103">
    <cfRule type="cellIs" dxfId="4409" priority="315" operator="equal">
      <formula>0</formula>
    </cfRule>
    <cfRule type="cellIs" dxfId="4408" priority="316" operator="notEqual">
      <formula>0</formula>
    </cfRule>
  </conditionalFormatting>
  <conditionalFormatting sqref="F74:F75 F81:F82 F88:F89 F95:F96 F102:F103">
    <cfRule type="cellIs" dxfId="4407" priority="313" operator="equal">
      <formula>0</formula>
    </cfRule>
    <cfRule type="cellIs" dxfId="4406" priority="314" operator="notEqual">
      <formula>0</formula>
    </cfRule>
  </conditionalFormatting>
  <conditionalFormatting sqref="G74:G75 G81:G82 G88:G89 G95:G96 G102:G103">
    <cfRule type="cellIs" dxfId="4405" priority="311" operator="equal">
      <formula>0</formula>
    </cfRule>
    <cfRule type="cellIs" dxfId="4404" priority="312" operator="notEqual">
      <formula>0</formula>
    </cfRule>
  </conditionalFormatting>
  <conditionalFormatting sqref="H74:H75 H81:H82 H88:H89 H95:H96 H102:H103">
    <cfRule type="cellIs" dxfId="4403" priority="309" operator="equal">
      <formula>0</formula>
    </cfRule>
    <cfRule type="cellIs" dxfId="4402" priority="310" operator="notEqual">
      <formula>0</formula>
    </cfRule>
  </conditionalFormatting>
  <conditionalFormatting sqref="I74:I75 I81:I82 I88:I89 I95:I96 I102:I103">
    <cfRule type="cellIs" dxfId="4401" priority="307" operator="equal">
      <formula>0</formula>
    </cfRule>
    <cfRule type="cellIs" dxfId="4400" priority="308" operator="notEqual">
      <formula>0</formula>
    </cfRule>
  </conditionalFormatting>
  <conditionalFormatting sqref="J74:J75 J81:J82 J88:J89 J95:J96 J102:J103">
    <cfRule type="cellIs" dxfId="4399" priority="305" operator="equal">
      <formula>0</formula>
    </cfRule>
    <cfRule type="cellIs" dxfId="4398" priority="306" operator="notEqual">
      <formula>0</formula>
    </cfRule>
  </conditionalFormatting>
  <conditionalFormatting sqref="O73 O80 O87 O94 O101">
    <cfRule type="cellIs" dxfId="4397" priority="303" operator="equal">
      <formula>0</formula>
    </cfRule>
    <cfRule type="cellIs" dxfId="4396" priority="304" operator="notEqual">
      <formula>0</formula>
    </cfRule>
  </conditionalFormatting>
  <conditionalFormatting sqref="O76 O83 O90 O97 O104">
    <cfRule type="cellIs" dxfId="4395" priority="301" operator="equal">
      <formula>0</formula>
    </cfRule>
    <cfRule type="cellIs" dxfId="4394" priority="302" operator="notEqual">
      <formula>0</formula>
    </cfRule>
  </conditionalFormatting>
  <conditionalFormatting sqref="P73 P80 P87 P94 P101">
    <cfRule type="cellIs" dxfId="4393" priority="299" operator="equal">
      <formula>0</formula>
    </cfRule>
    <cfRule type="cellIs" dxfId="4392" priority="300" operator="notEqual">
      <formula>0</formula>
    </cfRule>
  </conditionalFormatting>
  <conditionalFormatting sqref="P76 P83 P90 P97 P104">
    <cfRule type="cellIs" dxfId="4391" priority="297" operator="equal">
      <formula>0</formula>
    </cfRule>
    <cfRule type="cellIs" dxfId="4390" priority="298" operator="notEqual">
      <formula>0</formula>
    </cfRule>
  </conditionalFormatting>
  <conditionalFormatting sqref="Q73 Q80 Q87 Q94 Q101">
    <cfRule type="cellIs" dxfId="4389" priority="295" operator="equal">
      <formula>0</formula>
    </cfRule>
    <cfRule type="cellIs" dxfId="4388" priority="296" operator="notEqual">
      <formula>0</formula>
    </cfRule>
  </conditionalFormatting>
  <conditionalFormatting sqref="Q76 Q83 Q90 Q97 Q104">
    <cfRule type="cellIs" dxfId="4387" priority="293" operator="equal">
      <formula>0</formula>
    </cfRule>
    <cfRule type="cellIs" dxfId="4386" priority="294" operator="notEqual">
      <formula>0</formula>
    </cfRule>
  </conditionalFormatting>
  <conditionalFormatting sqref="R73 R80 R87 R94 R101">
    <cfRule type="cellIs" dxfId="4385" priority="291" operator="equal">
      <formula>0</formula>
    </cfRule>
    <cfRule type="cellIs" dxfId="4384" priority="292" operator="notEqual">
      <formula>0</formula>
    </cfRule>
  </conditionalFormatting>
  <conditionalFormatting sqref="R76 R83 R90 R97 R104">
    <cfRule type="cellIs" dxfId="4383" priority="289" operator="equal">
      <formula>0</formula>
    </cfRule>
    <cfRule type="cellIs" dxfId="4382" priority="290" operator="notEqual">
      <formula>0</formula>
    </cfRule>
  </conditionalFormatting>
  <conditionalFormatting sqref="U67:U68 U74:U75 U81:U82 U88:U89 U95:U96 U102:U103">
    <cfRule type="cellIs" dxfId="4381" priority="287" operator="equal">
      <formula>0</formula>
    </cfRule>
    <cfRule type="cellIs" dxfId="4380" priority="288" operator="notEqual">
      <formula>0</formula>
    </cfRule>
  </conditionalFormatting>
  <conditionalFormatting sqref="V67:V68 V74:V75 V81:V82 V88:V89 V95:V96 V102:V103">
    <cfRule type="cellIs" dxfId="4379" priority="285" operator="equal">
      <formula>0</formula>
    </cfRule>
    <cfRule type="cellIs" dxfId="4378" priority="286" operator="notEqual">
      <formula>0</formula>
    </cfRule>
  </conditionalFormatting>
  <conditionalFormatting sqref="W67:W68 W74:W75 W81:W82 W88:W89 W95:W96 W102:W103">
    <cfRule type="cellIs" dxfId="4377" priority="283" operator="equal">
      <formula>0</formula>
    </cfRule>
    <cfRule type="cellIs" dxfId="4376" priority="284" operator="notEqual">
      <formula>0</formula>
    </cfRule>
  </conditionalFormatting>
  <conditionalFormatting sqref="X67:X68 X74:X75 X81:X82 X88:X89 X95:X96 X102:X103">
    <cfRule type="cellIs" dxfId="4375" priority="281" operator="equal">
      <formula>0</formula>
    </cfRule>
    <cfRule type="cellIs" dxfId="4374" priority="282" operator="notEqual">
      <formula>0</formula>
    </cfRule>
  </conditionalFormatting>
  <conditionalFormatting sqref="Y67:Y68 Y74:Y75 Y81:Y82 Y88:Y89 Y95:Y96 Y102:Y103">
    <cfRule type="cellIs" dxfId="4373" priority="279" operator="equal">
      <formula>0</formula>
    </cfRule>
    <cfRule type="cellIs" dxfId="4372" priority="280" operator="notEqual">
      <formula>0</formula>
    </cfRule>
  </conditionalFormatting>
  <conditionalFormatting sqref="Z67:Z68 Z74:Z75 Z81:Z82 Z88:Z89 Z95:Z96 Z102:Z103">
    <cfRule type="cellIs" dxfId="4371" priority="277" operator="equal">
      <formula>0</formula>
    </cfRule>
    <cfRule type="cellIs" dxfId="4370" priority="278" operator="notEqual">
      <formula>0</formula>
    </cfRule>
  </conditionalFormatting>
  <conditionalFormatting sqref="AA67:AA68 AA74:AA75 AA81:AA82 AA88:AA89 AA95:AA96 AA102:AA103">
    <cfRule type="cellIs" dxfId="4369" priority="275" operator="equal">
      <formula>0</formula>
    </cfRule>
    <cfRule type="cellIs" dxfId="4368" priority="276" operator="notEqual">
      <formula>0</formula>
    </cfRule>
  </conditionalFormatting>
  <conditionalFormatting sqref="AB67:AB68 AB74:AB75 AB81:AB82 AB88:AB89 AB95:AB96 AB102:AB103">
    <cfRule type="cellIs" dxfId="4367" priority="273" operator="equal">
      <formula>0</formula>
    </cfRule>
    <cfRule type="cellIs" dxfId="4366" priority="274" operator="notEqual">
      <formula>0</formula>
    </cfRule>
  </conditionalFormatting>
  <conditionalFormatting sqref="AG66 AG73 AG80 AG87 AG94 AG101">
    <cfRule type="cellIs" dxfId="4365" priority="271" operator="equal">
      <formula>0</formula>
    </cfRule>
    <cfRule type="cellIs" dxfId="4364" priority="272" operator="notEqual">
      <formula>0</formula>
    </cfRule>
  </conditionalFormatting>
  <conditionalFormatting sqref="AG69 AG76 AG83 AG90 AG97 AG104">
    <cfRule type="cellIs" dxfId="4363" priority="269" operator="equal">
      <formula>0</formula>
    </cfRule>
    <cfRule type="cellIs" dxfId="4362" priority="270" operator="notEqual">
      <formula>0</formula>
    </cfRule>
  </conditionalFormatting>
  <conditionalFormatting sqref="AH66 AH73 AH80 AH87 AH94 AH101">
    <cfRule type="cellIs" dxfId="4361" priority="267" operator="equal">
      <formula>0</formula>
    </cfRule>
    <cfRule type="cellIs" dxfId="4360" priority="268" operator="notEqual">
      <formula>0</formula>
    </cfRule>
  </conditionalFormatting>
  <conditionalFormatting sqref="AH69 AH76 AH83 AH90 AH97 AH104">
    <cfRule type="cellIs" dxfId="4359" priority="265" operator="equal">
      <formula>0</formula>
    </cfRule>
    <cfRule type="cellIs" dxfId="4358" priority="266" operator="notEqual">
      <formula>0</formula>
    </cfRule>
  </conditionalFormatting>
  <conditionalFormatting sqref="AI66 AI73 AI80 AI87 AI94 AI101">
    <cfRule type="cellIs" dxfId="4357" priority="263" operator="equal">
      <formula>0</formula>
    </cfRule>
    <cfRule type="cellIs" dxfId="4356" priority="264" operator="notEqual">
      <formula>0</formula>
    </cfRule>
  </conditionalFormatting>
  <conditionalFormatting sqref="AI69 AI76 AI83 AI90 AI97 AI104">
    <cfRule type="cellIs" dxfId="4355" priority="261" operator="equal">
      <formula>0</formula>
    </cfRule>
    <cfRule type="cellIs" dxfId="4354" priority="262" operator="notEqual">
      <formula>0</formula>
    </cfRule>
  </conditionalFormatting>
  <conditionalFormatting sqref="AJ66 AJ73 AJ80 AJ87 AJ94 AJ101">
    <cfRule type="cellIs" dxfId="4353" priority="259" operator="equal">
      <formula>0</formula>
    </cfRule>
    <cfRule type="cellIs" dxfId="4352" priority="260" operator="notEqual">
      <formula>0</formula>
    </cfRule>
  </conditionalFormatting>
  <conditionalFormatting sqref="AJ69 AJ76 AJ83 AJ90 AJ97 AJ104">
    <cfRule type="cellIs" dxfId="4351" priority="257" operator="equal">
      <formula>0</formula>
    </cfRule>
    <cfRule type="cellIs" dxfId="4350" priority="258" operator="notEqual">
      <formula>0</formula>
    </cfRule>
  </conditionalFormatting>
  <conditionalFormatting sqref="U60:U61">
    <cfRule type="cellIs" dxfId="4349" priority="255" operator="equal">
      <formula>0</formula>
    </cfRule>
    <cfRule type="cellIs" dxfId="4348" priority="256" operator="notEqual">
      <formula>0</formula>
    </cfRule>
  </conditionalFormatting>
  <conditionalFormatting sqref="V60:V61">
    <cfRule type="cellIs" dxfId="4347" priority="253" operator="equal">
      <formula>0</formula>
    </cfRule>
    <cfRule type="cellIs" dxfId="4346" priority="254" operator="notEqual">
      <formula>0</formula>
    </cfRule>
  </conditionalFormatting>
  <conditionalFormatting sqref="W60:W61">
    <cfRule type="cellIs" dxfId="4345" priority="251" operator="equal">
      <formula>0</formula>
    </cfRule>
    <cfRule type="cellIs" dxfId="4344" priority="252" operator="notEqual">
      <formula>0</formula>
    </cfRule>
  </conditionalFormatting>
  <conditionalFormatting sqref="X60:X61">
    <cfRule type="cellIs" dxfId="4343" priority="249" operator="equal">
      <formula>0</formula>
    </cfRule>
    <cfRule type="cellIs" dxfId="4342" priority="250" operator="notEqual">
      <formula>0</formula>
    </cfRule>
  </conditionalFormatting>
  <conditionalFormatting sqref="Y60:Y61">
    <cfRule type="cellIs" dxfId="4341" priority="247" operator="equal">
      <formula>0</formula>
    </cfRule>
    <cfRule type="cellIs" dxfId="4340" priority="248" operator="notEqual">
      <formula>0</formula>
    </cfRule>
  </conditionalFormatting>
  <conditionalFormatting sqref="Z60:Z61">
    <cfRule type="cellIs" dxfId="4339" priority="245" operator="equal">
      <formula>0</formula>
    </cfRule>
    <cfRule type="cellIs" dxfId="4338" priority="246" operator="notEqual">
      <formula>0</formula>
    </cfRule>
  </conditionalFormatting>
  <conditionalFormatting sqref="AA60:AA61">
    <cfRule type="cellIs" dxfId="4337" priority="243" operator="equal">
      <formula>0</formula>
    </cfRule>
    <cfRule type="cellIs" dxfId="4336" priority="244" operator="notEqual">
      <formula>0</formula>
    </cfRule>
  </conditionalFormatting>
  <conditionalFormatting sqref="AB60:AB61">
    <cfRule type="cellIs" dxfId="4335" priority="241" operator="equal">
      <formula>0</formula>
    </cfRule>
    <cfRule type="cellIs" dxfId="4334" priority="242" operator="notEqual">
      <formula>0</formula>
    </cfRule>
  </conditionalFormatting>
  <conditionalFormatting sqref="AG59">
    <cfRule type="cellIs" dxfId="4333" priority="239" operator="equal">
      <formula>0</formula>
    </cfRule>
    <cfRule type="cellIs" dxfId="4332" priority="240" operator="notEqual">
      <formula>0</formula>
    </cfRule>
  </conditionalFormatting>
  <conditionalFormatting sqref="AG62">
    <cfRule type="cellIs" dxfId="4331" priority="237" operator="equal">
      <formula>0</formula>
    </cfRule>
    <cfRule type="cellIs" dxfId="4330" priority="238" operator="notEqual">
      <formula>0</formula>
    </cfRule>
  </conditionalFormatting>
  <conditionalFormatting sqref="AH59">
    <cfRule type="cellIs" dxfId="4329" priority="235" operator="equal">
      <formula>0</formula>
    </cfRule>
    <cfRule type="cellIs" dxfId="4328" priority="236" operator="notEqual">
      <formula>0</formula>
    </cfRule>
  </conditionalFormatting>
  <conditionalFormatting sqref="AH62">
    <cfRule type="cellIs" dxfId="4327" priority="233" operator="equal">
      <formula>0</formula>
    </cfRule>
    <cfRule type="cellIs" dxfId="4326" priority="234" operator="notEqual">
      <formula>0</formula>
    </cfRule>
  </conditionalFormatting>
  <conditionalFormatting sqref="AI59">
    <cfRule type="cellIs" dxfId="4325" priority="231" operator="equal">
      <formula>0</formula>
    </cfRule>
    <cfRule type="cellIs" dxfId="4324" priority="232" operator="notEqual">
      <formula>0</formula>
    </cfRule>
  </conditionalFormatting>
  <conditionalFormatting sqref="AI62">
    <cfRule type="cellIs" dxfId="4323" priority="229" operator="equal">
      <formula>0</formula>
    </cfRule>
    <cfRule type="cellIs" dxfId="4322" priority="230" operator="notEqual">
      <formula>0</formula>
    </cfRule>
  </conditionalFormatting>
  <conditionalFormatting sqref="AJ59">
    <cfRule type="cellIs" dxfId="4321" priority="227" operator="equal">
      <formula>0</formula>
    </cfRule>
    <cfRule type="cellIs" dxfId="4320" priority="228" operator="notEqual">
      <formula>0</formula>
    </cfRule>
  </conditionalFormatting>
  <conditionalFormatting sqref="AJ62">
    <cfRule type="cellIs" dxfId="4319" priority="225" operator="equal">
      <formula>0</formula>
    </cfRule>
    <cfRule type="cellIs" dxfId="4318" priority="226" operator="notEqual">
      <formula>0</formula>
    </cfRule>
  </conditionalFormatting>
  <conditionalFormatting sqref="U53:U54">
    <cfRule type="cellIs" dxfId="4317" priority="223" operator="equal">
      <formula>0</formula>
    </cfRule>
    <cfRule type="cellIs" dxfId="4316" priority="224" operator="notEqual">
      <formula>0</formula>
    </cfRule>
  </conditionalFormatting>
  <conditionalFormatting sqref="V53:V54">
    <cfRule type="cellIs" dxfId="4315" priority="221" operator="equal">
      <formula>0</formula>
    </cfRule>
    <cfRule type="cellIs" dxfId="4314" priority="222" operator="notEqual">
      <formula>0</formula>
    </cfRule>
  </conditionalFormatting>
  <conditionalFormatting sqref="W53:W54">
    <cfRule type="cellIs" dxfId="4313" priority="219" operator="equal">
      <formula>0</formula>
    </cfRule>
    <cfRule type="cellIs" dxfId="4312" priority="220" operator="notEqual">
      <formula>0</formula>
    </cfRule>
  </conditionalFormatting>
  <conditionalFormatting sqref="X53:X54">
    <cfRule type="cellIs" dxfId="4311" priority="217" operator="equal">
      <formula>0</formula>
    </cfRule>
    <cfRule type="cellIs" dxfId="4310" priority="218" operator="notEqual">
      <formula>0</formula>
    </cfRule>
  </conditionalFormatting>
  <conditionalFormatting sqref="Y53:Y54">
    <cfRule type="cellIs" dxfId="4309" priority="215" operator="equal">
      <formula>0</formula>
    </cfRule>
    <cfRule type="cellIs" dxfId="4308" priority="216" operator="notEqual">
      <formula>0</formula>
    </cfRule>
  </conditionalFormatting>
  <conditionalFormatting sqref="Z53:Z54">
    <cfRule type="cellIs" dxfId="4307" priority="213" operator="equal">
      <formula>0</formula>
    </cfRule>
    <cfRule type="cellIs" dxfId="4306" priority="214" operator="notEqual">
      <formula>0</formula>
    </cfRule>
  </conditionalFormatting>
  <conditionalFormatting sqref="AA53:AA54">
    <cfRule type="cellIs" dxfId="4305" priority="211" operator="equal">
      <formula>0</formula>
    </cfRule>
    <cfRule type="cellIs" dxfId="4304" priority="212" operator="notEqual">
      <formula>0</formula>
    </cfRule>
  </conditionalFormatting>
  <conditionalFormatting sqref="AB53:AB54">
    <cfRule type="cellIs" dxfId="4303" priority="209" operator="equal">
      <formula>0</formula>
    </cfRule>
    <cfRule type="cellIs" dxfId="4302" priority="210" operator="notEqual">
      <formula>0</formula>
    </cfRule>
  </conditionalFormatting>
  <conditionalFormatting sqref="AG52">
    <cfRule type="cellIs" dxfId="4301" priority="207" operator="equal">
      <formula>0</formula>
    </cfRule>
    <cfRule type="cellIs" dxfId="4300" priority="208" operator="notEqual">
      <formula>0</formula>
    </cfRule>
  </conditionalFormatting>
  <conditionalFormatting sqref="AG55">
    <cfRule type="cellIs" dxfId="4299" priority="205" operator="equal">
      <formula>0</formula>
    </cfRule>
    <cfRule type="cellIs" dxfId="4298" priority="206" operator="notEqual">
      <formula>0</formula>
    </cfRule>
  </conditionalFormatting>
  <conditionalFormatting sqref="AH52">
    <cfRule type="cellIs" dxfId="4297" priority="203" operator="equal">
      <formula>0</formula>
    </cfRule>
    <cfRule type="cellIs" dxfId="4296" priority="204" operator="notEqual">
      <formula>0</formula>
    </cfRule>
  </conditionalFormatting>
  <conditionalFormatting sqref="AH55">
    <cfRule type="cellIs" dxfId="4295" priority="201" operator="equal">
      <formula>0</formula>
    </cfRule>
    <cfRule type="cellIs" dxfId="4294" priority="202" operator="notEqual">
      <formula>0</formula>
    </cfRule>
  </conditionalFormatting>
  <conditionalFormatting sqref="AI52">
    <cfRule type="cellIs" dxfId="4293" priority="199" operator="equal">
      <formula>0</formula>
    </cfRule>
    <cfRule type="cellIs" dxfId="4292" priority="200" operator="notEqual">
      <formula>0</formula>
    </cfRule>
  </conditionalFormatting>
  <conditionalFormatting sqref="AI55">
    <cfRule type="cellIs" dxfId="4291" priority="197" operator="equal">
      <formula>0</formula>
    </cfRule>
    <cfRule type="cellIs" dxfId="4290" priority="198" operator="notEqual">
      <formula>0</formula>
    </cfRule>
  </conditionalFormatting>
  <conditionalFormatting sqref="AJ52">
    <cfRule type="cellIs" dxfId="4289" priority="195" operator="equal">
      <formula>0</formula>
    </cfRule>
    <cfRule type="cellIs" dxfId="4288" priority="196" operator="notEqual">
      <formula>0</formula>
    </cfRule>
  </conditionalFormatting>
  <conditionalFormatting sqref="AJ55">
    <cfRule type="cellIs" dxfId="4287" priority="193" operator="equal">
      <formula>0</formula>
    </cfRule>
    <cfRule type="cellIs" dxfId="4286" priority="194" operator="notEqual">
      <formula>0</formula>
    </cfRule>
  </conditionalFormatting>
  <conditionalFormatting sqref="U46:U47">
    <cfRule type="cellIs" dxfId="4285" priority="191" operator="equal">
      <formula>0</formula>
    </cfRule>
    <cfRule type="cellIs" dxfId="4284" priority="192" operator="notEqual">
      <formula>0</formula>
    </cfRule>
  </conditionalFormatting>
  <conditionalFormatting sqref="V46:V47">
    <cfRule type="cellIs" dxfId="4283" priority="189" operator="equal">
      <formula>0</formula>
    </cfRule>
    <cfRule type="cellIs" dxfId="4282" priority="190" operator="notEqual">
      <formula>0</formula>
    </cfRule>
  </conditionalFormatting>
  <conditionalFormatting sqref="W46:W47">
    <cfRule type="cellIs" dxfId="4281" priority="187" operator="equal">
      <formula>0</formula>
    </cfRule>
    <cfRule type="cellIs" dxfId="4280" priority="188" operator="notEqual">
      <formula>0</formula>
    </cfRule>
  </conditionalFormatting>
  <conditionalFormatting sqref="X46:X47">
    <cfRule type="cellIs" dxfId="4279" priority="185" operator="equal">
      <formula>0</formula>
    </cfRule>
    <cfRule type="cellIs" dxfId="4278" priority="186" operator="notEqual">
      <formula>0</formula>
    </cfRule>
  </conditionalFormatting>
  <conditionalFormatting sqref="Y46:Y47">
    <cfRule type="cellIs" dxfId="4277" priority="183" operator="equal">
      <formula>0</formula>
    </cfRule>
    <cfRule type="cellIs" dxfId="4276" priority="184" operator="notEqual">
      <formula>0</formula>
    </cfRule>
  </conditionalFormatting>
  <conditionalFormatting sqref="Z46:Z47">
    <cfRule type="cellIs" dxfId="4275" priority="181" operator="equal">
      <formula>0</formula>
    </cfRule>
    <cfRule type="cellIs" dxfId="4274" priority="182" operator="notEqual">
      <formula>0</formula>
    </cfRule>
  </conditionalFormatting>
  <conditionalFormatting sqref="AA46:AA47">
    <cfRule type="cellIs" dxfId="4273" priority="179" operator="equal">
      <formula>0</formula>
    </cfRule>
    <cfRule type="cellIs" dxfId="4272" priority="180" operator="notEqual">
      <formula>0</formula>
    </cfRule>
  </conditionalFormatting>
  <conditionalFormatting sqref="AB46:AB47">
    <cfRule type="cellIs" dxfId="4271" priority="177" operator="equal">
      <formula>0</formula>
    </cfRule>
    <cfRule type="cellIs" dxfId="4270" priority="178" operator="notEqual">
      <formula>0</formula>
    </cfRule>
  </conditionalFormatting>
  <conditionalFormatting sqref="AG45">
    <cfRule type="cellIs" dxfId="4269" priority="175" operator="equal">
      <formula>0</formula>
    </cfRule>
    <cfRule type="cellIs" dxfId="4268" priority="176" operator="notEqual">
      <formula>0</formula>
    </cfRule>
  </conditionalFormatting>
  <conditionalFormatting sqref="AG48">
    <cfRule type="cellIs" dxfId="4267" priority="173" operator="equal">
      <formula>0</formula>
    </cfRule>
    <cfRule type="cellIs" dxfId="4266" priority="174" operator="notEqual">
      <formula>0</formula>
    </cfRule>
  </conditionalFormatting>
  <conditionalFormatting sqref="AH45">
    <cfRule type="cellIs" dxfId="4265" priority="171" operator="equal">
      <formula>0</formula>
    </cfRule>
    <cfRule type="cellIs" dxfId="4264" priority="172" operator="notEqual">
      <formula>0</formula>
    </cfRule>
  </conditionalFormatting>
  <conditionalFormatting sqref="AH48">
    <cfRule type="cellIs" dxfId="4263" priority="169" operator="equal">
      <formula>0</formula>
    </cfRule>
    <cfRule type="cellIs" dxfId="4262" priority="170" operator="notEqual">
      <formula>0</formula>
    </cfRule>
  </conditionalFormatting>
  <conditionalFormatting sqref="AI45">
    <cfRule type="cellIs" dxfId="4261" priority="167" operator="equal">
      <formula>0</formula>
    </cfRule>
    <cfRule type="cellIs" dxfId="4260" priority="168" operator="notEqual">
      <formula>0</formula>
    </cfRule>
  </conditionalFormatting>
  <conditionalFormatting sqref="AI48">
    <cfRule type="cellIs" dxfId="4259" priority="165" operator="equal">
      <formula>0</formula>
    </cfRule>
    <cfRule type="cellIs" dxfId="4258" priority="166" operator="notEqual">
      <formula>0</formula>
    </cfRule>
  </conditionalFormatting>
  <conditionalFormatting sqref="AJ45">
    <cfRule type="cellIs" dxfId="4257" priority="163" operator="equal">
      <formula>0</formula>
    </cfRule>
    <cfRule type="cellIs" dxfId="4256" priority="164" operator="notEqual">
      <formula>0</formula>
    </cfRule>
  </conditionalFormatting>
  <conditionalFormatting sqref="AJ48">
    <cfRule type="cellIs" dxfId="4255" priority="161" operator="equal">
      <formula>0</formula>
    </cfRule>
    <cfRule type="cellIs" dxfId="4254" priority="162" operator="notEqual">
      <formula>0</formula>
    </cfRule>
  </conditionalFormatting>
  <conditionalFormatting sqref="U39:U40">
    <cfRule type="cellIs" dxfId="4253" priority="159" operator="equal">
      <formula>0</formula>
    </cfRule>
    <cfRule type="cellIs" dxfId="4252" priority="160" operator="notEqual">
      <formula>0</formula>
    </cfRule>
  </conditionalFormatting>
  <conditionalFormatting sqref="V39:V40">
    <cfRule type="cellIs" dxfId="4251" priority="157" operator="equal">
      <formula>0</formula>
    </cfRule>
    <cfRule type="cellIs" dxfId="4250" priority="158" operator="notEqual">
      <formula>0</formula>
    </cfRule>
  </conditionalFormatting>
  <conditionalFormatting sqref="W39:W40">
    <cfRule type="cellIs" dxfId="4249" priority="155" operator="equal">
      <formula>0</formula>
    </cfRule>
    <cfRule type="cellIs" dxfId="4248" priority="156" operator="notEqual">
      <formula>0</formula>
    </cfRule>
  </conditionalFormatting>
  <conditionalFormatting sqref="X39:X40">
    <cfRule type="cellIs" dxfId="4247" priority="153" operator="equal">
      <formula>0</formula>
    </cfRule>
    <cfRule type="cellIs" dxfId="4246" priority="154" operator="notEqual">
      <formula>0</formula>
    </cfRule>
  </conditionalFormatting>
  <conditionalFormatting sqref="Y39:Y40">
    <cfRule type="cellIs" dxfId="4245" priority="151" operator="equal">
      <formula>0</formula>
    </cfRule>
    <cfRule type="cellIs" dxfId="4244" priority="152" operator="notEqual">
      <formula>0</formula>
    </cfRule>
  </conditionalFormatting>
  <conditionalFormatting sqref="Z39:Z40">
    <cfRule type="cellIs" dxfId="4243" priority="149" operator="equal">
      <formula>0</formula>
    </cfRule>
    <cfRule type="cellIs" dxfId="4242" priority="150" operator="notEqual">
      <formula>0</formula>
    </cfRule>
  </conditionalFormatting>
  <conditionalFormatting sqref="AA39:AA40">
    <cfRule type="cellIs" dxfId="4241" priority="147" operator="equal">
      <formula>0</formula>
    </cfRule>
    <cfRule type="cellIs" dxfId="4240" priority="148" operator="notEqual">
      <formula>0</formula>
    </cfRule>
  </conditionalFormatting>
  <conditionalFormatting sqref="AB39:AB40">
    <cfRule type="cellIs" dxfId="4239" priority="145" operator="equal">
      <formula>0</formula>
    </cfRule>
    <cfRule type="cellIs" dxfId="4238" priority="146" operator="notEqual">
      <formula>0</formula>
    </cfRule>
  </conditionalFormatting>
  <conditionalFormatting sqref="AG38">
    <cfRule type="cellIs" dxfId="4237" priority="143" operator="equal">
      <formula>0</formula>
    </cfRule>
    <cfRule type="cellIs" dxfId="4236" priority="144" operator="notEqual">
      <formula>0</formula>
    </cfRule>
  </conditionalFormatting>
  <conditionalFormatting sqref="AG41">
    <cfRule type="cellIs" dxfId="4235" priority="141" operator="equal">
      <formula>0</formula>
    </cfRule>
    <cfRule type="cellIs" dxfId="4234" priority="142" operator="notEqual">
      <formula>0</formula>
    </cfRule>
  </conditionalFormatting>
  <conditionalFormatting sqref="AH38">
    <cfRule type="cellIs" dxfId="4233" priority="139" operator="equal">
      <formula>0</formula>
    </cfRule>
    <cfRule type="cellIs" dxfId="4232" priority="140" operator="notEqual">
      <formula>0</formula>
    </cfRule>
  </conditionalFormatting>
  <conditionalFormatting sqref="AH41">
    <cfRule type="cellIs" dxfId="4231" priority="137" operator="equal">
      <formula>0</formula>
    </cfRule>
    <cfRule type="cellIs" dxfId="4230" priority="138" operator="notEqual">
      <formula>0</formula>
    </cfRule>
  </conditionalFormatting>
  <conditionalFormatting sqref="AI38">
    <cfRule type="cellIs" dxfId="4229" priority="135" operator="equal">
      <formula>0</formula>
    </cfRule>
    <cfRule type="cellIs" dxfId="4228" priority="136" operator="notEqual">
      <formula>0</formula>
    </cfRule>
  </conditionalFormatting>
  <conditionalFormatting sqref="AI41">
    <cfRule type="cellIs" dxfId="4227" priority="133" operator="equal">
      <formula>0</formula>
    </cfRule>
    <cfRule type="cellIs" dxfId="4226" priority="134" operator="notEqual">
      <formula>0</formula>
    </cfRule>
  </conditionalFormatting>
  <conditionalFormatting sqref="AJ38">
    <cfRule type="cellIs" dxfId="4225" priority="131" operator="equal">
      <formula>0</formula>
    </cfRule>
    <cfRule type="cellIs" dxfId="4224" priority="132" operator="notEqual">
      <formula>0</formula>
    </cfRule>
  </conditionalFormatting>
  <conditionalFormatting sqref="AJ41">
    <cfRule type="cellIs" dxfId="4223" priority="129" operator="equal">
      <formula>0</formula>
    </cfRule>
    <cfRule type="cellIs" dxfId="4222" priority="130" operator="notEqual">
      <formula>0</formula>
    </cfRule>
  </conditionalFormatting>
  <conditionalFormatting sqref="U32:U33">
    <cfRule type="cellIs" dxfId="4221" priority="127" operator="equal">
      <formula>0</formula>
    </cfRule>
    <cfRule type="cellIs" dxfId="4220" priority="128" operator="notEqual">
      <formula>0</formula>
    </cfRule>
  </conditionalFormatting>
  <conditionalFormatting sqref="V32:V33">
    <cfRule type="cellIs" dxfId="4219" priority="125" operator="equal">
      <formula>0</formula>
    </cfRule>
    <cfRule type="cellIs" dxfId="4218" priority="126" operator="notEqual">
      <formula>0</formula>
    </cfRule>
  </conditionalFormatting>
  <conditionalFormatting sqref="W32:W33">
    <cfRule type="cellIs" dxfId="4217" priority="123" operator="equal">
      <formula>0</formula>
    </cfRule>
    <cfRule type="cellIs" dxfId="4216" priority="124" operator="notEqual">
      <formula>0</formula>
    </cfRule>
  </conditionalFormatting>
  <conditionalFormatting sqref="X32:X33">
    <cfRule type="cellIs" dxfId="4215" priority="121" operator="equal">
      <formula>0</formula>
    </cfRule>
    <cfRule type="cellIs" dxfId="4214" priority="122" operator="notEqual">
      <formula>0</formula>
    </cfRule>
  </conditionalFormatting>
  <conditionalFormatting sqref="Y32:Y33">
    <cfRule type="cellIs" dxfId="4213" priority="119" operator="equal">
      <formula>0</formula>
    </cfRule>
    <cfRule type="cellIs" dxfId="4212" priority="120" operator="notEqual">
      <formula>0</formula>
    </cfRule>
  </conditionalFormatting>
  <conditionalFormatting sqref="Z32:Z33">
    <cfRule type="cellIs" dxfId="4211" priority="117" operator="equal">
      <formula>0</formula>
    </cfRule>
    <cfRule type="cellIs" dxfId="4210" priority="118" operator="notEqual">
      <formula>0</formula>
    </cfRule>
  </conditionalFormatting>
  <conditionalFormatting sqref="AA32:AA33">
    <cfRule type="cellIs" dxfId="4209" priority="115" operator="equal">
      <formula>0</formula>
    </cfRule>
    <cfRule type="cellIs" dxfId="4208" priority="116" operator="notEqual">
      <formula>0</formula>
    </cfRule>
  </conditionalFormatting>
  <conditionalFormatting sqref="AB32:AB33">
    <cfRule type="cellIs" dxfId="4207" priority="113" operator="equal">
      <formula>0</formula>
    </cfRule>
    <cfRule type="cellIs" dxfId="4206" priority="114" operator="notEqual">
      <formula>0</formula>
    </cfRule>
  </conditionalFormatting>
  <conditionalFormatting sqref="AG31">
    <cfRule type="cellIs" dxfId="4205" priority="111" operator="equal">
      <formula>0</formula>
    </cfRule>
    <cfRule type="cellIs" dxfId="4204" priority="112" operator="notEqual">
      <formula>0</formula>
    </cfRule>
  </conditionalFormatting>
  <conditionalFormatting sqref="AG34">
    <cfRule type="cellIs" dxfId="4203" priority="109" operator="equal">
      <formula>0</formula>
    </cfRule>
    <cfRule type="cellIs" dxfId="4202" priority="110" operator="notEqual">
      <formula>0</formula>
    </cfRule>
  </conditionalFormatting>
  <conditionalFormatting sqref="AH31">
    <cfRule type="cellIs" dxfId="4201" priority="107" operator="equal">
      <formula>0</formula>
    </cfRule>
    <cfRule type="cellIs" dxfId="4200" priority="108" operator="notEqual">
      <formula>0</formula>
    </cfRule>
  </conditionalFormatting>
  <conditionalFormatting sqref="AH34">
    <cfRule type="cellIs" dxfId="4199" priority="105" operator="equal">
      <formula>0</formula>
    </cfRule>
    <cfRule type="cellIs" dxfId="4198" priority="106" operator="notEqual">
      <formula>0</formula>
    </cfRule>
  </conditionalFormatting>
  <conditionalFormatting sqref="AI31">
    <cfRule type="cellIs" dxfId="4197" priority="103" operator="equal">
      <formula>0</formula>
    </cfRule>
    <cfRule type="cellIs" dxfId="4196" priority="104" operator="notEqual">
      <formula>0</formula>
    </cfRule>
  </conditionalFormatting>
  <conditionalFormatting sqref="AI34">
    <cfRule type="cellIs" dxfId="4195" priority="101" operator="equal">
      <formula>0</formula>
    </cfRule>
    <cfRule type="cellIs" dxfId="4194" priority="102" operator="notEqual">
      <formula>0</formula>
    </cfRule>
  </conditionalFormatting>
  <conditionalFormatting sqref="AJ31">
    <cfRule type="cellIs" dxfId="4193" priority="99" operator="equal">
      <formula>0</formula>
    </cfRule>
    <cfRule type="cellIs" dxfId="4192" priority="100" operator="notEqual">
      <formula>0</formula>
    </cfRule>
  </conditionalFormatting>
  <conditionalFormatting sqref="AJ34">
    <cfRule type="cellIs" dxfId="4191" priority="97" operator="equal">
      <formula>0</formula>
    </cfRule>
    <cfRule type="cellIs" dxfId="4190" priority="98" operator="notEqual">
      <formula>0</formula>
    </cfRule>
  </conditionalFormatting>
  <conditionalFormatting sqref="U25:U26">
    <cfRule type="cellIs" dxfId="4189" priority="95" operator="equal">
      <formula>0</formula>
    </cfRule>
    <cfRule type="cellIs" dxfId="4188" priority="96" operator="notEqual">
      <formula>0</formula>
    </cfRule>
  </conditionalFormatting>
  <conditionalFormatting sqref="V25:V26">
    <cfRule type="cellIs" dxfId="4187" priority="93" operator="equal">
      <formula>0</formula>
    </cfRule>
    <cfRule type="cellIs" dxfId="4186" priority="94" operator="notEqual">
      <formula>0</formula>
    </cfRule>
  </conditionalFormatting>
  <conditionalFormatting sqref="W25:W26">
    <cfRule type="cellIs" dxfId="4185" priority="91" operator="equal">
      <formula>0</formula>
    </cfRule>
    <cfRule type="cellIs" dxfId="4184" priority="92" operator="notEqual">
      <formula>0</formula>
    </cfRule>
  </conditionalFormatting>
  <conditionalFormatting sqref="X25:X26">
    <cfRule type="cellIs" dxfId="4183" priority="89" operator="equal">
      <formula>0</formula>
    </cfRule>
    <cfRule type="cellIs" dxfId="4182" priority="90" operator="notEqual">
      <formula>0</formula>
    </cfRule>
  </conditionalFormatting>
  <conditionalFormatting sqref="Y25:Y26">
    <cfRule type="cellIs" dxfId="4181" priority="87" operator="equal">
      <formula>0</formula>
    </cfRule>
    <cfRule type="cellIs" dxfId="4180" priority="88" operator="notEqual">
      <formula>0</formula>
    </cfRule>
  </conditionalFormatting>
  <conditionalFormatting sqref="Z25:Z26">
    <cfRule type="cellIs" dxfId="4179" priority="85" operator="equal">
      <formula>0</formula>
    </cfRule>
    <cfRule type="cellIs" dxfId="4178" priority="86" operator="notEqual">
      <formula>0</formula>
    </cfRule>
  </conditionalFormatting>
  <conditionalFormatting sqref="AA25:AA26">
    <cfRule type="cellIs" dxfId="4177" priority="83" operator="equal">
      <formula>0</formula>
    </cfRule>
    <cfRule type="cellIs" dxfId="4176" priority="84" operator="notEqual">
      <formula>0</formula>
    </cfRule>
  </conditionalFormatting>
  <conditionalFormatting sqref="AB25:AB26">
    <cfRule type="cellIs" dxfId="4175" priority="81" operator="equal">
      <formula>0</formula>
    </cfRule>
    <cfRule type="cellIs" dxfId="4174" priority="82" operator="notEqual">
      <formula>0</formula>
    </cfRule>
  </conditionalFormatting>
  <conditionalFormatting sqref="AG24">
    <cfRule type="cellIs" dxfId="4173" priority="79" operator="equal">
      <formula>0</formula>
    </cfRule>
    <cfRule type="cellIs" dxfId="4172" priority="80" operator="notEqual">
      <formula>0</formula>
    </cfRule>
  </conditionalFormatting>
  <conditionalFormatting sqref="AG27">
    <cfRule type="cellIs" dxfId="4171" priority="77" operator="equal">
      <formula>0</formula>
    </cfRule>
    <cfRule type="cellIs" dxfId="4170" priority="78" operator="notEqual">
      <formula>0</formula>
    </cfRule>
  </conditionalFormatting>
  <conditionalFormatting sqref="AH24">
    <cfRule type="cellIs" dxfId="4169" priority="75" operator="equal">
      <formula>0</formula>
    </cfRule>
    <cfRule type="cellIs" dxfId="4168" priority="76" operator="notEqual">
      <formula>0</formula>
    </cfRule>
  </conditionalFormatting>
  <conditionalFormatting sqref="AH27">
    <cfRule type="cellIs" dxfId="4167" priority="73" operator="equal">
      <formula>0</formula>
    </cfRule>
    <cfRule type="cellIs" dxfId="4166" priority="74" operator="notEqual">
      <formula>0</formula>
    </cfRule>
  </conditionalFormatting>
  <conditionalFormatting sqref="AI24">
    <cfRule type="cellIs" dxfId="4165" priority="71" operator="equal">
      <formula>0</formula>
    </cfRule>
    <cfRule type="cellIs" dxfId="4164" priority="72" operator="notEqual">
      <formula>0</formula>
    </cfRule>
  </conditionalFormatting>
  <conditionalFormatting sqref="AI27">
    <cfRule type="cellIs" dxfId="4163" priority="69" operator="equal">
      <formula>0</formula>
    </cfRule>
    <cfRule type="cellIs" dxfId="4162" priority="70" operator="notEqual">
      <formula>0</formula>
    </cfRule>
  </conditionalFormatting>
  <conditionalFormatting sqref="AJ24">
    <cfRule type="cellIs" dxfId="4161" priority="67" operator="equal">
      <formula>0</formula>
    </cfRule>
    <cfRule type="cellIs" dxfId="4160" priority="68" operator="notEqual">
      <formula>0</formula>
    </cfRule>
  </conditionalFormatting>
  <conditionalFormatting sqref="AJ27">
    <cfRule type="cellIs" dxfId="4159" priority="65" operator="equal">
      <formula>0</formula>
    </cfRule>
    <cfRule type="cellIs" dxfId="4158" priority="66" operator="notEqual">
      <formula>0</formula>
    </cfRule>
  </conditionalFormatting>
  <conditionalFormatting sqref="U18:U19">
    <cfRule type="cellIs" dxfId="4157" priority="63" operator="equal">
      <formula>0</formula>
    </cfRule>
    <cfRule type="cellIs" dxfId="4156" priority="64" operator="notEqual">
      <formula>0</formula>
    </cfRule>
  </conditionalFormatting>
  <conditionalFormatting sqref="V18:V19">
    <cfRule type="cellIs" dxfId="4155" priority="61" operator="equal">
      <formula>0</formula>
    </cfRule>
    <cfRule type="cellIs" dxfId="4154" priority="62" operator="notEqual">
      <formula>0</formula>
    </cfRule>
  </conditionalFormatting>
  <conditionalFormatting sqref="W18:W19">
    <cfRule type="cellIs" dxfId="4153" priority="59" operator="equal">
      <formula>0</formula>
    </cfRule>
    <cfRule type="cellIs" dxfId="4152" priority="60" operator="notEqual">
      <formula>0</formula>
    </cfRule>
  </conditionalFormatting>
  <conditionalFormatting sqref="X18:X19">
    <cfRule type="cellIs" dxfId="4151" priority="57" operator="equal">
      <formula>0</formula>
    </cfRule>
    <cfRule type="cellIs" dxfId="4150" priority="58" operator="notEqual">
      <formula>0</formula>
    </cfRule>
  </conditionalFormatting>
  <conditionalFormatting sqref="Y18:Y19">
    <cfRule type="cellIs" dxfId="4149" priority="55" operator="equal">
      <formula>0</formula>
    </cfRule>
    <cfRule type="cellIs" dxfId="4148" priority="56" operator="notEqual">
      <formula>0</formula>
    </cfRule>
  </conditionalFormatting>
  <conditionalFormatting sqref="Z18:Z19">
    <cfRule type="cellIs" dxfId="4147" priority="53" operator="equal">
      <formula>0</formula>
    </cfRule>
    <cfRule type="cellIs" dxfId="4146" priority="54" operator="notEqual">
      <formula>0</formula>
    </cfRule>
  </conditionalFormatting>
  <conditionalFormatting sqref="AA18:AA19">
    <cfRule type="cellIs" dxfId="4145" priority="51" operator="equal">
      <formula>0</formula>
    </cfRule>
    <cfRule type="cellIs" dxfId="4144" priority="52" operator="notEqual">
      <formula>0</formula>
    </cfRule>
  </conditionalFormatting>
  <conditionalFormatting sqref="AB18:AB19">
    <cfRule type="cellIs" dxfId="4143" priority="49" operator="equal">
      <formula>0</formula>
    </cfRule>
    <cfRule type="cellIs" dxfId="4142" priority="50" operator="notEqual">
      <formula>0</formula>
    </cfRule>
  </conditionalFormatting>
  <conditionalFormatting sqref="AG17">
    <cfRule type="cellIs" dxfId="4141" priority="47" operator="equal">
      <formula>0</formula>
    </cfRule>
    <cfRule type="cellIs" dxfId="4140" priority="48" operator="notEqual">
      <formula>0</formula>
    </cfRule>
  </conditionalFormatting>
  <conditionalFormatting sqref="AG20">
    <cfRule type="cellIs" dxfId="4139" priority="45" operator="equal">
      <formula>0</formula>
    </cfRule>
    <cfRule type="cellIs" dxfId="4138" priority="46" operator="notEqual">
      <formula>0</formula>
    </cfRule>
  </conditionalFormatting>
  <conditionalFormatting sqref="AH17">
    <cfRule type="cellIs" dxfId="4137" priority="43" operator="equal">
      <formula>0</formula>
    </cfRule>
    <cfRule type="cellIs" dxfId="4136" priority="44" operator="notEqual">
      <formula>0</formula>
    </cfRule>
  </conditionalFormatting>
  <conditionalFormatting sqref="AH20">
    <cfRule type="cellIs" dxfId="4135" priority="41" operator="equal">
      <formula>0</formula>
    </cfRule>
    <cfRule type="cellIs" dxfId="4134" priority="42" operator="notEqual">
      <formula>0</formula>
    </cfRule>
  </conditionalFormatting>
  <conditionalFormatting sqref="AI17">
    <cfRule type="cellIs" dxfId="4133" priority="39" operator="equal">
      <formula>0</formula>
    </cfRule>
    <cfRule type="cellIs" dxfId="4132" priority="40" operator="notEqual">
      <formula>0</formula>
    </cfRule>
  </conditionalFormatting>
  <conditionalFormatting sqref="AI20">
    <cfRule type="cellIs" dxfId="4131" priority="37" operator="equal">
      <formula>0</formula>
    </cfRule>
    <cfRule type="cellIs" dxfId="4130" priority="38" operator="notEqual">
      <formula>0</formula>
    </cfRule>
  </conditionalFormatting>
  <conditionalFormatting sqref="AJ17">
    <cfRule type="cellIs" dxfId="4129" priority="35" operator="equal">
      <formula>0</formula>
    </cfRule>
    <cfRule type="cellIs" dxfId="4128" priority="36" operator="notEqual">
      <formula>0</formula>
    </cfRule>
  </conditionalFormatting>
  <conditionalFormatting sqref="AJ20">
    <cfRule type="cellIs" dxfId="4127" priority="33" operator="equal">
      <formula>0</formula>
    </cfRule>
    <cfRule type="cellIs" dxfId="4126" priority="34" operator="notEqual">
      <formula>0</formula>
    </cfRule>
  </conditionalFormatting>
  <conditionalFormatting sqref="U11:U12">
    <cfRule type="cellIs" dxfId="4125" priority="31" operator="equal">
      <formula>0</formula>
    </cfRule>
    <cfRule type="cellIs" dxfId="4124" priority="32" operator="notEqual">
      <formula>0</formula>
    </cfRule>
  </conditionalFormatting>
  <conditionalFormatting sqref="V11:V12">
    <cfRule type="cellIs" dxfId="4123" priority="29" operator="equal">
      <formula>0</formula>
    </cfRule>
    <cfRule type="cellIs" dxfId="4122" priority="30" operator="notEqual">
      <formula>0</formula>
    </cfRule>
  </conditionalFormatting>
  <conditionalFormatting sqref="W11:W12">
    <cfRule type="cellIs" dxfId="4121" priority="27" operator="equal">
      <formula>0</formula>
    </cfRule>
    <cfRule type="cellIs" dxfId="4120" priority="28" operator="notEqual">
      <formula>0</formula>
    </cfRule>
  </conditionalFormatting>
  <conditionalFormatting sqref="X11:X12">
    <cfRule type="cellIs" dxfId="4119" priority="25" operator="equal">
      <formula>0</formula>
    </cfRule>
    <cfRule type="cellIs" dxfId="4118" priority="26" operator="notEqual">
      <formula>0</formula>
    </cfRule>
  </conditionalFormatting>
  <conditionalFormatting sqref="Y11:Y12">
    <cfRule type="cellIs" dxfId="4117" priority="23" operator="equal">
      <formula>0</formula>
    </cfRule>
    <cfRule type="cellIs" dxfId="4116" priority="24" operator="notEqual">
      <formula>0</formula>
    </cfRule>
  </conditionalFormatting>
  <conditionalFormatting sqref="Z11:Z12">
    <cfRule type="cellIs" dxfId="4115" priority="21" operator="equal">
      <formula>0</formula>
    </cfRule>
    <cfRule type="cellIs" dxfId="4114" priority="22" operator="notEqual">
      <formula>0</formula>
    </cfRule>
  </conditionalFormatting>
  <conditionalFormatting sqref="AA11:AA12">
    <cfRule type="cellIs" dxfId="4113" priority="19" operator="equal">
      <formula>0</formula>
    </cfRule>
    <cfRule type="cellIs" dxfId="4112" priority="20" operator="notEqual">
      <formula>0</formula>
    </cfRule>
  </conditionalFormatting>
  <conditionalFormatting sqref="AB11:AB12">
    <cfRule type="cellIs" dxfId="4111" priority="17" operator="equal">
      <formula>0</formula>
    </cfRule>
    <cfRule type="cellIs" dxfId="4110" priority="18" operator="notEqual">
      <formula>0</formula>
    </cfRule>
  </conditionalFormatting>
  <conditionalFormatting sqref="AG10">
    <cfRule type="cellIs" dxfId="4109" priority="15" operator="equal">
      <formula>0</formula>
    </cfRule>
    <cfRule type="cellIs" dxfId="4108" priority="16" operator="notEqual">
      <formula>0</formula>
    </cfRule>
  </conditionalFormatting>
  <conditionalFormatting sqref="AG13">
    <cfRule type="cellIs" dxfId="4107" priority="13" operator="equal">
      <formula>0</formula>
    </cfRule>
    <cfRule type="cellIs" dxfId="4106" priority="14" operator="notEqual">
      <formula>0</formula>
    </cfRule>
  </conditionalFormatting>
  <conditionalFormatting sqref="AH10">
    <cfRule type="cellIs" dxfId="4105" priority="11" operator="equal">
      <formula>0</formula>
    </cfRule>
    <cfRule type="cellIs" dxfId="4104" priority="12" operator="notEqual">
      <formula>0</formula>
    </cfRule>
  </conditionalFormatting>
  <conditionalFormatting sqref="AH13">
    <cfRule type="cellIs" dxfId="4103" priority="9" operator="equal">
      <formula>0</formula>
    </cfRule>
    <cfRule type="cellIs" dxfId="4102" priority="10" operator="notEqual">
      <formula>0</formula>
    </cfRule>
  </conditionalFormatting>
  <conditionalFormatting sqref="AI10">
    <cfRule type="cellIs" dxfId="4101" priority="7" operator="equal">
      <formula>0</formula>
    </cfRule>
    <cfRule type="cellIs" dxfId="4100" priority="8" operator="notEqual">
      <formula>0</formula>
    </cfRule>
  </conditionalFormatting>
  <conditionalFormatting sqref="AI13">
    <cfRule type="cellIs" dxfId="4099" priority="5" operator="equal">
      <formula>0</formula>
    </cfRule>
    <cfRule type="cellIs" dxfId="4098" priority="6" operator="notEqual">
      <formula>0</formula>
    </cfRule>
  </conditionalFormatting>
  <conditionalFormatting sqref="AJ10">
    <cfRule type="cellIs" dxfId="4097" priority="3" operator="equal">
      <formula>0</formula>
    </cfRule>
    <cfRule type="cellIs" dxfId="4096" priority="4" operator="notEqual">
      <formula>0</formula>
    </cfRule>
  </conditionalFormatting>
  <conditionalFormatting sqref="AJ13">
    <cfRule type="cellIs" dxfId="4095" priority="1" operator="equal">
      <formula>0</formula>
    </cfRule>
    <cfRule type="cellIs" dxfId="4094" priority="2" operator="notEqual">
      <formula>0</formula>
    </cfRule>
  </conditionalFormatting>
  <dataValidations count="1">
    <dataValidation type="list" allowBlank="1" showInputMessage="1" showErrorMessage="1" sqref="B5" xr:uid="{FF1A5B65-A890-4375-A47D-14ACB855E01E}">
      <formula1>Regions</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4">
    <pageSetUpPr autoPageBreaks="0"/>
  </sheetPr>
  <dimension ref="A1:AX104"/>
  <sheetViews>
    <sheetView showGridLines="0" topLeftCell="A7" zoomScale="85" zoomScaleNormal="85" workbookViewId="0">
      <selection activeCell="C24" sqref="C24"/>
    </sheetView>
  </sheetViews>
  <sheetFormatPr baseColWidth="10" defaultColWidth="9.1640625" defaultRowHeight="14" x14ac:dyDescent="0.15"/>
  <cols>
    <col min="1" max="1" width="2.1640625" customWidth="1"/>
    <col min="2" max="2" width="36.1640625" customWidth="1"/>
    <col min="20" max="20" width="33" customWidth="1"/>
  </cols>
  <sheetData>
    <row r="1" spans="1:50" ht="60.75" customHeight="1" x14ac:dyDescent="0.15">
      <c r="A1" s="482" t="s">
        <v>1095</v>
      </c>
      <c r="B1" s="482"/>
      <c r="C1" s="482"/>
      <c r="D1" s="482"/>
      <c r="E1" s="482"/>
      <c r="F1" s="482"/>
      <c r="G1" s="482"/>
      <c r="H1" s="482"/>
      <c r="I1" s="482"/>
      <c r="J1" s="482"/>
      <c r="K1" s="482"/>
      <c r="L1" s="482"/>
      <c r="M1" s="482"/>
      <c r="N1" s="482"/>
      <c r="O1" s="482"/>
      <c r="P1" s="482"/>
      <c r="Q1" s="482"/>
      <c r="R1" s="482"/>
      <c r="S1" s="482"/>
      <c r="T1" s="482"/>
      <c r="U1" s="482"/>
      <c r="V1" s="482"/>
      <c r="W1" s="482"/>
      <c r="X1" s="482"/>
      <c r="Y1" s="482"/>
      <c r="Z1" s="482"/>
      <c r="AA1" s="482"/>
      <c r="AB1" s="482"/>
      <c r="AC1" s="482"/>
      <c r="AD1" s="482"/>
      <c r="AE1" s="482"/>
      <c r="AF1" s="482"/>
      <c r="AG1" s="482"/>
      <c r="AH1" s="482"/>
      <c r="AI1" s="482"/>
      <c r="AJ1" s="482"/>
      <c r="AK1" s="257"/>
      <c r="AL1" s="257"/>
      <c r="AM1" s="257"/>
      <c r="AN1" s="257"/>
      <c r="AO1" s="257"/>
      <c r="AP1" s="257"/>
      <c r="AQ1" s="257"/>
      <c r="AR1" s="257"/>
      <c r="AS1" s="257"/>
      <c r="AT1" s="257"/>
      <c r="AU1" s="257"/>
      <c r="AV1" s="257"/>
      <c r="AW1" s="257"/>
      <c r="AX1" s="257"/>
    </row>
    <row r="2" spans="1:50" ht="48" customHeight="1" x14ac:dyDescent="0.15">
      <c r="A2" s="426"/>
      <c r="B2" s="426"/>
      <c r="C2" s="426"/>
      <c r="D2" s="426"/>
      <c r="E2" s="426"/>
      <c r="F2" s="426"/>
      <c r="G2" s="426"/>
      <c r="H2" s="426"/>
      <c r="I2" s="426"/>
      <c r="J2" s="426"/>
      <c r="K2" s="426"/>
      <c r="L2" s="426"/>
      <c r="M2" s="426"/>
      <c r="N2" s="426"/>
      <c r="O2" s="426"/>
      <c r="P2" s="426"/>
      <c r="Q2" s="426"/>
      <c r="R2" s="426"/>
      <c r="S2" s="426"/>
      <c r="T2" s="426"/>
      <c r="U2" s="426"/>
      <c r="V2" s="426"/>
      <c r="W2" s="426"/>
      <c r="X2" s="426"/>
      <c r="Y2" s="426"/>
      <c r="Z2" s="426"/>
      <c r="AA2" s="426"/>
      <c r="AB2" s="426"/>
      <c r="AC2" s="426"/>
      <c r="AD2" s="426"/>
      <c r="AE2" s="426"/>
      <c r="AF2" s="426"/>
      <c r="AG2" s="426"/>
      <c r="AH2" s="426"/>
      <c r="AI2" s="426"/>
      <c r="AJ2" s="426"/>
      <c r="AK2" s="262"/>
      <c r="AL2" s="262"/>
      <c r="AM2" s="262"/>
      <c r="AN2" s="262"/>
      <c r="AO2" s="262"/>
      <c r="AP2" s="262"/>
      <c r="AQ2" s="262"/>
      <c r="AR2" s="262"/>
      <c r="AS2" s="262"/>
      <c r="AT2" s="262"/>
      <c r="AU2" s="262"/>
      <c r="AV2" s="262"/>
      <c r="AW2" s="262"/>
      <c r="AX2" s="262"/>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935</v>
      </c>
    </row>
    <row r="5" spans="1:50" ht="27" customHeight="1" x14ac:dyDescent="0.15">
      <c r="B5" s="242" t="s">
        <v>17</v>
      </c>
      <c r="P5" s="40"/>
    </row>
    <row r="6" spans="1:50" x14ac:dyDescent="0.15">
      <c r="B6" s="46"/>
    </row>
    <row r="8" spans="1:50" ht="28.5" customHeight="1" x14ac:dyDescent="0.15">
      <c r="B8" s="289" t="str">
        <f>HLOOKUP($B$5,Region_Table,2,0)</f>
        <v>All East Midlands Region</v>
      </c>
      <c r="C8" s="525" t="s">
        <v>1096</v>
      </c>
      <c r="D8" s="526"/>
      <c r="E8" s="526"/>
      <c r="F8" s="526"/>
      <c r="G8" s="526"/>
      <c r="H8" s="526"/>
      <c r="I8" s="526"/>
      <c r="J8" s="526"/>
      <c r="K8" s="526"/>
      <c r="L8" s="526"/>
      <c r="M8" s="527"/>
      <c r="N8" s="527"/>
      <c r="O8" s="528"/>
      <c r="P8" s="512">
        <f>SUMIF('caseload data'!C:C,'divisional &amp; regional caseload%'!B8,'caseload data'!V:V)</f>
        <v>0</v>
      </c>
      <c r="Q8" s="529"/>
      <c r="R8" s="530"/>
      <c r="S8" s="64"/>
      <c r="T8" s="289" t="str">
        <f>HLOOKUP($B$5,Region_Table,3,0)</f>
        <v>Derby City - N53</v>
      </c>
      <c r="U8" s="525" t="s">
        <v>1096</v>
      </c>
      <c r="V8" s="526"/>
      <c r="W8" s="526"/>
      <c r="X8" s="526"/>
      <c r="Y8" s="526"/>
      <c r="Z8" s="526"/>
      <c r="AA8" s="526"/>
      <c r="AB8" s="526"/>
      <c r="AC8" s="526"/>
      <c r="AD8" s="526"/>
      <c r="AE8" s="527"/>
      <c r="AF8" s="527"/>
      <c r="AG8" s="528"/>
      <c r="AH8" s="512">
        <f>SUMIF('caseload data'!C:C,'divisional &amp; regional caseload%'!T8,'caseload data'!V:V)</f>
        <v>0</v>
      </c>
      <c r="AI8" s="529"/>
      <c r="AJ8" s="530"/>
    </row>
    <row r="9" spans="1:50" x14ac:dyDescent="0.15">
      <c r="B9" s="95" t="s">
        <v>1001</v>
      </c>
      <c r="C9" s="38" t="s">
        <v>864</v>
      </c>
      <c r="D9" s="38" t="s">
        <v>865</v>
      </c>
      <c r="E9" s="38" t="s">
        <v>866</v>
      </c>
      <c r="F9" s="38" t="s">
        <v>867</v>
      </c>
      <c r="G9" s="38" t="s">
        <v>868</v>
      </c>
      <c r="H9" s="38" t="s">
        <v>869</v>
      </c>
      <c r="I9" s="38" t="s">
        <v>870</v>
      </c>
      <c r="J9" s="38" t="s">
        <v>871</v>
      </c>
      <c r="K9" s="38" t="s">
        <v>872</v>
      </c>
      <c r="L9" s="38" t="s">
        <v>873</v>
      </c>
      <c r="M9" s="38" t="s">
        <v>874</v>
      </c>
      <c r="N9" s="38" t="s">
        <v>875</v>
      </c>
      <c r="O9" s="38" t="s">
        <v>876</v>
      </c>
      <c r="P9" s="38" t="s">
        <v>877</v>
      </c>
      <c r="Q9" s="38" t="s">
        <v>878</v>
      </c>
      <c r="R9" s="38" t="s">
        <v>879</v>
      </c>
      <c r="S9" s="64"/>
      <c r="T9" s="95" t="s">
        <v>1001</v>
      </c>
      <c r="U9" s="38" t="s">
        <v>864</v>
      </c>
      <c r="V9" s="38" t="s">
        <v>865</v>
      </c>
      <c r="W9" s="38" t="s">
        <v>866</v>
      </c>
      <c r="X9" s="38" t="s">
        <v>867</v>
      </c>
      <c r="Y9" s="38" t="s">
        <v>868</v>
      </c>
      <c r="Z9" s="38" t="s">
        <v>869</v>
      </c>
      <c r="AA9" s="38" t="s">
        <v>870</v>
      </c>
      <c r="AB9" s="38" t="s">
        <v>871</v>
      </c>
      <c r="AC9" s="38" t="s">
        <v>872</v>
      </c>
      <c r="AD9" s="38" t="s">
        <v>873</v>
      </c>
      <c r="AE9" s="38" t="s">
        <v>874</v>
      </c>
      <c r="AF9" s="38" t="s">
        <v>875</v>
      </c>
      <c r="AG9" s="38" t="s">
        <v>876</v>
      </c>
      <c r="AH9" s="38" t="s">
        <v>877</v>
      </c>
      <c r="AI9" s="38" t="s">
        <v>878</v>
      </c>
      <c r="AJ9" s="38" t="s">
        <v>879</v>
      </c>
    </row>
    <row r="10" spans="1:50" x14ac:dyDescent="0.15">
      <c r="B10" s="96" t="s">
        <v>997</v>
      </c>
      <c r="C10" s="167" t="e">
        <f>SUMIFS('caseload data'!E:E,'caseload data'!$C:$C,'divisional &amp; regional caseload%'!$B$8,'caseload data'!$D:$D,"PO")/SUMIF('caseload data'!$C:$C,'divisional &amp; regional caseload%'!$B$8,'caseload data'!E:E)</f>
        <v>#DIV/0!</v>
      </c>
      <c r="D10" s="167" t="e">
        <f>SUMIFS('caseload data'!F:F,'caseload data'!$C:$C,'divisional &amp; regional caseload%'!$B$8,'caseload data'!$D:$D,"PO")/SUMIF('caseload data'!$C:$C,'divisional &amp; regional caseload%'!$B$8,'caseload data'!F:F)</f>
        <v>#DIV/0!</v>
      </c>
      <c r="E10" s="167" t="e">
        <f>SUMIFS('caseload data'!G:G,'caseload data'!$C:$C,'divisional &amp; regional caseload%'!$B$8,'caseload data'!$D:$D,"PO")/SUMIF('caseload data'!$C:$C,'divisional &amp; regional caseload%'!$B$8,'caseload data'!G:G)</f>
        <v>#DIV/0!</v>
      </c>
      <c r="F10" s="167" t="e">
        <f>SUMIFS('caseload data'!H:H,'caseload data'!$C:$C,'divisional &amp; regional caseload%'!$B$8,'caseload data'!$D:$D,"PO")/SUMIF('caseload data'!$C:$C,'divisional &amp; regional caseload%'!$B$8,'caseload data'!H:H)</f>
        <v>#DIV/0!</v>
      </c>
      <c r="G10" s="167" t="e">
        <f>SUMIFS('caseload data'!I:I,'caseload data'!$C:$C,'divisional &amp; regional caseload%'!$B$8,'caseload data'!$D:$D,"PO")/SUMIF('caseload data'!$C:$C,'divisional &amp; regional caseload%'!$B$8,'caseload data'!I:I)</f>
        <v>#DIV/0!</v>
      </c>
      <c r="H10" s="167" t="e">
        <f>SUMIFS('caseload data'!J:J,'caseload data'!$C:$C,'divisional &amp; regional caseload%'!$B$8,'caseload data'!$D:$D,"PO")/SUMIF('caseload data'!$C:$C,'divisional &amp; regional caseload%'!$B$8,'caseload data'!J:J)</f>
        <v>#DIV/0!</v>
      </c>
      <c r="I10" s="167" t="e">
        <f>SUMIFS('caseload data'!K:K,'caseload data'!$C:$C,'divisional &amp; regional caseload%'!$B$8,'caseload data'!$D:$D,"PO")/SUMIF('caseload data'!$C:$C,'divisional &amp; regional caseload%'!$B$8,'caseload data'!K:K)</f>
        <v>#DIV/0!</v>
      </c>
      <c r="J10" s="167" t="e">
        <f>SUMIFS('caseload data'!L:L,'caseload data'!$C:$C,'divisional &amp; regional caseload%'!$B$8,'caseload data'!$D:$D,"PO")/SUMIF('caseload data'!$C:$C,'divisional &amp; regional caseload%'!$B$8,'caseload data'!L:L)</f>
        <v>#DIV/0!</v>
      </c>
      <c r="K10" s="167" t="e">
        <f>SUMIFS('caseload data'!M:M,'caseload data'!$C:$C,'divisional &amp; regional caseload%'!$B$8,'caseload data'!$D:$D,"PO")/SUMIF('caseload data'!$C:$C,'divisional &amp; regional caseload%'!$B$8,'caseload data'!M:M)</f>
        <v>#DIV/0!</v>
      </c>
      <c r="L10" s="167" t="e">
        <f>SUMIFS('caseload data'!N:N,'caseload data'!$C:$C,'divisional &amp; regional caseload%'!$B$8,'caseload data'!$D:$D,"PO")/SUMIF('caseload data'!$C:$C,'divisional &amp; regional caseload%'!$B$8,'caseload data'!N:N)</f>
        <v>#DIV/0!</v>
      </c>
      <c r="M10" s="167" t="e">
        <f>SUMIFS('caseload data'!O:O,'caseload data'!$C:$C,'divisional &amp; regional caseload%'!$B$8,'caseload data'!$D:$D,"PO")/SUMIF('caseload data'!$C:$C,'divisional &amp; regional caseload%'!$B$8,'caseload data'!O:O)</f>
        <v>#DIV/0!</v>
      </c>
      <c r="N10" s="167" t="e">
        <f>SUMIFS('caseload data'!P:P,'caseload data'!$C:$C,'divisional &amp; regional caseload%'!$B$8,'caseload data'!$D:$D,"PO")/SUMIF('caseload data'!$C:$C,'divisional &amp; regional caseload%'!$B$8,'caseload data'!P:P)</f>
        <v>#DIV/0!</v>
      </c>
      <c r="O10" s="167" t="e">
        <f>SUMIFS('caseload data'!Q:Q,'caseload data'!$C:$C,'divisional &amp; regional caseload%'!$B$8,'caseload data'!$D:$D,"PO")/SUMIF('caseload data'!$C:$C,'divisional &amp; regional caseload%'!$B$8,'caseload data'!Q:Q)</f>
        <v>#DIV/0!</v>
      </c>
      <c r="P10" s="167" t="e">
        <f>SUMIFS('caseload data'!R:R,'caseload data'!$C:$C,'divisional &amp; regional caseload%'!$B$8,'caseload data'!$D:$D,"PO")/SUMIF('caseload data'!$C:$C,'divisional &amp; regional caseload%'!$B$8,'caseload data'!R:R)</f>
        <v>#DIV/0!</v>
      </c>
      <c r="Q10" s="167" t="e">
        <f>SUMIFS('caseload data'!S:S,'caseload data'!$C:$C,'divisional &amp; regional caseload%'!$B$8,'caseload data'!$D:$D,"PO")/SUMIF('caseload data'!$C:$C,'divisional &amp; regional caseload%'!$B$8,'caseload data'!S:S)</f>
        <v>#DIV/0!</v>
      </c>
      <c r="R10" s="167" t="e">
        <f>SUMIFS('caseload data'!T:T,'caseload data'!$C:$C,'divisional &amp; regional caseload%'!$B$8,'caseload data'!$D:$D,"PO")/SUMIF('caseload data'!$C:$C,'divisional &amp; regional caseload%'!$B$8,'caseload data'!T:T)</f>
        <v>#DIV/0!</v>
      </c>
      <c r="S10" s="64"/>
      <c r="T10" s="96" t="s">
        <v>997</v>
      </c>
      <c r="U10" s="167" t="e">
        <f>SUMIFS('caseload data'!E:E,'caseload data'!$C:$C,'divisional &amp; regional caseload%'!$T$8,'caseload data'!$D:$D,"PO")/SUMIF('caseload data'!$C:$C,'divisional &amp; regional caseload%'!$T$8,'caseload data'!E:E)</f>
        <v>#DIV/0!</v>
      </c>
      <c r="V10" s="167" t="e">
        <f>SUMIFS('caseload data'!F:F,'caseload data'!$C:$C,'divisional &amp; regional caseload%'!$T$8,'caseload data'!$D:$D,"PO")/SUMIF('caseload data'!$C:$C,'divisional &amp; regional caseload%'!$T$8,'caseload data'!F:F)</f>
        <v>#DIV/0!</v>
      </c>
      <c r="W10" s="167" t="e">
        <f>SUMIFS('caseload data'!G:G,'caseload data'!$C:$C,'divisional &amp; regional caseload%'!$T$8,'caseload data'!$D:$D,"PO")/SUMIF('caseload data'!$C:$C,'divisional &amp; regional caseload%'!$T$8,'caseload data'!G:G)</f>
        <v>#DIV/0!</v>
      </c>
      <c r="X10" s="167" t="e">
        <f>SUMIFS('caseload data'!H:H,'caseload data'!$C:$C,'divisional &amp; regional caseload%'!$T$8,'caseload data'!$D:$D,"PO")/SUMIF('caseload data'!$C:$C,'divisional &amp; regional caseload%'!$T$8,'caseload data'!H:H)</f>
        <v>#DIV/0!</v>
      </c>
      <c r="Y10" s="167" t="e">
        <f>SUMIFS('caseload data'!I:I,'caseload data'!$C:$C,'divisional &amp; regional caseload%'!$T$8,'caseload data'!$D:$D,"PO")/SUMIF('caseload data'!$C:$C,'divisional &amp; regional caseload%'!$T$8,'caseload data'!I:I)</f>
        <v>#DIV/0!</v>
      </c>
      <c r="Z10" s="167" t="e">
        <f>SUMIFS('caseload data'!J:J,'caseload data'!$C:$C,'divisional &amp; regional caseload%'!$T$8,'caseload data'!$D:$D,"PO")/SUMIF('caseload data'!$C:$C,'divisional &amp; regional caseload%'!$T$8,'caseload data'!J:J)</f>
        <v>#DIV/0!</v>
      </c>
      <c r="AA10" s="167" t="e">
        <f>SUMIFS('caseload data'!K:K,'caseload data'!$C:$C,'divisional &amp; regional caseload%'!$T$8,'caseload data'!$D:$D,"PO")/SUMIF('caseload data'!$C:$C,'divisional &amp; regional caseload%'!$T$8,'caseload data'!K:K)</f>
        <v>#DIV/0!</v>
      </c>
      <c r="AB10" s="167" t="e">
        <f>SUMIFS('caseload data'!L:L,'caseload data'!$C:$C,'divisional &amp; regional caseload%'!$T$8,'caseload data'!$D:$D,"PO")/SUMIF('caseload data'!$C:$C,'divisional &amp; regional caseload%'!$T$8,'caseload data'!L:L)</f>
        <v>#DIV/0!</v>
      </c>
      <c r="AC10" s="167" t="e">
        <f>SUMIFS('caseload data'!M:M,'caseload data'!$C:$C,'divisional &amp; regional caseload%'!$T$8,'caseload data'!$D:$D,"PO")/SUMIF('caseload data'!$C:$C,'divisional &amp; regional caseload%'!$T$8,'caseload data'!M:M)</f>
        <v>#DIV/0!</v>
      </c>
      <c r="AD10" s="167" t="e">
        <f>SUMIFS('caseload data'!N:N,'caseload data'!$C:$C,'divisional &amp; regional caseload%'!$T$8,'caseload data'!$D:$D,"PO")/SUMIF('caseload data'!$C:$C,'divisional &amp; regional caseload%'!$T$8,'caseload data'!N:N)</f>
        <v>#DIV/0!</v>
      </c>
      <c r="AE10" s="167" t="e">
        <f>SUMIFS('caseload data'!O:O,'caseload data'!$C:$C,'divisional &amp; regional caseload%'!$T$8,'caseload data'!$D:$D,"PO")/SUMIF('caseload data'!$C:$C,'divisional &amp; regional caseload%'!$T$8,'caseload data'!O:O)</f>
        <v>#DIV/0!</v>
      </c>
      <c r="AF10" s="167" t="e">
        <f>SUMIFS('caseload data'!P:P,'caseload data'!$C:$C,'divisional &amp; regional caseload%'!$T$8,'caseload data'!$D:$D,"PO")/SUMIF('caseload data'!$C:$C,'divisional &amp; regional caseload%'!$T$8,'caseload data'!P:P)</f>
        <v>#DIV/0!</v>
      </c>
      <c r="AG10" s="167" t="e">
        <f>SUMIFS('caseload data'!Q:Q,'caseload data'!$C:$C,'divisional &amp; regional caseload%'!$T$8,'caseload data'!$D:$D,"PO")/SUMIF('caseload data'!$C:$C,'divisional &amp; regional caseload%'!$T$8,'caseload data'!Q:Q)</f>
        <v>#DIV/0!</v>
      </c>
      <c r="AH10" s="167" t="e">
        <f>SUMIFS('caseload data'!R:R,'caseload data'!$C:$C,'divisional &amp; regional caseload%'!$T$8,'caseload data'!$D:$D,"PO")/SUMIF('caseload data'!$C:$C,'divisional &amp; regional caseload%'!$T$8,'caseload data'!R:R)</f>
        <v>#DIV/0!</v>
      </c>
      <c r="AI10" s="167" t="e">
        <f>SUMIFS('caseload data'!S:S,'caseload data'!$C:$C,'divisional &amp; regional caseload%'!$T$8,'caseload data'!$D:$D,"PO")/SUMIF('caseload data'!$C:$C,'divisional &amp; regional caseload%'!$T$8,'caseload data'!S:S)</f>
        <v>#DIV/0!</v>
      </c>
      <c r="AJ10" s="167" t="e">
        <f>SUMIFS('caseload data'!T:T,'caseload data'!$C:$C,'divisional &amp; regional caseload%'!$T$8,'caseload data'!$D:$D,"PO")/SUMIF('caseload data'!$C:$C,'divisional &amp; regional caseload%'!$T$8,'caseload data'!T:T)</f>
        <v>#DIV/0!</v>
      </c>
    </row>
    <row r="11" spans="1:50" x14ac:dyDescent="0.15">
      <c r="B11" s="97" t="s">
        <v>1002</v>
      </c>
      <c r="C11" s="167" t="e">
        <f>SUMIFS('caseload data'!E:E,'caseload data'!$C:$C,'divisional &amp; regional caseload%'!$B$8,'caseload data'!$D:$D,"PSO")/SUMIF('caseload data'!$C:$C,'divisional &amp; regional caseload%'!$B$8,'caseload data'!E:E)</f>
        <v>#DIV/0!</v>
      </c>
      <c r="D11" s="167" t="e">
        <f>SUMIFS('caseload data'!F:F,'caseload data'!$C:$C,'divisional &amp; regional caseload%'!$B$8,'caseload data'!$D:$D,"PSO")/SUMIF('caseload data'!$C:$C,'divisional &amp; regional caseload%'!$B$8,'caseload data'!F:F)</f>
        <v>#DIV/0!</v>
      </c>
      <c r="E11" s="167" t="e">
        <f>SUMIFS('caseload data'!G:G,'caseload data'!$C:$C,'divisional &amp; regional caseload%'!$B$8,'caseload data'!$D:$D,"PSO")/SUMIF('caseload data'!$C:$C,'divisional &amp; regional caseload%'!$B$8,'caseload data'!G:G)</f>
        <v>#DIV/0!</v>
      </c>
      <c r="F11" s="167" t="e">
        <f>SUMIFS('caseload data'!H:H,'caseload data'!$C:$C,'divisional &amp; regional caseload%'!$B$8,'caseload data'!$D:$D,"PSO")/SUMIF('caseload data'!$C:$C,'divisional &amp; regional caseload%'!$B$8,'caseload data'!H:H)</f>
        <v>#DIV/0!</v>
      </c>
      <c r="G11" s="167" t="e">
        <f>SUMIFS('caseload data'!I:I,'caseload data'!$C:$C,'divisional &amp; regional caseload%'!$B$8,'caseload data'!$D:$D,"PSO")/SUMIF('caseload data'!$C:$C,'divisional &amp; regional caseload%'!$B$8,'caseload data'!I:I)</f>
        <v>#DIV/0!</v>
      </c>
      <c r="H11" s="167" t="e">
        <f>SUMIFS('caseload data'!J:J,'caseload data'!$C:$C,'divisional &amp; regional caseload%'!$B$8,'caseload data'!$D:$D,"PSO")/SUMIF('caseload data'!$C:$C,'divisional &amp; regional caseload%'!$B$8,'caseload data'!J:J)</f>
        <v>#DIV/0!</v>
      </c>
      <c r="I11" s="167" t="e">
        <f>SUMIFS('caseload data'!K:K,'caseload data'!$C:$C,'divisional &amp; regional caseload%'!$B$8,'caseload data'!$D:$D,"PSO")/SUMIF('caseload data'!$C:$C,'divisional &amp; regional caseload%'!$B$8,'caseload data'!K:K)</f>
        <v>#DIV/0!</v>
      </c>
      <c r="J11" s="167" t="e">
        <f>SUMIFS('caseload data'!L:L,'caseload data'!$C:$C,'divisional &amp; regional caseload%'!$B$8,'caseload data'!$D:$D,"PSO")/SUMIF('caseload data'!$C:$C,'divisional &amp; regional caseload%'!$B$8,'caseload data'!L:L)</f>
        <v>#DIV/0!</v>
      </c>
      <c r="K11" s="167" t="e">
        <f>SUMIFS('caseload data'!M:M,'caseload data'!$C:$C,'divisional &amp; regional caseload%'!$B$8,'caseload data'!$D:$D,"PSO")/SUMIF('caseload data'!$C:$C,'divisional &amp; regional caseload%'!$B$8,'caseload data'!M:M)</f>
        <v>#DIV/0!</v>
      </c>
      <c r="L11" s="167" t="e">
        <f>SUMIFS('caseload data'!N:N,'caseload data'!$C:$C,'divisional &amp; regional caseload%'!$B$8,'caseload data'!$D:$D,"PSO")/SUMIF('caseload data'!$C:$C,'divisional &amp; regional caseload%'!$B$8,'caseload data'!N:N)</f>
        <v>#DIV/0!</v>
      </c>
      <c r="M11" s="167" t="e">
        <f>SUMIFS('caseload data'!O:O,'caseload data'!$C:$C,'divisional &amp; regional caseload%'!$B$8,'caseload data'!$D:$D,"PSO")/SUMIF('caseload data'!$C:$C,'divisional &amp; regional caseload%'!$B$8,'caseload data'!O:O)</f>
        <v>#DIV/0!</v>
      </c>
      <c r="N11" s="167" t="e">
        <f>SUMIFS('caseload data'!P:P,'caseload data'!$C:$C,'divisional &amp; regional caseload%'!$B$8,'caseload data'!$D:$D,"PSO")/SUMIF('caseload data'!$C:$C,'divisional &amp; regional caseload%'!$B$8,'caseload data'!P:P)</f>
        <v>#DIV/0!</v>
      </c>
      <c r="O11" s="167" t="e">
        <f>SUMIFS('caseload data'!Q:Q,'caseload data'!$C:$C,'divisional &amp; regional caseload%'!$B$8,'caseload data'!$D:$D,"PSO")/SUMIF('caseload data'!$C:$C,'divisional &amp; regional caseload%'!$B$8,'caseload data'!Q:Q)</f>
        <v>#DIV/0!</v>
      </c>
      <c r="P11" s="167" t="e">
        <f>SUMIFS('caseload data'!R:R,'caseload data'!$C:$C,'divisional &amp; regional caseload%'!$B$8,'caseload data'!$D:$D,"PSO")/SUMIF('caseload data'!$C:$C,'divisional &amp; regional caseload%'!$B$8,'caseload data'!R:R)</f>
        <v>#DIV/0!</v>
      </c>
      <c r="Q11" s="167" t="e">
        <f>SUMIFS('caseload data'!S:S,'caseload data'!$C:$C,'divisional &amp; regional caseload%'!$B$8,'caseload data'!$D:$D,"PSO")/SUMIF('caseload data'!$C:$C,'divisional &amp; regional caseload%'!$B$8,'caseload data'!S:S)</f>
        <v>#DIV/0!</v>
      </c>
      <c r="R11" s="167" t="e">
        <f>SUMIFS('caseload data'!T:T,'caseload data'!$C:$C,'divisional &amp; regional caseload%'!$B$8,'caseload data'!$D:$D,"PSO")/SUMIF('caseload data'!$C:$C,'divisional &amp; regional caseload%'!$B$8,'caseload data'!T:T)</f>
        <v>#DIV/0!</v>
      </c>
      <c r="S11" s="64"/>
      <c r="T11" s="97" t="s">
        <v>1002</v>
      </c>
      <c r="U11" s="167" t="e">
        <f>SUMIFS('caseload data'!E:E,'caseload data'!$C:$C,'divisional &amp; regional caseload%'!$T$8,'caseload data'!$D:$D,"PSO")/SUMIF('caseload data'!$C:$C,'divisional &amp; regional caseload%'!$T$8,'caseload data'!E:E)</f>
        <v>#DIV/0!</v>
      </c>
      <c r="V11" s="167" t="e">
        <f>SUMIFS('caseload data'!F:F,'caseload data'!$C:$C,'divisional &amp; regional caseload%'!$T$8,'caseload data'!$D:$D,"PSO")/SUMIF('caseload data'!$C:$C,'divisional &amp; regional caseload%'!$T$8,'caseload data'!F:F)</f>
        <v>#DIV/0!</v>
      </c>
      <c r="W11" s="167" t="e">
        <f>SUMIFS('caseload data'!G:G,'caseload data'!$C:$C,'divisional &amp; regional caseload%'!$T$8,'caseload data'!$D:$D,"PSO")/SUMIF('caseload data'!$C:$C,'divisional &amp; regional caseload%'!$T$8,'caseload data'!G:G)</f>
        <v>#DIV/0!</v>
      </c>
      <c r="X11" s="167" t="e">
        <f>SUMIFS('caseload data'!H:H,'caseload data'!$C:$C,'divisional &amp; regional caseload%'!$T$8,'caseload data'!$D:$D,"PSO")/SUMIF('caseload data'!$C:$C,'divisional &amp; regional caseload%'!$T$8,'caseload data'!H:H)</f>
        <v>#DIV/0!</v>
      </c>
      <c r="Y11" s="167" t="e">
        <f>SUMIFS('caseload data'!I:I,'caseload data'!$C:$C,'divisional &amp; regional caseload%'!$T$8,'caseload data'!$D:$D,"PSO")/SUMIF('caseload data'!$C:$C,'divisional &amp; regional caseload%'!$T$8,'caseload data'!I:I)</f>
        <v>#DIV/0!</v>
      </c>
      <c r="Z11" s="167" t="e">
        <f>SUMIFS('caseload data'!J:J,'caseload data'!$C:$C,'divisional &amp; regional caseload%'!$T$8,'caseload data'!$D:$D,"PSO")/SUMIF('caseload data'!$C:$C,'divisional &amp; regional caseload%'!$T$8,'caseload data'!J:J)</f>
        <v>#DIV/0!</v>
      </c>
      <c r="AA11" s="167" t="e">
        <f>SUMIFS('caseload data'!K:K,'caseload data'!$C:$C,'divisional &amp; regional caseload%'!$T$8,'caseload data'!$D:$D,"PSO")/SUMIF('caseload data'!$C:$C,'divisional &amp; regional caseload%'!$T$8,'caseload data'!K:K)</f>
        <v>#DIV/0!</v>
      </c>
      <c r="AB11" s="167" t="e">
        <f>SUMIFS('caseload data'!L:L,'caseload data'!$C:$C,'divisional &amp; regional caseload%'!$T$8,'caseload data'!$D:$D,"PSO")/SUMIF('caseload data'!$C:$C,'divisional &amp; regional caseload%'!$T$8,'caseload data'!L:L)</f>
        <v>#DIV/0!</v>
      </c>
      <c r="AC11" s="167" t="e">
        <f>SUMIFS('caseload data'!M:M,'caseload data'!$C:$C,'divisional &amp; regional caseload%'!$T$8,'caseload data'!$D:$D,"PSO")/SUMIF('caseload data'!$C:$C,'divisional &amp; regional caseload%'!$T$8,'caseload data'!M:M)</f>
        <v>#DIV/0!</v>
      </c>
      <c r="AD11" s="167" t="e">
        <f>SUMIFS('caseload data'!N:N,'caseload data'!$C:$C,'divisional &amp; regional caseload%'!$T$8,'caseload data'!$D:$D,"PSO")/SUMIF('caseload data'!$C:$C,'divisional &amp; regional caseload%'!$T$8,'caseload data'!N:N)</f>
        <v>#DIV/0!</v>
      </c>
      <c r="AE11" s="167" t="e">
        <f>SUMIFS('caseload data'!O:O,'caseload data'!$C:$C,'divisional &amp; regional caseload%'!$T$8,'caseload data'!$D:$D,"PSO")/SUMIF('caseload data'!$C:$C,'divisional &amp; regional caseload%'!$T$8,'caseload data'!O:O)</f>
        <v>#DIV/0!</v>
      </c>
      <c r="AF11" s="167" t="e">
        <f>SUMIFS('caseload data'!P:P,'caseload data'!$C:$C,'divisional &amp; regional caseload%'!$T$8,'caseload data'!$D:$D,"PSO")/SUMIF('caseload data'!$C:$C,'divisional &amp; regional caseload%'!$T$8,'caseload data'!P:P)</f>
        <v>#DIV/0!</v>
      </c>
      <c r="AG11" s="167" t="e">
        <f>SUMIFS('caseload data'!Q:Q,'caseload data'!$C:$C,'divisional &amp; regional caseload%'!$T$8,'caseload data'!$D:$D,"PSO")/SUMIF('caseload data'!$C:$C,'divisional &amp; regional caseload%'!$T$8,'caseload data'!Q:Q)</f>
        <v>#DIV/0!</v>
      </c>
      <c r="AH11" s="167" t="e">
        <f>SUMIFS('caseload data'!R:R,'caseload data'!$C:$C,'divisional &amp; regional caseload%'!$T$8,'caseload data'!$D:$D,"PSO")/SUMIF('caseload data'!$C:$C,'divisional &amp; regional caseload%'!$T$8,'caseload data'!R:R)</f>
        <v>#DIV/0!</v>
      </c>
      <c r="AI11" s="167" t="e">
        <f>SUMIFS('caseload data'!S:S,'caseload data'!$C:$C,'divisional &amp; regional caseload%'!$T$8,'caseload data'!$D:$D,"PSO")/SUMIF('caseload data'!$C:$C,'divisional &amp; regional caseload%'!$T$8,'caseload data'!S:S)</f>
        <v>#DIV/0!</v>
      </c>
      <c r="AJ11" s="167" t="e">
        <f>SUMIFS('caseload data'!T:T,'caseload data'!$C:$C,'divisional &amp; regional caseload%'!$T$8,'caseload data'!$D:$D,"PSO")/SUMIF('caseload data'!$C:$C,'divisional &amp; regional caseload%'!$T$8,'caseload data'!T:T)</f>
        <v>#DIV/0!</v>
      </c>
    </row>
    <row r="12" spans="1:50" x14ac:dyDescent="0.15">
      <c r="B12" s="97" t="s">
        <v>1003</v>
      </c>
      <c r="C12" s="167" t="e">
        <f>SUMIFS('caseload data'!E:E,'caseload data'!$C:$C,'divisional &amp; regional caseload%'!$B$8,'caseload data'!$D:$D,"TPO")/SUMIF('caseload data'!$C:$C,'divisional &amp; regional caseload%'!$B$8,'caseload data'!E:E)</f>
        <v>#DIV/0!</v>
      </c>
      <c r="D12" s="167" t="e">
        <f>SUMIFS('caseload data'!F:F,'caseload data'!$C:$C,'divisional &amp; regional caseload%'!$B$8,'caseload data'!$D:$D,"TPO")/SUMIF('caseload data'!$C:$C,'divisional &amp; regional caseload%'!$B$8,'caseload data'!F:F)</f>
        <v>#DIV/0!</v>
      </c>
      <c r="E12" s="167" t="e">
        <f>SUMIFS('caseload data'!G:G,'caseload data'!$C:$C,'divisional &amp; regional caseload%'!$B$8,'caseload data'!$D:$D,"TPO")/SUMIF('caseload data'!$C:$C,'divisional &amp; regional caseload%'!$B$8,'caseload data'!G:G)</f>
        <v>#DIV/0!</v>
      </c>
      <c r="F12" s="167" t="e">
        <f>SUMIFS('caseload data'!H:H,'caseload data'!$C:$C,'divisional &amp; regional caseload%'!$B$8,'caseload data'!$D:$D,"TPO")/SUMIF('caseload data'!$C:$C,'divisional &amp; regional caseload%'!$B$8,'caseload data'!H:H)</f>
        <v>#DIV/0!</v>
      </c>
      <c r="G12" s="167" t="e">
        <f>SUMIFS('caseload data'!I:I,'caseload data'!$C:$C,'divisional &amp; regional caseload%'!$B$8,'caseload data'!$D:$D,"TPO")/SUMIF('caseload data'!$C:$C,'divisional &amp; regional caseload%'!$B$8,'caseload data'!I:I)</f>
        <v>#DIV/0!</v>
      </c>
      <c r="H12" s="167" t="e">
        <f>SUMIFS('caseload data'!J:J,'caseload data'!$C:$C,'divisional &amp; regional caseload%'!$B$8,'caseload data'!$D:$D,"TPO")/SUMIF('caseload data'!$C:$C,'divisional &amp; regional caseload%'!$B$8,'caseload data'!J:J)</f>
        <v>#DIV/0!</v>
      </c>
      <c r="I12" s="167" t="e">
        <f>SUMIFS('caseload data'!K:K,'caseload data'!$C:$C,'divisional &amp; regional caseload%'!$B$8,'caseload data'!$D:$D,"TPO")/SUMIF('caseload data'!$C:$C,'divisional &amp; regional caseload%'!$B$8,'caseload data'!K:K)</f>
        <v>#DIV/0!</v>
      </c>
      <c r="J12" s="167" t="e">
        <f>SUMIFS('caseload data'!L:L,'caseload data'!$C:$C,'divisional &amp; regional caseload%'!$B$8,'caseload data'!$D:$D,"TPO")/SUMIF('caseload data'!$C:$C,'divisional &amp; regional caseload%'!$B$8,'caseload data'!L:L)</f>
        <v>#DIV/0!</v>
      </c>
      <c r="K12" s="167" t="e">
        <f>SUMIFS('caseload data'!M:M,'caseload data'!$C:$C,'divisional &amp; regional caseload%'!$B$8,'caseload data'!$D:$D,"TPO")/SUMIF('caseload data'!$C:$C,'divisional &amp; regional caseload%'!$B$8,'caseload data'!M:M)</f>
        <v>#DIV/0!</v>
      </c>
      <c r="L12" s="167" t="e">
        <f>SUMIFS('caseload data'!N:N,'caseload data'!$C:$C,'divisional &amp; regional caseload%'!$B$8,'caseload data'!$D:$D,"TPO")/SUMIF('caseload data'!$C:$C,'divisional &amp; regional caseload%'!$B$8,'caseload data'!N:N)</f>
        <v>#DIV/0!</v>
      </c>
      <c r="M12" s="167" t="e">
        <f>SUMIFS('caseload data'!O:O,'caseload data'!$C:$C,'divisional &amp; regional caseload%'!$B$8,'caseload data'!$D:$D,"TPO")/SUMIF('caseload data'!$C:$C,'divisional &amp; regional caseload%'!$B$8,'caseload data'!O:O)</f>
        <v>#DIV/0!</v>
      </c>
      <c r="N12" s="167" t="e">
        <f>SUMIFS('caseload data'!P:P,'caseload data'!$C:$C,'divisional &amp; regional caseload%'!$B$8,'caseload data'!$D:$D,"TPO")/SUMIF('caseload data'!$C:$C,'divisional &amp; regional caseload%'!$B$8,'caseload data'!P:P)</f>
        <v>#DIV/0!</v>
      </c>
      <c r="O12" s="167" t="e">
        <f>SUMIFS('caseload data'!Q:Q,'caseload data'!$C:$C,'divisional &amp; regional caseload%'!$B$8,'caseload data'!$D:$D,"TPO")/SUMIF('caseload data'!$C:$C,'divisional &amp; regional caseload%'!$B$8,'caseload data'!Q:Q)</f>
        <v>#DIV/0!</v>
      </c>
      <c r="P12" s="167" t="e">
        <f>SUMIFS('caseload data'!R:R,'caseload data'!$C:$C,'divisional &amp; regional caseload%'!$B$8,'caseload data'!$D:$D,"TPO")/SUMIF('caseload data'!$C:$C,'divisional &amp; regional caseload%'!$B$8,'caseload data'!R:R)</f>
        <v>#DIV/0!</v>
      </c>
      <c r="Q12" s="167" t="e">
        <f>SUMIFS('caseload data'!S:S,'caseload data'!$C:$C,'divisional &amp; regional caseload%'!$B$8,'caseload data'!$D:$D,"TPO")/SUMIF('caseload data'!$C:$C,'divisional &amp; regional caseload%'!$B$8,'caseload data'!S:S)</f>
        <v>#DIV/0!</v>
      </c>
      <c r="R12" s="167" t="e">
        <f>SUMIFS('caseload data'!T:T,'caseload data'!$C:$C,'divisional &amp; regional caseload%'!$B$8,'caseload data'!$D:$D,"TPO")/SUMIF('caseload data'!$C:$C,'divisional &amp; regional caseload%'!$B$8,'caseload data'!T:T)</f>
        <v>#DIV/0!</v>
      </c>
      <c r="S12" s="64"/>
      <c r="T12" s="97" t="s">
        <v>1003</v>
      </c>
      <c r="U12" s="167" t="e">
        <f>SUMIFS('caseload data'!E:E,'caseload data'!$C:$C,'divisional &amp; regional caseload%'!$T$8,'caseload data'!$D:$D,"TPO")/SUMIF('caseload data'!$C:$C,'divisional &amp; regional caseload%'!$T$8,'caseload data'!E:E)</f>
        <v>#DIV/0!</v>
      </c>
      <c r="V12" s="167" t="e">
        <f>SUMIFS('caseload data'!F:F,'caseload data'!$C:$C,'divisional &amp; regional caseload%'!$T$8,'caseload data'!$D:$D,"TPO")/SUMIF('caseload data'!$C:$C,'divisional &amp; regional caseload%'!$T$8,'caseload data'!F:F)</f>
        <v>#DIV/0!</v>
      </c>
      <c r="W12" s="167" t="e">
        <f>SUMIFS('caseload data'!G:G,'caseload data'!$C:$C,'divisional &amp; regional caseload%'!$T$8,'caseload data'!$D:$D,"TPO")/SUMIF('caseload data'!$C:$C,'divisional &amp; regional caseload%'!$T$8,'caseload data'!G:G)</f>
        <v>#DIV/0!</v>
      </c>
      <c r="X12" s="167" t="e">
        <f>SUMIFS('caseload data'!H:H,'caseload data'!$C:$C,'divisional &amp; regional caseload%'!$T$8,'caseload data'!$D:$D,"TPO")/SUMIF('caseload data'!$C:$C,'divisional &amp; regional caseload%'!$T$8,'caseload data'!H:H)</f>
        <v>#DIV/0!</v>
      </c>
      <c r="Y12" s="167" t="e">
        <f>SUMIFS('caseload data'!I:I,'caseload data'!$C:$C,'divisional &amp; regional caseload%'!$T$8,'caseload data'!$D:$D,"TPO")/SUMIF('caseload data'!$C:$C,'divisional &amp; regional caseload%'!$T$8,'caseload data'!I:I)</f>
        <v>#DIV/0!</v>
      </c>
      <c r="Z12" s="167" t="e">
        <f>SUMIFS('caseload data'!J:J,'caseload data'!$C:$C,'divisional &amp; regional caseload%'!$T$8,'caseload data'!$D:$D,"TPO")/SUMIF('caseload data'!$C:$C,'divisional &amp; regional caseload%'!$T$8,'caseload data'!J:J)</f>
        <v>#DIV/0!</v>
      </c>
      <c r="AA12" s="167" t="e">
        <f>SUMIFS('caseload data'!K:K,'caseload data'!$C:$C,'divisional &amp; regional caseload%'!$T$8,'caseload data'!$D:$D,"TPO")/SUMIF('caseload data'!$C:$C,'divisional &amp; regional caseload%'!$T$8,'caseload data'!K:K)</f>
        <v>#DIV/0!</v>
      </c>
      <c r="AB12" s="167" t="e">
        <f>SUMIFS('caseload data'!L:L,'caseload data'!$C:$C,'divisional &amp; regional caseload%'!$T$8,'caseload data'!$D:$D,"TPO")/SUMIF('caseload data'!$C:$C,'divisional &amp; regional caseload%'!$T$8,'caseload data'!L:L)</f>
        <v>#DIV/0!</v>
      </c>
      <c r="AC12" s="167" t="e">
        <f>SUMIFS('caseload data'!M:M,'caseload data'!$C:$C,'divisional &amp; regional caseload%'!$T$8,'caseload data'!$D:$D,"TPO")/SUMIF('caseload data'!$C:$C,'divisional &amp; regional caseload%'!$T$8,'caseload data'!M:M)</f>
        <v>#DIV/0!</v>
      </c>
      <c r="AD12" s="167" t="e">
        <f>SUMIFS('caseload data'!N:N,'caseload data'!$C:$C,'divisional &amp; regional caseload%'!$T$8,'caseload data'!$D:$D,"TPO")/SUMIF('caseload data'!$C:$C,'divisional &amp; regional caseload%'!$T$8,'caseload data'!N:N)</f>
        <v>#DIV/0!</v>
      </c>
      <c r="AE12" s="167" t="e">
        <f>SUMIFS('caseload data'!O:O,'caseload data'!$C:$C,'divisional &amp; regional caseload%'!$T$8,'caseload data'!$D:$D,"TPO")/SUMIF('caseload data'!$C:$C,'divisional &amp; regional caseload%'!$T$8,'caseload data'!O:O)</f>
        <v>#DIV/0!</v>
      </c>
      <c r="AF12" s="167" t="e">
        <f>SUMIFS('caseload data'!P:P,'caseload data'!$C:$C,'divisional &amp; regional caseload%'!$T$8,'caseload data'!$D:$D,"TPO")/SUMIF('caseload data'!$C:$C,'divisional &amp; regional caseload%'!$T$8,'caseload data'!P:P)</f>
        <v>#DIV/0!</v>
      </c>
      <c r="AG12" s="167" t="e">
        <f>SUMIFS('caseload data'!Q:Q,'caseload data'!$C:$C,'divisional &amp; regional caseload%'!$T$8,'caseload data'!$D:$D,"TPO")/SUMIF('caseload data'!$C:$C,'divisional &amp; regional caseload%'!$T$8,'caseload data'!Q:Q)</f>
        <v>#DIV/0!</v>
      </c>
      <c r="AH12" s="167" t="e">
        <f>SUMIFS('caseload data'!R:R,'caseload data'!$C:$C,'divisional &amp; regional caseload%'!$T$8,'caseload data'!$D:$D,"TPO")/SUMIF('caseload data'!$C:$C,'divisional &amp; regional caseload%'!$T$8,'caseload data'!R:R)</f>
        <v>#DIV/0!</v>
      </c>
      <c r="AI12" s="167" t="e">
        <f>SUMIFS('caseload data'!S:S,'caseload data'!$C:$C,'divisional &amp; regional caseload%'!$T$8,'caseload data'!$D:$D,"TPO")/SUMIF('caseload data'!$C:$C,'divisional &amp; regional caseload%'!$T$8,'caseload data'!S:S)</f>
        <v>#DIV/0!</v>
      </c>
      <c r="AJ12" s="167" t="e">
        <f>SUMIFS('caseload data'!T:T,'caseload data'!$C:$C,'divisional &amp; regional caseload%'!$T$8,'caseload data'!$D:$D,"TPO")/SUMIF('caseload data'!$C:$C,'divisional &amp; regional caseload%'!$T$8,'caseload data'!T:T)</f>
        <v>#DIV/0!</v>
      </c>
    </row>
    <row r="13" spans="1:50" x14ac:dyDescent="0.15">
      <c r="B13" s="98" t="s">
        <v>1004</v>
      </c>
      <c r="C13" s="167" t="e">
        <f>SUMIFS('caseload data'!E:E,'caseload data'!$C:$C,'divisional &amp; regional caseload%'!$B$8,'caseload data'!$D:$D,"SPO")/SUMIF('caseload data'!$C:$C,'divisional &amp; regional caseload%'!$B$8,'caseload data'!E:E)</f>
        <v>#DIV/0!</v>
      </c>
      <c r="D13" s="167" t="e">
        <f>SUMIFS('caseload data'!F:F,'caseload data'!$C:$C,'divisional &amp; regional caseload%'!$B$8,'caseload data'!$D:$D,"SPO")/SUMIF('caseload data'!$C:$C,'divisional &amp; regional caseload%'!$B$8,'caseload data'!F:F)</f>
        <v>#DIV/0!</v>
      </c>
      <c r="E13" s="167" t="e">
        <f>SUMIFS('caseload data'!G:G,'caseload data'!$C:$C,'divisional &amp; regional caseload%'!$B$8,'caseload data'!$D:$D,"SPO")/SUMIF('caseload data'!$C:$C,'divisional &amp; regional caseload%'!$B$8,'caseload data'!G:G)</f>
        <v>#DIV/0!</v>
      </c>
      <c r="F13" s="167" t="e">
        <f>SUMIFS('caseload data'!H:H,'caseload data'!$C:$C,'divisional &amp; regional caseload%'!$B$8,'caseload data'!$D:$D,"SPO")/SUMIF('caseload data'!$C:$C,'divisional &amp; regional caseload%'!$B$8,'caseload data'!H:H)</f>
        <v>#DIV/0!</v>
      </c>
      <c r="G13" s="167" t="e">
        <f>SUMIFS('caseload data'!I:I,'caseload data'!$C:$C,'divisional &amp; regional caseload%'!$B$8,'caseload data'!$D:$D,"SPO")/SUMIF('caseload data'!$C:$C,'divisional &amp; regional caseload%'!$B$8,'caseload data'!I:I)</f>
        <v>#DIV/0!</v>
      </c>
      <c r="H13" s="167" t="e">
        <f>SUMIFS('caseload data'!J:J,'caseload data'!$C:$C,'divisional &amp; regional caseload%'!$B$8,'caseload data'!$D:$D,"SPO")/SUMIF('caseload data'!$C:$C,'divisional &amp; regional caseload%'!$B$8,'caseload data'!J:J)</f>
        <v>#DIV/0!</v>
      </c>
      <c r="I13" s="167" t="e">
        <f>SUMIFS('caseload data'!K:K,'caseload data'!$C:$C,'divisional &amp; regional caseload%'!$B$8,'caseload data'!$D:$D,"SPO")/SUMIF('caseload data'!$C:$C,'divisional &amp; regional caseload%'!$B$8,'caseload data'!K:K)</f>
        <v>#DIV/0!</v>
      </c>
      <c r="J13" s="167" t="e">
        <f>SUMIFS('caseload data'!L:L,'caseload data'!$C:$C,'divisional &amp; regional caseload%'!$B$8,'caseload data'!$D:$D,"SPO")/SUMIF('caseload data'!$C:$C,'divisional &amp; regional caseload%'!$B$8,'caseload data'!L:L)</f>
        <v>#DIV/0!</v>
      </c>
      <c r="K13" s="167" t="e">
        <f>SUMIFS('caseload data'!M:M,'caseload data'!$C:$C,'divisional &amp; regional caseload%'!$B$8,'caseload data'!$D:$D,"SPO")/SUMIF('caseload data'!$C:$C,'divisional &amp; regional caseload%'!$B$8,'caseload data'!M:M)</f>
        <v>#DIV/0!</v>
      </c>
      <c r="L13" s="167" t="e">
        <f>SUMIFS('caseload data'!N:N,'caseload data'!$C:$C,'divisional &amp; regional caseload%'!$B$8,'caseload data'!$D:$D,"SPO")/SUMIF('caseload data'!$C:$C,'divisional &amp; regional caseload%'!$B$8,'caseload data'!N:N)</f>
        <v>#DIV/0!</v>
      </c>
      <c r="M13" s="167" t="e">
        <f>SUMIFS('caseload data'!O:O,'caseload data'!$C:$C,'divisional &amp; regional caseload%'!$B$8,'caseload data'!$D:$D,"SPO")/SUMIF('caseload data'!$C:$C,'divisional &amp; regional caseload%'!$B$8,'caseload data'!O:O)</f>
        <v>#DIV/0!</v>
      </c>
      <c r="N13" s="167" t="e">
        <f>SUMIFS('caseload data'!P:P,'caseload data'!$C:$C,'divisional &amp; regional caseload%'!$B$8,'caseload data'!$D:$D,"SPO")/SUMIF('caseload data'!$C:$C,'divisional &amp; regional caseload%'!$B$8,'caseload data'!P:P)</f>
        <v>#DIV/0!</v>
      </c>
      <c r="O13" s="167" t="e">
        <f>SUMIFS('caseload data'!Q:Q,'caseload data'!$C:$C,'divisional &amp; regional caseload%'!$B$8,'caseload data'!$D:$D,"SPO")/SUMIF('caseload data'!$C:$C,'divisional &amp; regional caseload%'!$B$8,'caseload data'!Q:Q)</f>
        <v>#DIV/0!</v>
      </c>
      <c r="P13" s="167" t="e">
        <f>SUMIFS('caseload data'!R:R,'caseload data'!$C:$C,'divisional &amp; regional caseload%'!$B$8,'caseload data'!$D:$D,"SPO")/SUMIF('caseload data'!$C:$C,'divisional &amp; regional caseload%'!$B$8,'caseload data'!R:R)</f>
        <v>#DIV/0!</v>
      </c>
      <c r="Q13" s="167" t="e">
        <f>SUMIFS('caseload data'!S:S,'caseload data'!$C:$C,'divisional &amp; regional caseload%'!$B$8,'caseload data'!$D:$D,"SPO")/SUMIF('caseload data'!$C:$C,'divisional &amp; regional caseload%'!$B$8,'caseload data'!S:S)</f>
        <v>#DIV/0!</v>
      </c>
      <c r="R13" s="167" t="e">
        <f>SUMIFS('caseload data'!T:T,'caseload data'!$C:$C,'divisional &amp; regional caseload%'!$B$8,'caseload data'!$D:$D,"SPO")/SUMIF('caseload data'!$C:$C,'divisional &amp; regional caseload%'!$B$8,'caseload data'!T:T)</f>
        <v>#DIV/0!</v>
      </c>
      <c r="S13" s="64"/>
      <c r="T13" s="98" t="s">
        <v>1004</v>
      </c>
      <c r="U13" s="167" t="e">
        <f>SUMIFS('caseload data'!E:E,'caseload data'!$C:$C,'divisional &amp; regional caseload%'!$T$8,'caseload data'!$D:$D,"SPO")/SUMIF('caseload data'!$C:$C,'divisional &amp; regional caseload%'!$T$8,'caseload data'!E:E)</f>
        <v>#DIV/0!</v>
      </c>
      <c r="V13" s="167" t="e">
        <f>SUMIFS('caseload data'!F:F,'caseload data'!$C:$C,'divisional &amp; regional caseload%'!$T$8,'caseload data'!$D:$D,"SPO")/SUMIF('caseload data'!$C:$C,'divisional &amp; regional caseload%'!$T$8,'caseload data'!F:F)</f>
        <v>#DIV/0!</v>
      </c>
      <c r="W13" s="167" t="e">
        <f>SUMIFS('caseload data'!G:G,'caseload data'!$C:$C,'divisional &amp; regional caseload%'!$T$8,'caseload data'!$D:$D,"SPO")/SUMIF('caseload data'!$C:$C,'divisional &amp; regional caseload%'!$T$8,'caseload data'!G:G)</f>
        <v>#DIV/0!</v>
      </c>
      <c r="X13" s="167" t="e">
        <f>SUMIFS('caseload data'!H:H,'caseload data'!$C:$C,'divisional &amp; regional caseload%'!$T$8,'caseload data'!$D:$D,"SPO")/SUMIF('caseload data'!$C:$C,'divisional &amp; regional caseload%'!$T$8,'caseload data'!H:H)</f>
        <v>#DIV/0!</v>
      </c>
      <c r="Y13" s="167" t="e">
        <f>SUMIFS('caseload data'!I:I,'caseload data'!$C:$C,'divisional &amp; regional caseload%'!$T$8,'caseload data'!$D:$D,"SPO")/SUMIF('caseload data'!$C:$C,'divisional &amp; regional caseload%'!$T$8,'caseload data'!I:I)</f>
        <v>#DIV/0!</v>
      </c>
      <c r="Z13" s="167" t="e">
        <f>SUMIFS('caseload data'!J:J,'caseload data'!$C:$C,'divisional &amp; regional caseload%'!$T$8,'caseload data'!$D:$D,"SPO")/SUMIF('caseload data'!$C:$C,'divisional &amp; regional caseload%'!$T$8,'caseload data'!J:J)</f>
        <v>#DIV/0!</v>
      </c>
      <c r="AA13" s="167" t="e">
        <f>SUMIFS('caseload data'!K:K,'caseload data'!$C:$C,'divisional &amp; regional caseload%'!$T$8,'caseload data'!$D:$D,"SPO")/SUMIF('caseload data'!$C:$C,'divisional &amp; regional caseload%'!$T$8,'caseload data'!K:K)</f>
        <v>#DIV/0!</v>
      </c>
      <c r="AB13" s="167" t="e">
        <f>SUMIFS('caseload data'!L:L,'caseload data'!$C:$C,'divisional &amp; regional caseload%'!$T$8,'caseload data'!$D:$D,"SPO")/SUMIF('caseload data'!$C:$C,'divisional &amp; regional caseload%'!$T$8,'caseload data'!L:L)</f>
        <v>#DIV/0!</v>
      </c>
      <c r="AC13" s="167" t="e">
        <f>SUMIFS('caseload data'!M:M,'caseload data'!$C:$C,'divisional &amp; regional caseload%'!$T$8,'caseload data'!$D:$D,"SPO")/SUMIF('caseload data'!$C:$C,'divisional &amp; regional caseload%'!$T$8,'caseload data'!M:M)</f>
        <v>#DIV/0!</v>
      </c>
      <c r="AD13" s="167" t="e">
        <f>SUMIFS('caseload data'!N:N,'caseload data'!$C:$C,'divisional &amp; regional caseload%'!$T$8,'caseload data'!$D:$D,"SPO")/SUMIF('caseload data'!$C:$C,'divisional &amp; regional caseload%'!$T$8,'caseload data'!N:N)</f>
        <v>#DIV/0!</v>
      </c>
      <c r="AE13" s="167" t="e">
        <f>SUMIFS('caseload data'!O:O,'caseload data'!$C:$C,'divisional &amp; regional caseload%'!$T$8,'caseload data'!$D:$D,"SPO")/SUMIF('caseload data'!$C:$C,'divisional &amp; regional caseload%'!$T$8,'caseload data'!O:O)</f>
        <v>#DIV/0!</v>
      </c>
      <c r="AF13" s="167" t="e">
        <f>SUMIFS('caseload data'!P:P,'caseload data'!$C:$C,'divisional &amp; regional caseload%'!$T$8,'caseload data'!$D:$D,"SPO")/SUMIF('caseload data'!$C:$C,'divisional &amp; regional caseload%'!$T$8,'caseload data'!P:P)</f>
        <v>#DIV/0!</v>
      </c>
      <c r="AG13" s="167" t="e">
        <f>SUMIFS('caseload data'!Q:Q,'caseload data'!$C:$C,'divisional &amp; regional caseload%'!$T$8,'caseload data'!$D:$D,"SPO")/SUMIF('caseload data'!$C:$C,'divisional &amp; regional caseload%'!$T$8,'caseload data'!Q:Q)</f>
        <v>#DIV/0!</v>
      </c>
      <c r="AH13" s="167" t="e">
        <f>SUMIFS('caseload data'!R:R,'caseload data'!$C:$C,'divisional &amp; regional caseload%'!$T$8,'caseload data'!$D:$D,"SPO")/SUMIF('caseload data'!$C:$C,'divisional &amp; regional caseload%'!$T$8,'caseload data'!R:R)</f>
        <v>#DIV/0!</v>
      </c>
      <c r="AI13" s="167" t="e">
        <f>SUMIFS('caseload data'!S:S,'caseload data'!$C:$C,'divisional &amp; regional caseload%'!$T$8,'caseload data'!$D:$D,"SPO")/SUMIF('caseload data'!$C:$C,'divisional &amp; regional caseload%'!$T$8,'caseload data'!S:S)</f>
        <v>#DIV/0!</v>
      </c>
      <c r="AJ13" s="167" t="e">
        <f>SUMIFS('caseload data'!T:T,'caseload data'!$C:$C,'divisional &amp; regional caseload%'!$T$8,'caseload data'!$D:$D,"SPO")/SUMIF('caseload data'!$C:$C,'divisional &amp; regional caseload%'!$T$8,'caseload data'!T:T)</f>
        <v>#DIV/0!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15">
      <c r="B15" s="289" t="str">
        <f>HLOOKUP($B$5,Region_Table,4,0)</f>
        <v>Derbyshire - N53</v>
      </c>
      <c r="C15" s="525" t="s">
        <v>1096</v>
      </c>
      <c r="D15" s="526"/>
      <c r="E15" s="526"/>
      <c r="F15" s="526"/>
      <c r="G15" s="526"/>
      <c r="H15" s="526"/>
      <c r="I15" s="526"/>
      <c r="J15" s="526"/>
      <c r="K15" s="526"/>
      <c r="L15" s="526"/>
      <c r="M15" s="527"/>
      <c r="N15" s="527"/>
      <c r="O15" s="528"/>
      <c r="P15" s="512">
        <f>SUMIF('caseload data'!$C:$C,'divisional &amp; regional caseload%'!B15,'caseload data'!V:V)</f>
        <v>0</v>
      </c>
      <c r="Q15" s="529"/>
      <c r="R15" s="530"/>
      <c r="S15" s="64"/>
      <c r="T15" s="289" t="str">
        <f>HLOOKUP($B$5,Region_Table,5,0)</f>
        <v>Leicester, Leicestershire and Rutland</v>
      </c>
      <c r="U15" s="525" t="s">
        <v>1096</v>
      </c>
      <c r="V15" s="526"/>
      <c r="W15" s="526"/>
      <c r="X15" s="526"/>
      <c r="Y15" s="526"/>
      <c r="Z15" s="526"/>
      <c r="AA15" s="526"/>
      <c r="AB15" s="526"/>
      <c r="AC15" s="526"/>
      <c r="AD15" s="526"/>
      <c r="AE15" s="527"/>
      <c r="AF15" s="527"/>
      <c r="AG15" s="528"/>
      <c r="AH15" s="512">
        <f>SUMIF('caseload data'!$C:$C,'divisional &amp; regional caseload%'!T15,'caseload data'!V:V)</f>
        <v>0</v>
      </c>
      <c r="AI15" s="529"/>
      <c r="AJ15" s="530"/>
    </row>
    <row r="16" spans="1:50" x14ac:dyDescent="0.15">
      <c r="B16" s="95" t="s">
        <v>1001</v>
      </c>
      <c r="C16" s="38" t="s">
        <v>864</v>
      </c>
      <c r="D16" s="38" t="s">
        <v>865</v>
      </c>
      <c r="E16" s="38" t="s">
        <v>866</v>
      </c>
      <c r="F16" s="38" t="s">
        <v>867</v>
      </c>
      <c r="G16" s="38" t="s">
        <v>868</v>
      </c>
      <c r="H16" s="38" t="s">
        <v>869</v>
      </c>
      <c r="I16" s="38" t="s">
        <v>870</v>
      </c>
      <c r="J16" s="38" t="s">
        <v>871</v>
      </c>
      <c r="K16" s="38" t="s">
        <v>872</v>
      </c>
      <c r="L16" s="38" t="s">
        <v>873</v>
      </c>
      <c r="M16" s="38" t="s">
        <v>874</v>
      </c>
      <c r="N16" s="38" t="s">
        <v>875</v>
      </c>
      <c r="O16" s="38" t="s">
        <v>876</v>
      </c>
      <c r="P16" s="38" t="s">
        <v>877</v>
      </c>
      <c r="Q16" s="38" t="s">
        <v>878</v>
      </c>
      <c r="R16" s="38" t="s">
        <v>879</v>
      </c>
      <c r="S16" s="64"/>
      <c r="T16" s="95" t="s">
        <v>1001</v>
      </c>
      <c r="U16" s="38" t="s">
        <v>864</v>
      </c>
      <c r="V16" s="38" t="s">
        <v>865</v>
      </c>
      <c r="W16" s="38" t="s">
        <v>866</v>
      </c>
      <c r="X16" s="38" t="s">
        <v>867</v>
      </c>
      <c r="Y16" s="38" t="s">
        <v>868</v>
      </c>
      <c r="Z16" s="38" t="s">
        <v>869</v>
      </c>
      <c r="AA16" s="38" t="s">
        <v>870</v>
      </c>
      <c r="AB16" s="38" t="s">
        <v>871</v>
      </c>
      <c r="AC16" s="38" t="s">
        <v>872</v>
      </c>
      <c r="AD16" s="38" t="s">
        <v>873</v>
      </c>
      <c r="AE16" s="38" t="s">
        <v>874</v>
      </c>
      <c r="AF16" s="38" t="s">
        <v>875</v>
      </c>
      <c r="AG16" s="38" t="s">
        <v>876</v>
      </c>
      <c r="AH16" s="38" t="s">
        <v>877</v>
      </c>
      <c r="AI16" s="38" t="s">
        <v>878</v>
      </c>
      <c r="AJ16" s="38" t="s">
        <v>879</v>
      </c>
    </row>
    <row r="17" spans="2:36" x14ac:dyDescent="0.15">
      <c r="B17" s="96" t="s">
        <v>997</v>
      </c>
      <c r="C17" s="167" t="e">
        <f>SUMIFS('caseload data'!E:E,'caseload data'!$C:$C,'divisional &amp; regional caseload%'!$B$15,'caseload data'!$D:$D,"PO")/SUMIF('caseload data'!$C:$C,'divisional &amp; regional caseload%'!$B$15,'caseload data'!E:E)</f>
        <v>#DIV/0!</v>
      </c>
      <c r="D17" s="167" t="e">
        <f>SUMIFS('caseload data'!F:F,'caseload data'!$C:$C,'divisional &amp; regional caseload%'!$B$15,'caseload data'!$D:$D,"PO")/SUMIF('caseload data'!$C:$C,'divisional &amp; regional caseload%'!$B$15,'caseload data'!F:F)</f>
        <v>#DIV/0!</v>
      </c>
      <c r="E17" s="167" t="e">
        <f>SUMIFS('caseload data'!G:G,'caseload data'!$C:$C,'divisional &amp; regional caseload%'!$B$15,'caseload data'!$D:$D,"PO")/SUMIF('caseload data'!$C:$C,'divisional &amp; regional caseload%'!$B$15,'caseload data'!G:G)</f>
        <v>#DIV/0!</v>
      </c>
      <c r="F17" s="167" t="e">
        <f>SUMIFS('caseload data'!H:H,'caseload data'!$C:$C,'divisional &amp; regional caseload%'!$B$15,'caseload data'!$D:$D,"PO")/SUMIF('caseload data'!$C:$C,'divisional &amp; regional caseload%'!$B$15,'caseload data'!H:H)</f>
        <v>#DIV/0!</v>
      </c>
      <c r="G17" s="167" t="e">
        <f>SUMIFS('caseload data'!I:I,'caseload data'!$C:$C,'divisional &amp; regional caseload%'!$B$15,'caseload data'!$D:$D,"PO")/SUMIF('caseload data'!$C:$C,'divisional &amp; regional caseload%'!$B$15,'caseload data'!I:I)</f>
        <v>#DIV/0!</v>
      </c>
      <c r="H17" s="167" t="e">
        <f>SUMIFS('caseload data'!J:J,'caseload data'!$C:$C,'divisional &amp; regional caseload%'!$B$15,'caseload data'!$D:$D,"PO")/SUMIF('caseload data'!$C:$C,'divisional &amp; regional caseload%'!$B$15,'caseload data'!J:J)</f>
        <v>#DIV/0!</v>
      </c>
      <c r="I17" s="167" t="e">
        <f>SUMIFS('caseload data'!K:K,'caseload data'!$C:$C,'divisional &amp; regional caseload%'!$B$15,'caseload data'!$D:$D,"PO")/SUMIF('caseload data'!$C:$C,'divisional &amp; regional caseload%'!$B$15,'caseload data'!K:K)</f>
        <v>#DIV/0!</v>
      </c>
      <c r="J17" s="167" t="e">
        <f>SUMIFS('caseload data'!L:L,'caseload data'!$C:$C,'divisional &amp; regional caseload%'!$B$15,'caseload data'!$D:$D,"PO")/SUMIF('caseload data'!$C:$C,'divisional &amp; regional caseload%'!$B$15,'caseload data'!L:L)</f>
        <v>#DIV/0!</v>
      </c>
      <c r="K17" s="167" t="e">
        <f>SUMIFS('caseload data'!M:M,'caseload data'!$C:$C,'divisional &amp; regional caseload%'!$B$15,'caseload data'!$D:$D,"PO")/SUMIF('caseload data'!$C:$C,'divisional &amp; regional caseload%'!$B$15,'caseload data'!M:M)</f>
        <v>#DIV/0!</v>
      </c>
      <c r="L17" s="167" t="e">
        <f>SUMIFS('caseload data'!N:N,'caseload data'!$C:$C,'divisional &amp; regional caseload%'!$B$15,'caseload data'!$D:$D,"PO")/SUMIF('caseload data'!$C:$C,'divisional &amp; regional caseload%'!$B$15,'caseload data'!N:N)</f>
        <v>#DIV/0!</v>
      </c>
      <c r="M17" s="167" t="e">
        <f>SUMIFS('caseload data'!O:O,'caseload data'!$C:$C,'divisional &amp; regional caseload%'!$B$15,'caseload data'!$D:$D,"PO")/SUMIF('caseload data'!$C:$C,'divisional &amp; regional caseload%'!$B$15,'caseload data'!O:O)</f>
        <v>#DIV/0!</v>
      </c>
      <c r="N17" s="167" t="e">
        <f>SUMIFS('caseload data'!P:P,'caseload data'!$C:$C,'divisional &amp; regional caseload%'!$B$15,'caseload data'!$D:$D,"PO")/SUMIF('caseload data'!$C:$C,'divisional &amp; regional caseload%'!$B$15,'caseload data'!P:P)</f>
        <v>#DIV/0!</v>
      </c>
      <c r="O17" s="167" t="e">
        <f>SUMIFS('caseload data'!Q:Q,'caseload data'!$C:$C,'divisional &amp; regional caseload%'!$B$15,'caseload data'!$D:$D,"PO")/SUMIF('caseload data'!$C:$C,'divisional &amp; regional caseload%'!$B$15,'caseload data'!Q:Q)</f>
        <v>#DIV/0!</v>
      </c>
      <c r="P17" s="167" t="e">
        <f>SUMIFS('caseload data'!R:R,'caseload data'!$C:$C,'divisional &amp; regional caseload%'!$B$15,'caseload data'!$D:$D,"PO")/SUMIF('caseload data'!$C:$C,'divisional &amp; regional caseload%'!$B$15,'caseload data'!R:R)</f>
        <v>#DIV/0!</v>
      </c>
      <c r="Q17" s="167" t="e">
        <f>SUMIFS('caseload data'!S:S,'caseload data'!$C:$C,'divisional &amp; regional caseload%'!$B$15,'caseload data'!$D:$D,"PO")/SUMIF('caseload data'!$C:$C,'divisional &amp; regional caseload%'!$B$15,'caseload data'!S:S)</f>
        <v>#DIV/0!</v>
      </c>
      <c r="R17" s="167" t="e">
        <f>SUMIFS('caseload data'!T:T,'caseload data'!$C:$C,'divisional &amp; regional caseload%'!$B$15,'caseload data'!$D:$D,"PO")/SUMIF('caseload data'!$C:$C,'divisional &amp; regional caseload%'!$B$15,'caseload data'!T:T)</f>
        <v>#DIV/0!</v>
      </c>
      <c r="S17" s="64"/>
      <c r="T17" s="96" t="s">
        <v>997</v>
      </c>
      <c r="U17" s="167" t="e">
        <f>SUMIFS('caseload data'!E:E,'caseload data'!$C:$C,'divisional &amp; regional caseload%'!$T$15,'caseload data'!$D:$D,"PO")/SUMIF('caseload data'!$C:$C,'divisional &amp; regional caseload%'!$T$15,'caseload data'!E:E)</f>
        <v>#DIV/0!</v>
      </c>
      <c r="V17" s="167" t="e">
        <f>SUMIFS('caseload data'!F:F,'caseload data'!$C:$C,'divisional &amp; regional caseload%'!$T$15,'caseload data'!$D:$D,"PO")/SUMIF('caseload data'!$C:$C,'divisional &amp; regional caseload%'!$T$15,'caseload data'!F:F)</f>
        <v>#DIV/0!</v>
      </c>
      <c r="W17" s="167" t="e">
        <f>SUMIFS('caseload data'!G:G,'caseload data'!$C:$C,'divisional &amp; regional caseload%'!$T$15,'caseload data'!$D:$D,"PO")/SUMIF('caseload data'!$C:$C,'divisional &amp; regional caseload%'!$T$15,'caseload data'!G:G)</f>
        <v>#DIV/0!</v>
      </c>
      <c r="X17" s="167" t="e">
        <f>SUMIFS('caseload data'!H:H,'caseload data'!$C:$C,'divisional &amp; regional caseload%'!$T$15,'caseload data'!$D:$D,"PO")/SUMIF('caseload data'!$C:$C,'divisional &amp; regional caseload%'!$T$15,'caseload data'!H:H)</f>
        <v>#DIV/0!</v>
      </c>
      <c r="Y17" s="167" t="e">
        <f>SUMIFS('caseload data'!I:I,'caseload data'!$C:$C,'divisional &amp; regional caseload%'!$T$15,'caseload data'!$D:$D,"PO")/SUMIF('caseload data'!$C:$C,'divisional &amp; regional caseload%'!$T$15,'caseload data'!I:I)</f>
        <v>#DIV/0!</v>
      </c>
      <c r="Z17" s="167" t="e">
        <f>SUMIFS('caseload data'!J:J,'caseload data'!$C:$C,'divisional &amp; regional caseload%'!$T$15,'caseload data'!$D:$D,"PO")/SUMIF('caseload data'!$C:$C,'divisional &amp; regional caseload%'!$T$15,'caseload data'!J:J)</f>
        <v>#DIV/0!</v>
      </c>
      <c r="AA17" s="167" t="e">
        <f>SUMIFS('caseload data'!K:K,'caseload data'!$C:$C,'divisional &amp; regional caseload%'!$T$15,'caseload data'!$D:$D,"PO")/SUMIF('caseload data'!$C:$C,'divisional &amp; regional caseload%'!$T$15,'caseload data'!K:K)</f>
        <v>#DIV/0!</v>
      </c>
      <c r="AB17" s="167" t="e">
        <f>SUMIFS('caseload data'!L:L,'caseload data'!$C:$C,'divisional &amp; regional caseload%'!$T$15,'caseload data'!$D:$D,"PO")/SUMIF('caseload data'!$C:$C,'divisional &amp; regional caseload%'!$T$15,'caseload data'!L:L)</f>
        <v>#DIV/0!</v>
      </c>
      <c r="AC17" s="167" t="e">
        <f>SUMIFS('caseload data'!M:M,'caseload data'!$C:$C,'divisional &amp; regional caseload%'!$T$15,'caseload data'!$D:$D,"PO")/SUMIF('caseload data'!$C:$C,'divisional &amp; regional caseload%'!$T$15,'caseload data'!M:M)</f>
        <v>#DIV/0!</v>
      </c>
      <c r="AD17" s="167" t="e">
        <f>SUMIFS('caseload data'!N:N,'caseload data'!$C:$C,'divisional &amp; regional caseload%'!$T$15,'caseload data'!$D:$D,"PO")/SUMIF('caseload data'!$C:$C,'divisional &amp; regional caseload%'!$T$15,'caseload data'!N:N)</f>
        <v>#DIV/0!</v>
      </c>
      <c r="AE17" s="167" t="e">
        <f>SUMIFS('caseload data'!O:O,'caseload data'!$C:$C,'divisional &amp; regional caseload%'!$T$15,'caseload data'!$D:$D,"PO")/SUMIF('caseload data'!$C:$C,'divisional &amp; regional caseload%'!$T$15,'caseload data'!O:O)</f>
        <v>#DIV/0!</v>
      </c>
      <c r="AF17" s="167" t="e">
        <f>SUMIFS('caseload data'!P:P,'caseload data'!$C:$C,'divisional &amp; regional caseload%'!$T$15,'caseload data'!$D:$D,"PO")/SUMIF('caseload data'!$C:$C,'divisional &amp; regional caseload%'!$T$15,'caseload data'!P:P)</f>
        <v>#DIV/0!</v>
      </c>
      <c r="AG17" s="167" t="e">
        <f>SUMIFS('caseload data'!Q:Q,'caseload data'!$C:$C,'divisional &amp; regional caseload%'!$T$15,'caseload data'!$D:$D,"PO")/SUMIF('caseload data'!$C:$C,'divisional &amp; regional caseload%'!$T$15,'caseload data'!Q:Q)</f>
        <v>#DIV/0!</v>
      </c>
      <c r="AH17" s="167" t="e">
        <f>SUMIFS('caseload data'!R:R,'caseload data'!$C:$C,'divisional &amp; regional caseload%'!$T$15,'caseload data'!$D:$D,"PO")/SUMIF('caseload data'!$C:$C,'divisional &amp; regional caseload%'!$T$15,'caseload data'!R:R)</f>
        <v>#DIV/0!</v>
      </c>
      <c r="AI17" s="167" t="e">
        <f>SUMIFS('caseload data'!S:S,'caseload data'!$C:$C,'divisional &amp; regional caseload%'!$T$15,'caseload data'!$D:$D,"PO")/SUMIF('caseload data'!$C:$C,'divisional &amp; regional caseload%'!$T$15,'caseload data'!S:S)</f>
        <v>#DIV/0!</v>
      </c>
      <c r="AJ17" s="167" t="e">
        <f>SUMIFS('caseload data'!T:T,'caseload data'!$C:$C,'divisional &amp; regional caseload%'!$T$15,'caseload data'!$D:$D,"PO")/SUMIF('caseload data'!$C:$C,'divisional &amp; regional caseload%'!$T$15,'caseload data'!T:T)</f>
        <v>#DIV/0!</v>
      </c>
    </row>
    <row r="18" spans="2:36" x14ac:dyDescent="0.15">
      <c r="B18" s="97" t="s">
        <v>1002</v>
      </c>
      <c r="C18" s="167" t="e">
        <f>SUMIFS('caseload data'!E:E,'caseload data'!$C:$C,'divisional &amp; regional caseload%'!$B$15,'caseload data'!$D:$D,"PSO")/SUMIF('caseload data'!$C:$C,'divisional &amp; regional caseload%'!$B$15,'caseload data'!E:E)</f>
        <v>#DIV/0!</v>
      </c>
      <c r="D18" s="167" t="e">
        <f>SUMIFS('caseload data'!F:F,'caseload data'!$C:$C,'divisional &amp; regional caseload%'!$B$15,'caseload data'!$D:$D,"PSO")/SUMIF('caseload data'!$C:$C,'divisional &amp; regional caseload%'!$B$15,'caseload data'!F:F)</f>
        <v>#DIV/0!</v>
      </c>
      <c r="E18" s="167" t="e">
        <f>SUMIFS('caseload data'!G:G,'caseload data'!$C:$C,'divisional &amp; regional caseload%'!$B$15,'caseload data'!$D:$D,"PSO")/SUMIF('caseload data'!$C:$C,'divisional &amp; regional caseload%'!$B$15,'caseload data'!G:G)</f>
        <v>#DIV/0!</v>
      </c>
      <c r="F18" s="167" t="e">
        <f>SUMIFS('caseload data'!H:H,'caseload data'!$C:$C,'divisional &amp; regional caseload%'!$B$15,'caseload data'!$D:$D,"PSO")/SUMIF('caseload data'!$C:$C,'divisional &amp; regional caseload%'!$B$15,'caseload data'!H:H)</f>
        <v>#DIV/0!</v>
      </c>
      <c r="G18" s="167" t="e">
        <f>SUMIFS('caseload data'!I:I,'caseload data'!$C:$C,'divisional &amp; regional caseload%'!$B$15,'caseload data'!$D:$D,"PSO")/SUMIF('caseload data'!$C:$C,'divisional &amp; regional caseload%'!$B$15,'caseload data'!I:I)</f>
        <v>#DIV/0!</v>
      </c>
      <c r="H18" s="167" t="e">
        <f>SUMIFS('caseload data'!J:J,'caseload data'!$C:$C,'divisional &amp; regional caseload%'!$B$15,'caseload data'!$D:$D,"PSO")/SUMIF('caseload data'!$C:$C,'divisional &amp; regional caseload%'!$B$15,'caseload data'!J:J)</f>
        <v>#DIV/0!</v>
      </c>
      <c r="I18" s="167" t="e">
        <f>SUMIFS('caseload data'!K:K,'caseload data'!$C:$C,'divisional &amp; regional caseload%'!$B$15,'caseload data'!$D:$D,"PSO")/SUMIF('caseload data'!$C:$C,'divisional &amp; regional caseload%'!$B$15,'caseload data'!K:K)</f>
        <v>#DIV/0!</v>
      </c>
      <c r="J18" s="167" t="e">
        <f>SUMIFS('caseload data'!L:L,'caseload data'!$C:$C,'divisional &amp; regional caseload%'!$B$15,'caseload data'!$D:$D,"PSO")/SUMIF('caseload data'!$C:$C,'divisional &amp; regional caseload%'!$B$15,'caseload data'!L:L)</f>
        <v>#DIV/0!</v>
      </c>
      <c r="K18" s="167" t="e">
        <f>SUMIFS('caseload data'!M:M,'caseload data'!$C:$C,'divisional &amp; regional caseload%'!$B$15,'caseload data'!$D:$D,"PSO")/SUMIF('caseload data'!$C:$C,'divisional &amp; regional caseload%'!$B$15,'caseload data'!M:M)</f>
        <v>#DIV/0!</v>
      </c>
      <c r="L18" s="167" t="e">
        <f>SUMIFS('caseload data'!N:N,'caseload data'!$C:$C,'divisional &amp; regional caseload%'!$B$15,'caseload data'!$D:$D,"PSO")/SUMIF('caseload data'!$C:$C,'divisional &amp; regional caseload%'!$B$15,'caseload data'!N:N)</f>
        <v>#DIV/0!</v>
      </c>
      <c r="M18" s="167" t="e">
        <f>SUMIFS('caseload data'!O:O,'caseload data'!$C:$C,'divisional &amp; regional caseload%'!$B$15,'caseload data'!$D:$D,"PSO")/SUMIF('caseload data'!$C:$C,'divisional &amp; regional caseload%'!$B$15,'caseload data'!O:O)</f>
        <v>#DIV/0!</v>
      </c>
      <c r="N18" s="167" t="e">
        <f>SUMIFS('caseload data'!P:P,'caseload data'!$C:$C,'divisional &amp; regional caseload%'!$B$15,'caseload data'!$D:$D,"PSO")/SUMIF('caseload data'!$C:$C,'divisional &amp; regional caseload%'!$B$15,'caseload data'!P:P)</f>
        <v>#DIV/0!</v>
      </c>
      <c r="O18" s="167" t="e">
        <f>SUMIFS('caseload data'!Q:Q,'caseload data'!$C:$C,'divisional &amp; regional caseload%'!$B$15,'caseload data'!$D:$D,"PSO")/SUMIF('caseload data'!$C:$C,'divisional &amp; regional caseload%'!$B$15,'caseload data'!Q:Q)</f>
        <v>#DIV/0!</v>
      </c>
      <c r="P18" s="167" t="e">
        <f>SUMIFS('caseload data'!R:R,'caseload data'!$C:$C,'divisional &amp; regional caseload%'!$B$15,'caseload data'!$D:$D,"PSO")/SUMIF('caseload data'!$C:$C,'divisional &amp; regional caseload%'!$B$15,'caseload data'!R:R)</f>
        <v>#DIV/0!</v>
      </c>
      <c r="Q18" s="167" t="e">
        <f>SUMIFS('caseload data'!S:S,'caseload data'!$C:$C,'divisional &amp; regional caseload%'!$B$15,'caseload data'!$D:$D,"PSO")/SUMIF('caseload data'!$C:$C,'divisional &amp; regional caseload%'!$B$15,'caseload data'!S:S)</f>
        <v>#DIV/0!</v>
      </c>
      <c r="R18" s="167" t="e">
        <f>SUMIFS('caseload data'!T:T,'caseload data'!$C:$C,'divisional &amp; regional caseload%'!$B$15,'caseload data'!$D:$D,"PSO")/SUMIF('caseload data'!$C:$C,'divisional &amp; regional caseload%'!$B$15,'caseload data'!T:T)</f>
        <v>#DIV/0!</v>
      </c>
      <c r="S18" s="64"/>
      <c r="T18" s="97" t="s">
        <v>1002</v>
      </c>
      <c r="U18" s="167" t="e">
        <f>SUMIFS('caseload data'!E:E,'caseload data'!$C:$C,'divisional &amp; regional caseload%'!$T$15,'caseload data'!$D:$D,"PSO")/SUMIF('caseload data'!$C:$C,'divisional &amp; regional caseload%'!$T$15,'caseload data'!E:E)</f>
        <v>#DIV/0!</v>
      </c>
      <c r="V18" s="167" t="e">
        <f>SUMIFS('caseload data'!F:F,'caseload data'!$C:$C,'divisional &amp; regional caseload%'!$T$15,'caseload data'!$D:$D,"PSO")/SUMIF('caseload data'!$C:$C,'divisional &amp; regional caseload%'!$T$15,'caseload data'!F:F)</f>
        <v>#DIV/0!</v>
      </c>
      <c r="W18" s="167" t="e">
        <f>SUMIFS('caseload data'!G:G,'caseload data'!$C:$C,'divisional &amp; regional caseload%'!$T$15,'caseload data'!$D:$D,"PSO")/SUMIF('caseload data'!$C:$C,'divisional &amp; regional caseload%'!$T$15,'caseload data'!G:G)</f>
        <v>#DIV/0!</v>
      </c>
      <c r="X18" s="167" t="e">
        <f>SUMIFS('caseload data'!H:H,'caseload data'!$C:$C,'divisional &amp; regional caseload%'!$T$15,'caseload data'!$D:$D,"PSO")/SUMIF('caseload data'!$C:$C,'divisional &amp; regional caseload%'!$T$15,'caseload data'!H:H)</f>
        <v>#DIV/0!</v>
      </c>
      <c r="Y18" s="167" t="e">
        <f>SUMIFS('caseload data'!I:I,'caseload data'!$C:$C,'divisional &amp; regional caseload%'!$T$15,'caseload data'!$D:$D,"PSO")/SUMIF('caseload data'!$C:$C,'divisional &amp; regional caseload%'!$T$15,'caseload data'!I:I)</f>
        <v>#DIV/0!</v>
      </c>
      <c r="Z18" s="167" t="e">
        <f>SUMIFS('caseload data'!J:J,'caseload data'!$C:$C,'divisional &amp; regional caseload%'!$T$15,'caseload data'!$D:$D,"PSO")/SUMIF('caseload data'!$C:$C,'divisional &amp; regional caseload%'!$T$15,'caseload data'!J:J)</f>
        <v>#DIV/0!</v>
      </c>
      <c r="AA18" s="167" t="e">
        <f>SUMIFS('caseload data'!K:K,'caseload data'!$C:$C,'divisional &amp; regional caseload%'!$T$15,'caseload data'!$D:$D,"PSO")/SUMIF('caseload data'!$C:$C,'divisional &amp; regional caseload%'!$T$15,'caseload data'!K:K)</f>
        <v>#DIV/0!</v>
      </c>
      <c r="AB18" s="167" t="e">
        <f>SUMIFS('caseload data'!L:L,'caseload data'!$C:$C,'divisional &amp; regional caseload%'!$T$15,'caseload data'!$D:$D,"PSO")/SUMIF('caseload data'!$C:$C,'divisional &amp; regional caseload%'!$T$15,'caseload data'!L:L)</f>
        <v>#DIV/0!</v>
      </c>
      <c r="AC18" s="167" t="e">
        <f>SUMIFS('caseload data'!M:M,'caseload data'!$C:$C,'divisional &amp; regional caseload%'!$T$15,'caseload data'!$D:$D,"PSO")/SUMIF('caseload data'!$C:$C,'divisional &amp; regional caseload%'!$T$15,'caseload data'!M:M)</f>
        <v>#DIV/0!</v>
      </c>
      <c r="AD18" s="167" t="e">
        <f>SUMIFS('caseload data'!N:N,'caseload data'!$C:$C,'divisional &amp; regional caseload%'!$T$15,'caseload data'!$D:$D,"PSO")/SUMIF('caseload data'!$C:$C,'divisional &amp; regional caseload%'!$T$15,'caseload data'!N:N)</f>
        <v>#DIV/0!</v>
      </c>
      <c r="AE18" s="167" t="e">
        <f>SUMIFS('caseload data'!O:O,'caseload data'!$C:$C,'divisional &amp; regional caseload%'!$T$15,'caseload data'!$D:$D,"PSO")/SUMIF('caseload data'!$C:$C,'divisional &amp; regional caseload%'!$T$15,'caseload data'!O:O)</f>
        <v>#DIV/0!</v>
      </c>
      <c r="AF18" s="167" t="e">
        <f>SUMIFS('caseload data'!P:P,'caseload data'!$C:$C,'divisional &amp; regional caseload%'!$T$15,'caseload data'!$D:$D,"PSO")/SUMIF('caseload data'!$C:$C,'divisional &amp; regional caseload%'!$T$15,'caseload data'!P:P)</f>
        <v>#DIV/0!</v>
      </c>
      <c r="AG18" s="167" t="e">
        <f>SUMIFS('caseload data'!Q:Q,'caseload data'!$C:$C,'divisional &amp; regional caseload%'!$T$15,'caseload data'!$D:$D,"PSO")/SUMIF('caseload data'!$C:$C,'divisional &amp; regional caseload%'!$T$15,'caseload data'!Q:Q)</f>
        <v>#DIV/0!</v>
      </c>
      <c r="AH18" s="167" t="e">
        <f>SUMIFS('caseload data'!R:R,'caseload data'!$C:$C,'divisional &amp; regional caseload%'!$T$15,'caseload data'!$D:$D,"PSO")/SUMIF('caseload data'!$C:$C,'divisional &amp; regional caseload%'!$T$15,'caseload data'!R:R)</f>
        <v>#DIV/0!</v>
      </c>
      <c r="AI18" s="167" t="e">
        <f>SUMIFS('caseload data'!S:S,'caseload data'!$C:$C,'divisional &amp; regional caseload%'!$T$15,'caseload data'!$D:$D,"PSO")/SUMIF('caseload data'!$C:$C,'divisional &amp; regional caseload%'!$T$15,'caseload data'!S:S)</f>
        <v>#DIV/0!</v>
      </c>
      <c r="AJ18" s="167" t="e">
        <f>SUMIFS('caseload data'!T:T,'caseload data'!$C:$C,'divisional &amp; regional caseload%'!$T$15,'caseload data'!$D:$D,"PSO")/SUMIF('caseload data'!$C:$C,'divisional &amp; regional caseload%'!$T$15,'caseload data'!T:T)</f>
        <v>#DIV/0!</v>
      </c>
    </row>
    <row r="19" spans="2:36" x14ac:dyDescent="0.15">
      <c r="B19" s="97" t="s">
        <v>1003</v>
      </c>
      <c r="C19" s="167" t="e">
        <f>SUMIFS('caseload data'!E:E,'caseload data'!$C:$C,'divisional &amp; regional caseload%'!$B$15,'caseload data'!$D:$D,"TPO")/SUMIF('caseload data'!$C:$C,'divisional &amp; regional caseload%'!$B$15,'caseload data'!E:E)</f>
        <v>#DIV/0!</v>
      </c>
      <c r="D19" s="167" t="e">
        <f>SUMIFS('caseload data'!F:F,'caseload data'!$C:$C,'divisional &amp; regional caseload%'!$B$15,'caseload data'!$D:$D,"TPO")/SUMIF('caseload data'!$C:$C,'divisional &amp; regional caseload%'!$B$15,'caseload data'!F:F)</f>
        <v>#DIV/0!</v>
      </c>
      <c r="E19" s="167" t="e">
        <f>SUMIFS('caseload data'!G:G,'caseload data'!$C:$C,'divisional &amp; regional caseload%'!$B$15,'caseload data'!$D:$D,"TPO")/SUMIF('caseload data'!$C:$C,'divisional &amp; regional caseload%'!$B$15,'caseload data'!G:G)</f>
        <v>#DIV/0!</v>
      </c>
      <c r="F19" s="167" t="e">
        <f>SUMIFS('caseload data'!H:H,'caseload data'!$C:$C,'divisional &amp; regional caseload%'!$B$15,'caseload data'!$D:$D,"TPO")/SUMIF('caseload data'!$C:$C,'divisional &amp; regional caseload%'!$B$15,'caseload data'!H:H)</f>
        <v>#DIV/0!</v>
      </c>
      <c r="G19" s="167" t="e">
        <f>SUMIFS('caseload data'!I:I,'caseload data'!$C:$C,'divisional &amp; regional caseload%'!$B$15,'caseload data'!$D:$D,"TPO")/SUMIF('caseload data'!$C:$C,'divisional &amp; regional caseload%'!$B$15,'caseload data'!I:I)</f>
        <v>#DIV/0!</v>
      </c>
      <c r="H19" s="167" t="e">
        <f>SUMIFS('caseload data'!J:J,'caseload data'!$C:$C,'divisional &amp; regional caseload%'!$B$15,'caseload data'!$D:$D,"TPO")/SUMIF('caseload data'!$C:$C,'divisional &amp; regional caseload%'!$B$15,'caseload data'!J:J)</f>
        <v>#DIV/0!</v>
      </c>
      <c r="I19" s="167" t="e">
        <f>SUMIFS('caseload data'!K:K,'caseload data'!$C:$C,'divisional &amp; regional caseload%'!$B$15,'caseload data'!$D:$D,"TPO")/SUMIF('caseload data'!$C:$C,'divisional &amp; regional caseload%'!$B$15,'caseload data'!K:K)</f>
        <v>#DIV/0!</v>
      </c>
      <c r="J19" s="167" t="e">
        <f>SUMIFS('caseload data'!L:L,'caseload data'!$C:$C,'divisional &amp; regional caseload%'!$B$15,'caseload data'!$D:$D,"TPO")/SUMIF('caseload data'!$C:$C,'divisional &amp; regional caseload%'!$B$15,'caseload data'!L:L)</f>
        <v>#DIV/0!</v>
      </c>
      <c r="K19" s="167" t="e">
        <f>SUMIFS('caseload data'!M:M,'caseload data'!$C:$C,'divisional &amp; regional caseload%'!$B$15,'caseload data'!$D:$D,"TPO")/SUMIF('caseload data'!$C:$C,'divisional &amp; regional caseload%'!$B$15,'caseload data'!M:M)</f>
        <v>#DIV/0!</v>
      </c>
      <c r="L19" s="167" t="e">
        <f>SUMIFS('caseload data'!N:N,'caseload data'!$C:$C,'divisional &amp; regional caseload%'!$B$15,'caseload data'!$D:$D,"TPO")/SUMIF('caseload data'!$C:$C,'divisional &amp; regional caseload%'!$B$15,'caseload data'!N:N)</f>
        <v>#DIV/0!</v>
      </c>
      <c r="M19" s="167" t="e">
        <f>SUMIFS('caseload data'!O:O,'caseload data'!$C:$C,'divisional &amp; regional caseload%'!$B$15,'caseload data'!$D:$D,"TPO")/SUMIF('caseload data'!$C:$C,'divisional &amp; regional caseload%'!$B$15,'caseload data'!O:O)</f>
        <v>#DIV/0!</v>
      </c>
      <c r="N19" s="167" t="e">
        <f>SUMIFS('caseload data'!P:P,'caseload data'!$C:$C,'divisional &amp; regional caseload%'!$B$15,'caseload data'!$D:$D,"TPO")/SUMIF('caseload data'!$C:$C,'divisional &amp; regional caseload%'!$B$15,'caseload data'!P:P)</f>
        <v>#DIV/0!</v>
      </c>
      <c r="O19" s="167" t="e">
        <f>SUMIFS('caseload data'!Q:Q,'caseload data'!$C:$C,'divisional &amp; regional caseload%'!$B$15,'caseload data'!$D:$D,"TPO")/SUMIF('caseload data'!$C:$C,'divisional &amp; regional caseload%'!$B$15,'caseload data'!Q:Q)</f>
        <v>#DIV/0!</v>
      </c>
      <c r="P19" s="167" t="e">
        <f>SUMIFS('caseload data'!R:R,'caseload data'!$C:$C,'divisional &amp; regional caseload%'!$B$15,'caseload data'!$D:$D,"TPO")/SUMIF('caseload data'!$C:$C,'divisional &amp; regional caseload%'!$B$15,'caseload data'!R:R)</f>
        <v>#DIV/0!</v>
      </c>
      <c r="Q19" s="167" t="e">
        <f>SUMIFS('caseload data'!S:S,'caseload data'!$C:$C,'divisional &amp; regional caseload%'!$B$15,'caseload data'!$D:$D,"TPO")/SUMIF('caseload data'!$C:$C,'divisional &amp; regional caseload%'!$B$15,'caseload data'!S:S)</f>
        <v>#DIV/0!</v>
      </c>
      <c r="R19" s="167" t="e">
        <f>SUMIFS('caseload data'!T:T,'caseload data'!$C:$C,'divisional &amp; regional caseload%'!$B$15,'caseload data'!$D:$D,"TPO")/SUMIF('caseload data'!$C:$C,'divisional &amp; regional caseload%'!$B$15,'caseload data'!T:T)</f>
        <v>#DIV/0!</v>
      </c>
      <c r="S19" s="64"/>
      <c r="T19" s="97" t="s">
        <v>1003</v>
      </c>
      <c r="U19" s="167" t="e">
        <f>SUMIFS('caseload data'!E:E,'caseload data'!$C:$C,'divisional &amp; regional caseload%'!$T$15,'caseload data'!$D:$D,"TPO")/SUMIF('caseload data'!$C:$C,'divisional &amp; regional caseload%'!$T$15,'caseload data'!E:E)</f>
        <v>#DIV/0!</v>
      </c>
      <c r="V19" s="167" t="e">
        <f>SUMIFS('caseload data'!F:F,'caseload data'!$C:$C,'divisional &amp; regional caseload%'!$T$15,'caseload data'!$D:$D,"TPO")/SUMIF('caseload data'!$C:$C,'divisional &amp; regional caseload%'!$T$15,'caseload data'!F:F)</f>
        <v>#DIV/0!</v>
      </c>
      <c r="W19" s="167" t="e">
        <f>SUMIFS('caseload data'!G:G,'caseload data'!$C:$C,'divisional &amp; regional caseload%'!$T$15,'caseload data'!$D:$D,"TPO")/SUMIF('caseload data'!$C:$C,'divisional &amp; regional caseload%'!$T$15,'caseload data'!G:G)</f>
        <v>#DIV/0!</v>
      </c>
      <c r="X19" s="167" t="e">
        <f>SUMIFS('caseload data'!H:H,'caseload data'!$C:$C,'divisional &amp; regional caseload%'!$T$15,'caseload data'!$D:$D,"TPO")/SUMIF('caseload data'!$C:$C,'divisional &amp; regional caseload%'!$T$15,'caseload data'!H:H)</f>
        <v>#DIV/0!</v>
      </c>
      <c r="Y19" s="167" t="e">
        <f>SUMIFS('caseload data'!I:I,'caseload data'!$C:$C,'divisional &amp; regional caseload%'!$T$15,'caseload data'!$D:$D,"TPO")/SUMIF('caseload data'!$C:$C,'divisional &amp; regional caseload%'!$T$15,'caseload data'!I:I)</f>
        <v>#DIV/0!</v>
      </c>
      <c r="Z19" s="167" t="e">
        <f>SUMIFS('caseload data'!J:J,'caseload data'!$C:$C,'divisional &amp; regional caseload%'!$T$15,'caseload data'!$D:$D,"TPO")/SUMIF('caseload data'!$C:$C,'divisional &amp; regional caseload%'!$T$15,'caseload data'!J:J)</f>
        <v>#DIV/0!</v>
      </c>
      <c r="AA19" s="167" t="e">
        <f>SUMIFS('caseload data'!K:K,'caseload data'!$C:$C,'divisional &amp; regional caseload%'!$T$15,'caseload data'!$D:$D,"TPO")/SUMIF('caseload data'!$C:$C,'divisional &amp; regional caseload%'!$T$15,'caseload data'!K:K)</f>
        <v>#DIV/0!</v>
      </c>
      <c r="AB19" s="167" t="e">
        <f>SUMIFS('caseload data'!L:L,'caseload data'!$C:$C,'divisional &amp; regional caseload%'!$T$15,'caseload data'!$D:$D,"TPO")/SUMIF('caseload data'!$C:$C,'divisional &amp; regional caseload%'!$T$15,'caseload data'!L:L)</f>
        <v>#DIV/0!</v>
      </c>
      <c r="AC19" s="167" t="e">
        <f>SUMIFS('caseload data'!M:M,'caseload data'!$C:$C,'divisional &amp; regional caseload%'!$T$15,'caseload data'!$D:$D,"TPO")/SUMIF('caseload data'!$C:$C,'divisional &amp; regional caseload%'!$T$15,'caseload data'!M:M)</f>
        <v>#DIV/0!</v>
      </c>
      <c r="AD19" s="167" t="e">
        <f>SUMIFS('caseload data'!N:N,'caseload data'!$C:$C,'divisional &amp; regional caseload%'!$T$15,'caseload data'!$D:$D,"TPO")/SUMIF('caseload data'!$C:$C,'divisional &amp; regional caseload%'!$T$15,'caseload data'!N:N)</f>
        <v>#DIV/0!</v>
      </c>
      <c r="AE19" s="167" t="e">
        <f>SUMIFS('caseload data'!O:O,'caseload data'!$C:$C,'divisional &amp; regional caseload%'!$T$15,'caseload data'!$D:$D,"TPO")/SUMIF('caseload data'!$C:$C,'divisional &amp; regional caseload%'!$T$15,'caseload data'!O:O)</f>
        <v>#DIV/0!</v>
      </c>
      <c r="AF19" s="167" t="e">
        <f>SUMIFS('caseload data'!P:P,'caseload data'!$C:$C,'divisional &amp; regional caseload%'!$T$15,'caseload data'!$D:$D,"TPO")/SUMIF('caseload data'!$C:$C,'divisional &amp; regional caseload%'!$T$15,'caseload data'!P:P)</f>
        <v>#DIV/0!</v>
      </c>
      <c r="AG19" s="167" t="e">
        <f>SUMIFS('caseload data'!Q:Q,'caseload data'!$C:$C,'divisional &amp; regional caseload%'!$T$15,'caseload data'!$D:$D,"TPO")/SUMIF('caseload data'!$C:$C,'divisional &amp; regional caseload%'!$T$15,'caseload data'!Q:Q)</f>
        <v>#DIV/0!</v>
      </c>
      <c r="AH19" s="167" t="e">
        <f>SUMIFS('caseload data'!R:R,'caseload data'!$C:$C,'divisional &amp; regional caseload%'!$T$15,'caseload data'!$D:$D,"TPO")/SUMIF('caseload data'!$C:$C,'divisional &amp; regional caseload%'!$T$15,'caseload data'!R:R)</f>
        <v>#DIV/0!</v>
      </c>
      <c r="AI19" s="167" t="e">
        <f>SUMIFS('caseload data'!S:S,'caseload data'!$C:$C,'divisional &amp; regional caseload%'!$T$15,'caseload data'!$D:$D,"TPO")/SUMIF('caseload data'!$C:$C,'divisional &amp; regional caseload%'!$T$15,'caseload data'!S:S)</f>
        <v>#DIV/0!</v>
      </c>
      <c r="AJ19" s="167" t="e">
        <f>SUMIFS('caseload data'!T:T,'caseload data'!$C:$C,'divisional &amp; regional caseload%'!$T$15,'caseload data'!$D:$D,"TPO")/SUMIF('caseload data'!$C:$C,'divisional &amp; regional caseload%'!$T$15,'caseload data'!T:T)</f>
        <v>#DIV/0!</v>
      </c>
    </row>
    <row r="20" spans="2:36" x14ac:dyDescent="0.15">
      <c r="B20" s="98" t="s">
        <v>1004</v>
      </c>
      <c r="C20" s="167" t="e">
        <f>SUMIFS('caseload data'!E:E,'caseload data'!$C:$C,'divisional &amp; regional caseload%'!$B$15,'caseload data'!$D:$D,"SPO")/SUMIF('caseload data'!$C:$C,'divisional &amp; regional caseload%'!$B$15,'caseload data'!E:E)</f>
        <v>#DIV/0!</v>
      </c>
      <c r="D20" s="167" t="e">
        <f>SUMIFS('caseload data'!F:F,'caseload data'!$C:$C,'divisional &amp; regional caseload%'!$B$15,'caseload data'!$D:$D,"SPO")/SUMIF('caseload data'!$C:$C,'divisional &amp; regional caseload%'!$B$15,'caseload data'!F:F)</f>
        <v>#DIV/0!</v>
      </c>
      <c r="E20" s="167" t="e">
        <f>SUMIFS('caseload data'!G:G,'caseload data'!$C:$C,'divisional &amp; regional caseload%'!$B$15,'caseload data'!$D:$D,"SPO")/SUMIF('caseload data'!$C:$C,'divisional &amp; regional caseload%'!$B$15,'caseload data'!G:G)</f>
        <v>#DIV/0!</v>
      </c>
      <c r="F20" s="167" t="e">
        <f>SUMIFS('caseload data'!H:H,'caseload data'!$C:$C,'divisional &amp; regional caseload%'!$B$15,'caseload data'!$D:$D,"SPO")/SUMIF('caseload data'!$C:$C,'divisional &amp; regional caseload%'!$B$15,'caseload data'!H:H)</f>
        <v>#DIV/0!</v>
      </c>
      <c r="G20" s="167" t="e">
        <f>SUMIFS('caseload data'!I:I,'caseload data'!$C:$C,'divisional &amp; regional caseload%'!$B$15,'caseload data'!$D:$D,"SPO")/SUMIF('caseload data'!$C:$C,'divisional &amp; regional caseload%'!$B$15,'caseload data'!I:I)</f>
        <v>#DIV/0!</v>
      </c>
      <c r="H20" s="167" t="e">
        <f>SUMIFS('caseload data'!J:J,'caseload data'!$C:$C,'divisional &amp; regional caseload%'!$B$15,'caseload data'!$D:$D,"SPO")/SUMIF('caseload data'!$C:$C,'divisional &amp; regional caseload%'!$B$15,'caseload data'!J:J)</f>
        <v>#DIV/0!</v>
      </c>
      <c r="I20" s="167" t="e">
        <f>SUMIFS('caseload data'!K:K,'caseload data'!$C:$C,'divisional &amp; regional caseload%'!$B$15,'caseload data'!$D:$D,"SPO")/SUMIF('caseload data'!$C:$C,'divisional &amp; regional caseload%'!$B$15,'caseload data'!K:K)</f>
        <v>#DIV/0!</v>
      </c>
      <c r="J20" s="167" t="e">
        <f>SUMIFS('caseload data'!L:L,'caseload data'!$C:$C,'divisional &amp; regional caseload%'!$B$15,'caseload data'!$D:$D,"SPO")/SUMIF('caseload data'!$C:$C,'divisional &amp; regional caseload%'!$B$15,'caseload data'!L:L)</f>
        <v>#DIV/0!</v>
      </c>
      <c r="K20" s="167" t="e">
        <f>SUMIFS('caseload data'!M:M,'caseload data'!$C:$C,'divisional &amp; regional caseload%'!$B$15,'caseload data'!$D:$D,"SPO")/SUMIF('caseload data'!$C:$C,'divisional &amp; regional caseload%'!$B$15,'caseload data'!M:M)</f>
        <v>#DIV/0!</v>
      </c>
      <c r="L20" s="167" t="e">
        <f>SUMIFS('caseload data'!N:N,'caseload data'!$C:$C,'divisional &amp; regional caseload%'!$B$15,'caseload data'!$D:$D,"SPO")/SUMIF('caseload data'!$C:$C,'divisional &amp; regional caseload%'!$B$15,'caseload data'!N:N)</f>
        <v>#DIV/0!</v>
      </c>
      <c r="M20" s="167" t="e">
        <f>SUMIFS('caseload data'!O:O,'caseload data'!$C:$C,'divisional &amp; regional caseload%'!$B$15,'caseload data'!$D:$D,"SPO")/SUMIF('caseload data'!$C:$C,'divisional &amp; regional caseload%'!$B$15,'caseload data'!O:O)</f>
        <v>#DIV/0!</v>
      </c>
      <c r="N20" s="167" t="e">
        <f>SUMIFS('caseload data'!P:P,'caseload data'!$C:$C,'divisional &amp; regional caseload%'!$B$15,'caseload data'!$D:$D,"SPO")/SUMIF('caseload data'!$C:$C,'divisional &amp; regional caseload%'!$B$15,'caseload data'!P:P)</f>
        <v>#DIV/0!</v>
      </c>
      <c r="O20" s="167" t="e">
        <f>SUMIFS('caseload data'!Q:Q,'caseload data'!$C:$C,'divisional &amp; regional caseload%'!$B$15,'caseload data'!$D:$D,"SPO")/SUMIF('caseload data'!$C:$C,'divisional &amp; regional caseload%'!$B$15,'caseload data'!Q:Q)</f>
        <v>#DIV/0!</v>
      </c>
      <c r="P20" s="167" t="e">
        <f>SUMIFS('caseload data'!R:R,'caseload data'!$C:$C,'divisional &amp; regional caseload%'!$B$15,'caseload data'!$D:$D,"SPO")/SUMIF('caseload data'!$C:$C,'divisional &amp; regional caseload%'!$B$15,'caseload data'!R:R)</f>
        <v>#DIV/0!</v>
      </c>
      <c r="Q20" s="167" t="e">
        <f>SUMIFS('caseload data'!S:S,'caseload data'!$C:$C,'divisional &amp; regional caseload%'!$B$15,'caseload data'!$D:$D,"SPO")/SUMIF('caseload data'!$C:$C,'divisional &amp; regional caseload%'!$B$15,'caseload data'!S:S)</f>
        <v>#DIV/0!</v>
      </c>
      <c r="R20" s="167" t="e">
        <f>SUMIFS('caseload data'!T:T,'caseload data'!$C:$C,'divisional &amp; regional caseload%'!$B$15,'caseload data'!$D:$D,"SPO")/SUMIF('caseload data'!$C:$C,'divisional &amp; regional caseload%'!$B$15,'caseload data'!T:T)</f>
        <v>#DIV/0!</v>
      </c>
      <c r="S20" s="64"/>
      <c r="T20" s="98" t="s">
        <v>1004</v>
      </c>
      <c r="U20" s="167" t="e">
        <f>SUMIFS('caseload data'!E:E,'caseload data'!$C:$C,'divisional &amp; regional caseload%'!$T$15,'caseload data'!$D:$D,"SPO")/SUMIF('caseload data'!$C:$C,'divisional &amp; regional caseload%'!$T$15,'caseload data'!E:E)</f>
        <v>#DIV/0!</v>
      </c>
      <c r="V20" s="167" t="e">
        <f>SUMIFS('caseload data'!F:F,'caseload data'!$C:$C,'divisional &amp; regional caseload%'!$T$15,'caseload data'!$D:$D,"SPO")/SUMIF('caseload data'!$C:$C,'divisional &amp; regional caseload%'!$T$15,'caseload data'!F:F)</f>
        <v>#DIV/0!</v>
      </c>
      <c r="W20" s="167" t="e">
        <f>SUMIFS('caseload data'!G:G,'caseload data'!$C:$C,'divisional &amp; regional caseload%'!$T$15,'caseload data'!$D:$D,"SPO")/SUMIF('caseload data'!$C:$C,'divisional &amp; regional caseload%'!$T$15,'caseload data'!G:G)</f>
        <v>#DIV/0!</v>
      </c>
      <c r="X20" s="167" t="e">
        <f>SUMIFS('caseload data'!H:H,'caseload data'!$C:$C,'divisional &amp; regional caseload%'!$T$15,'caseload data'!$D:$D,"SPO")/SUMIF('caseload data'!$C:$C,'divisional &amp; regional caseload%'!$T$15,'caseload data'!H:H)</f>
        <v>#DIV/0!</v>
      </c>
      <c r="Y20" s="167" t="e">
        <f>SUMIFS('caseload data'!I:I,'caseload data'!$C:$C,'divisional &amp; regional caseload%'!$T$15,'caseload data'!$D:$D,"SPO")/SUMIF('caseload data'!$C:$C,'divisional &amp; regional caseload%'!$T$15,'caseload data'!I:I)</f>
        <v>#DIV/0!</v>
      </c>
      <c r="Z20" s="167" t="e">
        <f>SUMIFS('caseload data'!J:J,'caseload data'!$C:$C,'divisional &amp; regional caseload%'!$T$15,'caseload data'!$D:$D,"SPO")/SUMIF('caseload data'!$C:$C,'divisional &amp; regional caseload%'!$T$15,'caseload data'!J:J)</f>
        <v>#DIV/0!</v>
      </c>
      <c r="AA20" s="167" t="e">
        <f>SUMIFS('caseload data'!K:K,'caseload data'!$C:$C,'divisional &amp; regional caseload%'!$T$15,'caseload data'!$D:$D,"SPO")/SUMIF('caseload data'!$C:$C,'divisional &amp; regional caseload%'!$T$15,'caseload data'!K:K)</f>
        <v>#DIV/0!</v>
      </c>
      <c r="AB20" s="167" t="e">
        <f>SUMIFS('caseload data'!L:L,'caseload data'!$C:$C,'divisional &amp; regional caseload%'!$T$15,'caseload data'!$D:$D,"SPO")/SUMIF('caseload data'!$C:$C,'divisional &amp; regional caseload%'!$T$15,'caseload data'!L:L)</f>
        <v>#DIV/0!</v>
      </c>
      <c r="AC20" s="167" t="e">
        <f>SUMIFS('caseload data'!M:M,'caseload data'!$C:$C,'divisional &amp; regional caseload%'!$T$15,'caseload data'!$D:$D,"SPO")/SUMIF('caseload data'!$C:$C,'divisional &amp; regional caseload%'!$T$15,'caseload data'!M:M)</f>
        <v>#DIV/0!</v>
      </c>
      <c r="AD20" s="167" t="e">
        <f>SUMIFS('caseload data'!N:N,'caseload data'!$C:$C,'divisional &amp; regional caseload%'!$T$15,'caseload data'!$D:$D,"SPO")/SUMIF('caseload data'!$C:$C,'divisional &amp; regional caseload%'!$T$15,'caseload data'!N:N)</f>
        <v>#DIV/0!</v>
      </c>
      <c r="AE20" s="167" t="e">
        <f>SUMIFS('caseload data'!O:O,'caseload data'!$C:$C,'divisional &amp; regional caseload%'!$T$15,'caseload data'!$D:$D,"SPO")/SUMIF('caseload data'!$C:$C,'divisional &amp; regional caseload%'!$T$15,'caseload data'!O:O)</f>
        <v>#DIV/0!</v>
      </c>
      <c r="AF20" s="167" t="e">
        <f>SUMIFS('caseload data'!P:P,'caseload data'!$C:$C,'divisional &amp; regional caseload%'!$T$15,'caseload data'!$D:$D,"SPO")/SUMIF('caseload data'!$C:$C,'divisional &amp; regional caseload%'!$T$15,'caseload data'!P:P)</f>
        <v>#DIV/0!</v>
      </c>
      <c r="AG20" s="167" t="e">
        <f>SUMIFS('caseload data'!Q:Q,'caseload data'!$C:$C,'divisional &amp; regional caseload%'!$T$15,'caseload data'!$D:$D,"SPO")/SUMIF('caseload data'!$C:$C,'divisional &amp; regional caseload%'!$T$15,'caseload data'!Q:Q)</f>
        <v>#DIV/0!</v>
      </c>
      <c r="AH20" s="167" t="e">
        <f>SUMIFS('caseload data'!R:R,'caseload data'!$C:$C,'divisional &amp; regional caseload%'!$T$15,'caseload data'!$D:$D,"SPO")/SUMIF('caseload data'!$C:$C,'divisional &amp; regional caseload%'!$T$15,'caseload data'!R:R)</f>
        <v>#DIV/0!</v>
      </c>
      <c r="AI20" s="167" t="e">
        <f>SUMIFS('caseload data'!S:S,'caseload data'!$C:$C,'divisional &amp; regional caseload%'!$T$15,'caseload data'!$D:$D,"SPO")/SUMIF('caseload data'!$C:$C,'divisional &amp; regional caseload%'!$T$15,'caseload data'!S:S)</f>
        <v>#DIV/0!</v>
      </c>
      <c r="AJ20" s="167" t="e">
        <f>SUMIFS('caseload data'!T:T,'caseload data'!$C:$C,'divisional &amp; regional caseload%'!$T$15,'caseload data'!$D:$D,"SPO")/SUMIF('caseload data'!$C:$C,'divisional &amp; regional caseload%'!$T$15,'caseload data'!T:T)</f>
        <v>#DIV/0!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15">
      <c r="B22" s="289" t="str">
        <f>HLOOKUP($B$5,Region_Table,6,0)</f>
        <v>Lincolnshire East and West - N53</v>
      </c>
      <c r="C22" s="525" t="s">
        <v>1096</v>
      </c>
      <c r="D22" s="526"/>
      <c r="E22" s="526"/>
      <c r="F22" s="526"/>
      <c r="G22" s="526"/>
      <c r="H22" s="526"/>
      <c r="I22" s="526"/>
      <c r="J22" s="526"/>
      <c r="K22" s="526"/>
      <c r="L22" s="526"/>
      <c r="M22" s="527"/>
      <c r="N22" s="527"/>
      <c r="O22" s="528"/>
      <c r="P22" s="512">
        <f>SUMIF('caseload data'!$C:$C,'divisional &amp; regional caseload%'!B22,'caseload data'!V:V)</f>
        <v>0</v>
      </c>
      <c r="Q22" s="529"/>
      <c r="R22" s="530"/>
      <c r="S22" s="64"/>
      <c r="T22" s="289" t="str">
        <f>HLOOKUP($B$5,Region_Table,7,0)</f>
        <v>Nottingham City</v>
      </c>
      <c r="U22" s="525" t="s">
        <v>1096</v>
      </c>
      <c r="V22" s="526"/>
      <c r="W22" s="526"/>
      <c r="X22" s="526"/>
      <c r="Y22" s="526"/>
      <c r="Z22" s="526"/>
      <c r="AA22" s="526"/>
      <c r="AB22" s="526"/>
      <c r="AC22" s="526"/>
      <c r="AD22" s="526"/>
      <c r="AE22" s="527"/>
      <c r="AF22" s="527"/>
      <c r="AG22" s="528"/>
      <c r="AH22" s="512">
        <f>SUMIF('caseload data'!$C:$C,'divisional &amp; regional caseload%'!T22,'caseload data'!V:V)</f>
        <v>0</v>
      </c>
      <c r="AI22" s="529"/>
      <c r="AJ22" s="530"/>
    </row>
    <row r="23" spans="2:36" x14ac:dyDescent="0.15">
      <c r="B23" s="95" t="s">
        <v>1001</v>
      </c>
      <c r="C23" s="38" t="s">
        <v>864</v>
      </c>
      <c r="D23" s="38" t="s">
        <v>865</v>
      </c>
      <c r="E23" s="38" t="s">
        <v>866</v>
      </c>
      <c r="F23" s="38" t="s">
        <v>867</v>
      </c>
      <c r="G23" s="38" t="s">
        <v>868</v>
      </c>
      <c r="H23" s="38" t="s">
        <v>869</v>
      </c>
      <c r="I23" s="38" t="s">
        <v>870</v>
      </c>
      <c r="J23" s="38" t="s">
        <v>871</v>
      </c>
      <c r="K23" s="38" t="s">
        <v>872</v>
      </c>
      <c r="L23" s="38" t="s">
        <v>873</v>
      </c>
      <c r="M23" s="38" t="s">
        <v>874</v>
      </c>
      <c r="N23" s="38" t="s">
        <v>875</v>
      </c>
      <c r="O23" s="38" t="s">
        <v>876</v>
      </c>
      <c r="P23" s="38" t="s">
        <v>877</v>
      </c>
      <c r="Q23" s="38" t="s">
        <v>878</v>
      </c>
      <c r="R23" s="38" t="s">
        <v>879</v>
      </c>
      <c r="S23" s="64"/>
      <c r="T23" s="95" t="s">
        <v>1001</v>
      </c>
      <c r="U23" s="38" t="s">
        <v>864</v>
      </c>
      <c r="V23" s="38" t="s">
        <v>865</v>
      </c>
      <c r="W23" s="38" t="s">
        <v>866</v>
      </c>
      <c r="X23" s="38" t="s">
        <v>867</v>
      </c>
      <c r="Y23" s="38" t="s">
        <v>868</v>
      </c>
      <c r="Z23" s="38" t="s">
        <v>869</v>
      </c>
      <c r="AA23" s="38" t="s">
        <v>870</v>
      </c>
      <c r="AB23" s="38" t="s">
        <v>871</v>
      </c>
      <c r="AC23" s="38" t="s">
        <v>872</v>
      </c>
      <c r="AD23" s="38" t="s">
        <v>873</v>
      </c>
      <c r="AE23" s="38" t="s">
        <v>874</v>
      </c>
      <c r="AF23" s="38" t="s">
        <v>875</v>
      </c>
      <c r="AG23" s="38" t="s">
        <v>876</v>
      </c>
      <c r="AH23" s="38" t="s">
        <v>877</v>
      </c>
      <c r="AI23" s="38" t="s">
        <v>878</v>
      </c>
      <c r="AJ23" s="38" t="s">
        <v>879</v>
      </c>
    </row>
    <row r="24" spans="2:36" x14ac:dyDescent="0.15">
      <c r="B24" s="96" t="s">
        <v>997</v>
      </c>
      <c r="C24" s="167" t="e">
        <f>SUMIFS('caseload data'!E:E,'caseload data'!$C:$C,'divisional &amp; regional caseload%'!$B$22,'caseload data'!$D:$D,"PO")/SUMIF('caseload data'!$C:$C,'divisional &amp; regional caseload%'!$B$22,'caseload data'!E:E)</f>
        <v>#DIV/0!</v>
      </c>
      <c r="D24" s="167" t="e">
        <f>SUMIFS('caseload data'!F:F,'caseload data'!$C:$C,'divisional &amp; regional caseload%'!$B$22,'caseload data'!$D:$D,"PO")/SUMIF('caseload data'!$C:$C,'divisional &amp; regional caseload%'!$B$22,'caseload data'!F:F)</f>
        <v>#DIV/0!</v>
      </c>
      <c r="E24" s="167" t="e">
        <f>SUMIFS('caseload data'!G:G,'caseload data'!$C:$C,'divisional &amp; regional caseload%'!$B$22,'caseload data'!$D:$D,"PO")/SUMIF('caseload data'!$C:$C,'divisional &amp; regional caseload%'!$B$22,'caseload data'!G:G)</f>
        <v>#DIV/0!</v>
      </c>
      <c r="F24" s="167" t="e">
        <f>SUMIFS('caseload data'!H:H,'caseload data'!$C:$C,'divisional &amp; regional caseload%'!$B$22,'caseload data'!$D:$D,"PO")/SUMIF('caseload data'!$C:$C,'divisional &amp; regional caseload%'!$B$22,'caseload data'!H:H)</f>
        <v>#DIV/0!</v>
      </c>
      <c r="G24" s="167" t="e">
        <f>SUMIFS('caseload data'!I:I,'caseload data'!$C:$C,'divisional &amp; regional caseload%'!$B$22,'caseload data'!$D:$D,"PO")/SUMIF('caseload data'!$C:$C,'divisional &amp; regional caseload%'!$B$22,'caseload data'!I:I)</f>
        <v>#DIV/0!</v>
      </c>
      <c r="H24" s="167" t="e">
        <f>SUMIFS('caseload data'!J:J,'caseload data'!$C:$C,'divisional &amp; regional caseload%'!$B$22,'caseload data'!$D:$D,"PO")/SUMIF('caseload data'!$C:$C,'divisional &amp; regional caseload%'!$B$22,'caseload data'!J:J)</f>
        <v>#DIV/0!</v>
      </c>
      <c r="I24" s="167" t="e">
        <f>SUMIFS('caseload data'!K:K,'caseload data'!$C:$C,'divisional &amp; regional caseload%'!$B$22,'caseload data'!$D:$D,"PO")/SUMIF('caseload data'!$C:$C,'divisional &amp; regional caseload%'!$B$22,'caseload data'!K:K)</f>
        <v>#DIV/0!</v>
      </c>
      <c r="J24" s="167" t="e">
        <f>SUMIFS('caseload data'!L:L,'caseload data'!$C:$C,'divisional &amp; regional caseload%'!$B$22,'caseload data'!$D:$D,"PO")/SUMIF('caseload data'!$C:$C,'divisional &amp; regional caseload%'!$B$22,'caseload data'!L:L)</f>
        <v>#DIV/0!</v>
      </c>
      <c r="K24" s="167" t="e">
        <f>SUMIFS('caseload data'!M:M,'caseload data'!$C:$C,'divisional &amp; regional caseload%'!$B$22,'caseload data'!$D:$D,"PO")/SUMIF('caseload data'!$C:$C,'divisional &amp; regional caseload%'!$B$22,'caseload data'!M:M)</f>
        <v>#DIV/0!</v>
      </c>
      <c r="L24" s="167" t="e">
        <f>SUMIFS('caseload data'!N:N,'caseload data'!$C:$C,'divisional &amp; regional caseload%'!$B$22,'caseload data'!$D:$D,"PO")/SUMIF('caseload data'!$C:$C,'divisional &amp; regional caseload%'!$B$22,'caseload data'!N:N)</f>
        <v>#DIV/0!</v>
      </c>
      <c r="M24" s="167" t="e">
        <f>SUMIFS('caseload data'!O:O,'caseload data'!$C:$C,'divisional &amp; regional caseload%'!$B$22,'caseload data'!$D:$D,"PO")/SUMIF('caseload data'!$C:$C,'divisional &amp; regional caseload%'!$B$22,'caseload data'!O:O)</f>
        <v>#DIV/0!</v>
      </c>
      <c r="N24" s="167" t="e">
        <f>SUMIFS('caseload data'!P:P,'caseload data'!$C:$C,'divisional &amp; regional caseload%'!$B$22,'caseload data'!$D:$D,"PO")/SUMIF('caseload data'!$C:$C,'divisional &amp; regional caseload%'!$B$22,'caseload data'!P:P)</f>
        <v>#DIV/0!</v>
      </c>
      <c r="O24" s="167" t="e">
        <f>SUMIFS('caseload data'!Q:Q,'caseload data'!$C:$C,'divisional &amp; regional caseload%'!$B$22,'caseload data'!$D:$D,"PO")/SUMIF('caseload data'!$C:$C,'divisional &amp; regional caseload%'!$B$22,'caseload data'!Q:Q)</f>
        <v>#DIV/0!</v>
      </c>
      <c r="P24" s="167" t="e">
        <f>SUMIFS('caseload data'!R:R,'caseload data'!$C:$C,'divisional &amp; regional caseload%'!$B$22,'caseload data'!$D:$D,"PO")/SUMIF('caseload data'!$C:$C,'divisional &amp; regional caseload%'!$B$22,'caseload data'!R:R)</f>
        <v>#DIV/0!</v>
      </c>
      <c r="Q24" s="167" t="e">
        <f>SUMIFS('caseload data'!S:S,'caseload data'!$C:$C,'divisional &amp; regional caseload%'!$B$22,'caseload data'!$D:$D,"PO")/SUMIF('caseload data'!$C:$C,'divisional &amp; regional caseload%'!$B$22,'caseload data'!S:S)</f>
        <v>#DIV/0!</v>
      </c>
      <c r="R24" s="167" t="e">
        <f>SUMIFS('caseload data'!T:T,'caseload data'!$C:$C,'divisional &amp; regional caseload%'!$B$22,'caseload data'!$D:$D,"PO")/SUMIF('caseload data'!$C:$C,'divisional &amp; regional caseload%'!$B$22,'caseload data'!T:T)</f>
        <v>#DIV/0!</v>
      </c>
      <c r="S24" s="64"/>
      <c r="T24" s="96" t="s">
        <v>997</v>
      </c>
      <c r="U24" s="167" t="str">
        <f>IFERROR(SUMIFS('caseload data'!E:E,'caseload data'!$C:$C,'divisional &amp; regional caseload%'!$T$22,'caseload data'!$D:$D,"PO")/SUMIF('caseload data'!$C:$C,'divisional &amp; regional caseload%'!$T$22,'caseload data'!E:E),"")</f>
        <v/>
      </c>
      <c r="V24" s="167" t="str">
        <f>IFERROR(SUMIFS('caseload data'!F:F,'caseload data'!$C:$C,'divisional &amp; regional caseload%'!$T$22,'caseload data'!$D:$D,"PO")/SUMIF('caseload data'!$C:$C,'divisional &amp; regional caseload%'!$T$22,'caseload data'!F:F),"")</f>
        <v/>
      </c>
      <c r="W24" s="167" t="str">
        <f>IFERROR(SUMIFS('caseload data'!G:G,'caseload data'!$C:$C,'divisional &amp; regional caseload%'!$T$22,'caseload data'!$D:$D,"PO")/SUMIF('caseload data'!$C:$C,'divisional &amp; regional caseload%'!$T$22,'caseload data'!G:G),"")</f>
        <v/>
      </c>
      <c r="X24" s="167" t="str">
        <f>IFERROR(SUMIFS('caseload data'!H:H,'caseload data'!$C:$C,'divisional &amp; regional caseload%'!$T$22,'caseload data'!$D:$D,"PO")/SUMIF('caseload data'!$C:$C,'divisional &amp; regional caseload%'!$T$22,'caseload data'!H:H),"")</f>
        <v/>
      </c>
      <c r="Y24" s="167" t="str">
        <f>IFERROR(SUMIFS('caseload data'!I:I,'caseload data'!$C:$C,'divisional &amp; regional caseload%'!$T$22,'caseload data'!$D:$D,"PO")/SUMIF('caseload data'!$C:$C,'divisional &amp; regional caseload%'!$T$22,'caseload data'!I:I),"")</f>
        <v/>
      </c>
      <c r="Z24" s="167" t="str">
        <f>IFERROR(SUMIFS('caseload data'!J:J,'caseload data'!$C:$C,'divisional &amp; regional caseload%'!$T$22,'caseload data'!$D:$D,"PO")/SUMIF('caseload data'!$C:$C,'divisional &amp; regional caseload%'!$T$22,'caseload data'!J:J),"")</f>
        <v/>
      </c>
      <c r="AA24" s="167" t="str">
        <f>IFERROR(SUMIFS('caseload data'!K:K,'caseload data'!$C:$C,'divisional &amp; regional caseload%'!$T$22,'caseload data'!$D:$D,"PO")/SUMIF('caseload data'!$C:$C,'divisional &amp; regional caseload%'!$T$22,'caseload data'!K:K),"")</f>
        <v/>
      </c>
      <c r="AB24" s="167" t="str">
        <f>IFERROR(SUMIFS('caseload data'!L:L,'caseload data'!$C:$C,'divisional &amp; regional caseload%'!$T$22,'caseload data'!$D:$D,"PO")/SUMIF('caseload data'!$C:$C,'divisional &amp; regional caseload%'!$T$22,'caseload data'!L:L),"")</f>
        <v/>
      </c>
      <c r="AC24" s="167" t="str">
        <f>IFERROR(SUMIFS('caseload data'!M:M,'caseload data'!$C:$C,'divisional &amp; regional caseload%'!$T$22,'caseload data'!$D:$D,"PO")/SUMIF('caseload data'!$C:$C,'divisional &amp; regional caseload%'!$T$22,'caseload data'!M:M),"")</f>
        <v/>
      </c>
      <c r="AD24" s="167" t="str">
        <f>IFERROR(SUMIFS('caseload data'!N:N,'caseload data'!$C:$C,'divisional &amp; regional caseload%'!$T$22,'caseload data'!$D:$D,"PO")/SUMIF('caseload data'!$C:$C,'divisional &amp; regional caseload%'!$T$22,'caseload data'!N:N),"")</f>
        <v/>
      </c>
      <c r="AE24" s="167" t="str">
        <f>IFERROR(SUMIFS('caseload data'!O:O,'caseload data'!$C:$C,'divisional &amp; regional caseload%'!$T$22,'caseload data'!$D:$D,"PO")/SUMIF('caseload data'!$C:$C,'divisional &amp; regional caseload%'!$T$22,'caseload data'!O:O),"")</f>
        <v/>
      </c>
      <c r="AF24" s="167" t="str">
        <f>IFERROR(SUMIFS('caseload data'!P:P,'caseload data'!$C:$C,'divisional &amp; regional caseload%'!$T$22,'caseload data'!$D:$D,"PO")/SUMIF('caseload data'!$C:$C,'divisional &amp; regional caseload%'!$T$22,'caseload data'!P:P),"")</f>
        <v/>
      </c>
      <c r="AG24" s="167" t="str">
        <f>IFERROR(SUMIFS('caseload data'!Q:Q,'caseload data'!$C:$C,'divisional &amp; regional caseload%'!$T$22,'caseload data'!$D:$D,"PO")/SUMIF('caseload data'!$C:$C,'divisional &amp; regional caseload%'!$T$22,'caseload data'!Q:Q),"")</f>
        <v/>
      </c>
      <c r="AH24" s="167" t="str">
        <f>IFERROR(SUMIFS('caseload data'!R:R,'caseload data'!$C:$C,'divisional &amp; regional caseload%'!$T$22,'caseload data'!$D:$D,"PO")/SUMIF('caseload data'!$C:$C,'divisional &amp; regional caseload%'!$T$22,'caseload data'!R:R),"")</f>
        <v/>
      </c>
      <c r="AI24" s="167" t="str">
        <f>IFERROR(SUMIFS('caseload data'!S:S,'caseload data'!$C:$C,'divisional &amp; regional caseload%'!$T$22,'caseload data'!$D:$D,"PO")/SUMIF('caseload data'!$C:$C,'divisional &amp; regional caseload%'!$T$22,'caseload data'!S:S),"")</f>
        <v/>
      </c>
      <c r="AJ24" s="167" t="str">
        <f>IFERROR(SUMIFS('caseload data'!T:T,'caseload data'!$C:$C,'divisional &amp; regional caseload%'!$T$22,'caseload data'!$D:$D,"PO")/SUMIF('caseload data'!$C:$C,'divisional &amp; regional caseload%'!$T$22,'caseload data'!T:T),"")</f>
        <v/>
      </c>
    </row>
    <row r="25" spans="2:36" x14ac:dyDescent="0.15">
      <c r="B25" s="97" t="s">
        <v>1002</v>
      </c>
      <c r="C25" s="167" t="e">
        <f>SUMIFS('caseload data'!E:E,'caseload data'!$C:$C,'divisional &amp; regional caseload%'!$B$22,'caseload data'!$D:$D,"PSO")/SUMIF('caseload data'!$C:$C,'divisional &amp; regional caseload%'!$B$22,'caseload data'!E:E)</f>
        <v>#DIV/0!</v>
      </c>
      <c r="D25" s="167" t="e">
        <f>SUMIFS('caseload data'!F:F,'caseload data'!$C:$C,'divisional &amp; regional caseload%'!$B$22,'caseload data'!$D:$D,"PSO")/SUMIF('caseload data'!$C:$C,'divisional &amp; regional caseload%'!$B$22,'caseload data'!F:F)</f>
        <v>#DIV/0!</v>
      </c>
      <c r="E25" s="167" t="e">
        <f>SUMIFS('caseload data'!G:G,'caseload data'!$C:$C,'divisional &amp; regional caseload%'!$B$22,'caseload data'!$D:$D,"PSO")/SUMIF('caseload data'!$C:$C,'divisional &amp; regional caseload%'!$B$22,'caseload data'!G:G)</f>
        <v>#DIV/0!</v>
      </c>
      <c r="F25" s="167" t="e">
        <f>SUMIFS('caseload data'!H:H,'caseload data'!$C:$C,'divisional &amp; regional caseload%'!$B$22,'caseload data'!$D:$D,"PSO")/SUMIF('caseload data'!$C:$C,'divisional &amp; regional caseload%'!$B$22,'caseload data'!H:H)</f>
        <v>#DIV/0!</v>
      </c>
      <c r="G25" s="167" t="e">
        <f>SUMIFS('caseload data'!I:I,'caseload data'!$C:$C,'divisional &amp; regional caseload%'!$B$22,'caseload data'!$D:$D,"PSO")/SUMIF('caseload data'!$C:$C,'divisional &amp; regional caseload%'!$B$22,'caseload data'!I:I)</f>
        <v>#DIV/0!</v>
      </c>
      <c r="H25" s="167" t="e">
        <f>SUMIFS('caseload data'!J:J,'caseload data'!$C:$C,'divisional &amp; regional caseload%'!$B$22,'caseload data'!$D:$D,"PSO")/SUMIF('caseload data'!$C:$C,'divisional &amp; regional caseload%'!$B$22,'caseload data'!J:J)</f>
        <v>#DIV/0!</v>
      </c>
      <c r="I25" s="167" t="e">
        <f>SUMIFS('caseload data'!K:K,'caseload data'!$C:$C,'divisional &amp; regional caseload%'!$B$22,'caseload data'!$D:$D,"PSO")/SUMIF('caseload data'!$C:$C,'divisional &amp; regional caseload%'!$B$22,'caseload data'!K:K)</f>
        <v>#DIV/0!</v>
      </c>
      <c r="J25" s="167" t="e">
        <f>SUMIFS('caseload data'!L:L,'caseload data'!$C:$C,'divisional &amp; regional caseload%'!$B$22,'caseload data'!$D:$D,"PSO")/SUMIF('caseload data'!$C:$C,'divisional &amp; regional caseload%'!$B$22,'caseload data'!L:L)</f>
        <v>#DIV/0!</v>
      </c>
      <c r="K25" s="167" t="e">
        <f>SUMIFS('caseload data'!M:M,'caseload data'!$C:$C,'divisional &amp; regional caseload%'!$B$22,'caseload data'!$D:$D,"PSO")/SUMIF('caseload data'!$C:$C,'divisional &amp; regional caseload%'!$B$22,'caseload data'!M:M)</f>
        <v>#DIV/0!</v>
      </c>
      <c r="L25" s="167" t="e">
        <f>SUMIFS('caseload data'!N:N,'caseload data'!$C:$C,'divisional &amp; regional caseload%'!$B$22,'caseload data'!$D:$D,"PSO")/SUMIF('caseload data'!$C:$C,'divisional &amp; regional caseload%'!$B$22,'caseload data'!N:N)</f>
        <v>#DIV/0!</v>
      </c>
      <c r="M25" s="167" t="e">
        <f>SUMIFS('caseload data'!O:O,'caseload data'!$C:$C,'divisional &amp; regional caseload%'!$B$22,'caseload data'!$D:$D,"PSO")/SUMIF('caseload data'!$C:$C,'divisional &amp; regional caseload%'!$B$22,'caseload data'!O:O)</f>
        <v>#DIV/0!</v>
      </c>
      <c r="N25" s="167" t="e">
        <f>SUMIFS('caseload data'!P:P,'caseload data'!$C:$C,'divisional &amp; regional caseload%'!$B$22,'caseload data'!$D:$D,"PSO")/SUMIF('caseload data'!$C:$C,'divisional &amp; regional caseload%'!$B$22,'caseload data'!P:P)</f>
        <v>#DIV/0!</v>
      </c>
      <c r="O25" s="167" t="e">
        <f>SUMIFS('caseload data'!Q:Q,'caseload data'!$C:$C,'divisional &amp; regional caseload%'!$B$22,'caseload data'!$D:$D,"PSO")/SUMIF('caseload data'!$C:$C,'divisional &amp; regional caseload%'!$B$22,'caseload data'!Q:Q)</f>
        <v>#DIV/0!</v>
      </c>
      <c r="P25" s="167" t="e">
        <f>SUMIFS('caseload data'!R:R,'caseload data'!$C:$C,'divisional &amp; regional caseload%'!$B$22,'caseload data'!$D:$D,"PSO")/SUMIF('caseload data'!$C:$C,'divisional &amp; regional caseload%'!$B$22,'caseload data'!R:R)</f>
        <v>#DIV/0!</v>
      </c>
      <c r="Q25" s="167" t="e">
        <f>SUMIFS('caseload data'!S:S,'caseload data'!$C:$C,'divisional &amp; regional caseload%'!$B$22,'caseload data'!$D:$D,"PSO")/SUMIF('caseload data'!$C:$C,'divisional &amp; regional caseload%'!$B$22,'caseload data'!S:S)</f>
        <v>#DIV/0!</v>
      </c>
      <c r="R25" s="167" t="e">
        <f>SUMIFS('caseload data'!T:T,'caseload data'!$C:$C,'divisional &amp; regional caseload%'!$B$22,'caseload data'!$D:$D,"PSO")/SUMIF('caseload data'!$C:$C,'divisional &amp; regional caseload%'!$B$22,'caseload data'!T:T)</f>
        <v>#DIV/0!</v>
      </c>
      <c r="S25" s="64"/>
      <c r="T25" s="97" t="s">
        <v>1002</v>
      </c>
      <c r="U25" s="167" t="str">
        <f>IFERROR(SUMIFS('caseload data'!E:E,'caseload data'!$C:$C,'divisional &amp; regional caseload%'!$T$22,'caseload data'!$D:$D,"PSO")/SUMIF('caseload data'!$C:$C,'divisional &amp; regional caseload%'!$T$22,'caseload data'!E:E),"")</f>
        <v/>
      </c>
      <c r="V25" s="167" t="str">
        <f>IFERROR(SUMIFS('caseload data'!F:F,'caseload data'!$C:$C,'divisional &amp; regional caseload%'!$T$22,'caseload data'!$D:$D,"PSO")/SUMIF('caseload data'!$C:$C,'divisional &amp; regional caseload%'!$T$22,'caseload data'!F:F),"")</f>
        <v/>
      </c>
      <c r="W25" s="167" t="str">
        <f>IFERROR(SUMIFS('caseload data'!G:G,'caseload data'!$C:$C,'divisional &amp; regional caseload%'!$T$22,'caseload data'!$D:$D,"PSO")/SUMIF('caseload data'!$C:$C,'divisional &amp; regional caseload%'!$T$22,'caseload data'!G:G),"")</f>
        <v/>
      </c>
      <c r="X25" s="167" t="str">
        <f>IFERROR(SUMIFS('caseload data'!H:H,'caseload data'!$C:$C,'divisional &amp; regional caseload%'!$T$22,'caseload data'!$D:$D,"PSO")/SUMIF('caseload data'!$C:$C,'divisional &amp; regional caseload%'!$T$22,'caseload data'!H:H),"")</f>
        <v/>
      </c>
      <c r="Y25" s="167" t="str">
        <f>IFERROR(SUMIFS('caseload data'!I:I,'caseload data'!$C:$C,'divisional &amp; regional caseload%'!$T$22,'caseload data'!$D:$D,"PSO")/SUMIF('caseload data'!$C:$C,'divisional &amp; regional caseload%'!$T$22,'caseload data'!I:I),"")</f>
        <v/>
      </c>
      <c r="Z25" s="167" t="str">
        <f>IFERROR(SUMIFS('caseload data'!J:J,'caseload data'!$C:$C,'divisional &amp; regional caseload%'!$T$22,'caseload data'!$D:$D,"PSO")/SUMIF('caseload data'!$C:$C,'divisional &amp; regional caseload%'!$T$22,'caseload data'!J:J),"")</f>
        <v/>
      </c>
      <c r="AA25" s="167" t="str">
        <f>IFERROR(SUMIFS('caseload data'!K:K,'caseload data'!$C:$C,'divisional &amp; regional caseload%'!$T$22,'caseload data'!$D:$D,"PSO")/SUMIF('caseload data'!$C:$C,'divisional &amp; regional caseload%'!$T$22,'caseload data'!K:K),"")</f>
        <v/>
      </c>
      <c r="AB25" s="167" t="str">
        <f>IFERROR(SUMIFS('caseload data'!L:L,'caseload data'!$C:$C,'divisional &amp; regional caseload%'!$T$22,'caseload data'!$D:$D,"PSO")/SUMIF('caseload data'!$C:$C,'divisional &amp; regional caseload%'!$T$22,'caseload data'!L:L),"")</f>
        <v/>
      </c>
      <c r="AC25" s="167" t="str">
        <f>IFERROR(SUMIFS('caseload data'!M:M,'caseload data'!$C:$C,'divisional &amp; regional caseload%'!$T$22,'caseload data'!$D:$D,"PSO")/SUMIF('caseload data'!$C:$C,'divisional &amp; regional caseload%'!$T$22,'caseload data'!M:M),"")</f>
        <v/>
      </c>
      <c r="AD25" s="167" t="str">
        <f>IFERROR(SUMIFS('caseload data'!N:N,'caseload data'!$C:$C,'divisional &amp; regional caseload%'!$T$22,'caseload data'!$D:$D,"PSO")/SUMIF('caseload data'!$C:$C,'divisional &amp; regional caseload%'!$T$22,'caseload data'!N:N),"")</f>
        <v/>
      </c>
      <c r="AE25" s="167" t="str">
        <f>IFERROR(SUMIFS('caseload data'!O:O,'caseload data'!$C:$C,'divisional &amp; regional caseload%'!$T$22,'caseload data'!$D:$D,"PSO")/SUMIF('caseload data'!$C:$C,'divisional &amp; regional caseload%'!$T$22,'caseload data'!O:O),"")</f>
        <v/>
      </c>
      <c r="AF25" s="167" t="str">
        <f>IFERROR(SUMIFS('caseload data'!P:P,'caseload data'!$C:$C,'divisional &amp; regional caseload%'!$T$22,'caseload data'!$D:$D,"PSO")/SUMIF('caseload data'!$C:$C,'divisional &amp; regional caseload%'!$T$22,'caseload data'!P:P),"")</f>
        <v/>
      </c>
      <c r="AG25" s="167" t="str">
        <f>IFERROR(SUMIFS('caseload data'!Q:Q,'caseload data'!$C:$C,'divisional &amp; regional caseload%'!$T$22,'caseload data'!$D:$D,"PSO")/SUMIF('caseload data'!$C:$C,'divisional &amp; regional caseload%'!$T$22,'caseload data'!Q:Q),"")</f>
        <v/>
      </c>
      <c r="AH25" s="167" t="str">
        <f>IFERROR(SUMIFS('caseload data'!R:R,'caseload data'!$C:$C,'divisional &amp; regional caseload%'!$T$22,'caseload data'!$D:$D,"PSO")/SUMIF('caseload data'!$C:$C,'divisional &amp; regional caseload%'!$T$22,'caseload data'!R:R),"")</f>
        <v/>
      </c>
      <c r="AI25" s="167" t="str">
        <f>IFERROR(SUMIFS('caseload data'!S:S,'caseload data'!$C:$C,'divisional &amp; regional caseload%'!$T$22,'caseload data'!$D:$D,"PSO")/SUMIF('caseload data'!$C:$C,'divisional &amp; regional caseload%'!$T$22,'caseload data'!S:S),"")</f>
        <v/>
      </c>
      <c r="AJ25" s="167" t="str">
        <f>IFERROR(SUMIFS('caseload data'!T:T,'caseload data'!$C:$C,'divisional &amp; regional caseload%'!$T$22,'caseload data'!$D:$D,"PSO")/SUMIF('caseload data'!$C:$C,'divisional &amp; regional caseload%'!$T$22,'caseload data'!T:T),"")</f>
        <v/>
      </c>
    </row>
    <row r="26" spans="2:36" x14ac:dyDescent="0.15">
      <c r="B26" s="97" t="s">
        <v>1003</v>
      </c>
      <c r="C26" s="167" t="e">
        <f>SUMIFS('caseload data'!E:E,'caseload data'!$C:$C,'divisional &amp; regional caseload%'!$B$22,'caseload data'!$D:$D,"TPO")/SUMIF('caseload data'!$C:$C,'divisional &amp; regional caseload%'!$B$22,'caseload data'!E:E)</f>
        <v>#DIV/0!</v>
      </c>
      <c r="D26" s="167" t="e">
        <f>SUMIFS('caseload data'!F:F,'caseload data'!$C:$C,'divisional &amp; regional caseload%'!$B$22,'caseload data'!$D:$D,"TPO")/SUMIF('caseload data'!$C:$C,'divisional &amp; regional caseload%'!$B$22,'caseload data'!F:F)</f>
        <v>#DIV/0!</v>
      </c>
      <c r="E26" s="167" t="e">
        <f>SUMIFS('caseload data'!G:G,'caseload data'!$C:$C,'divisional &amp; regional caseload%'!$B$22,'caseload data'!$D:$D,"TPO")/SUMIF('caseload data'!$C:$C,'divisional &amp; regional caseload%'!$B$22,'caseload data'!G:G)</f>
        <v>#DIV/0!</v>
      </c>
      <c r="F26" s="167" t="e">
        <f>SUMIFS('caseload data'!H:H,'caseload data'!$C:$C,'divisional &amp; regional caseload%'!$B$22,'caseload data'!$D:$D,"TPO")/SUMIF('caseload data'!$C:$C,'divisional &amp; regional caseload%'!$B$22,'caseload data'!H:H)</f>
        <v>#DIV/0!</v>
      </c>
      <c r="G26" s="167" t="e">
        <f>SUMIFS('caseload data'!I:I,'caseload data'!$C:$C,'divisional &amp; regional caseload%'!$B$22,'caseload data'!$D:$D,"TPO")/SUMIF('caseload data'!$C:$C,'divisional &amp; regional caseload%'!$B$22,'caseload data'!I:I)</f>
        <v>#DIV/0!</v>
      </c>
      <c r="H26" s="167" t="e">
        <f>SUMIFS('caseload data'!J:J,'caseload data'!$C:$C,'divisional &amp; regional caseload%'!$B$22,'caseload data'!$D:$D,"TPO")/SUMIF('caseload data'!$C:$C,'divisional &amp; regional caseload%'!$B$22,'caseload data'!J:J)</f>
        <v>#DIV/0!</v>
      </c>
      <c r="I26" s="167" t="e">
        <f>SUMIFS('caseload data'!K:K,'caseload data'!$C:$C,'divisional &amp; regional caseload%'!$B$22,'caseload data'!$D:$D,"TPO")/SUMIF('caseload data'!$C:$C,'divisional &amp; regional caseload%'!$B$22,'caseload data'!K:K)</f>
        <v>#DIV/0!</v>
      </c>
      <c r="J26" s="167" t="e">
        <f>SUMIFS('caseload data'!L:L,'caseload data'!$C:$C,'divisional &amp; regional caseload%'!$B$22,'caseload data'!$D:$D,"TPO")/SUMIF('caseload data'!$C:$C,'divisional &amp; regional caseload%'!$B$22,'caseload data'!L:L)</f>
        <v>#DIV/0!</v>
      </c>
      <c r="K26" s="167" t="e">
        <f>SUMIFS('caseload data'!M:M,'caseload data'!$C:$C,'divisional &amp; regional caseload%'!$B$22,'caseload data'!$D:$D,"TPO")/SUMIF('caseload data'!$C:$C,'divisional &amp; regional caseload%'!$B$22,'caseload data'!M:M)</f>
        <v>#DIV/0!</v>
      </c>
      <c r="L26" s="167" t="e">
        <f>SUMIFS('caseload data'!N:N,'caseload data'!$C:$C,'divisional &amp; regional caseload%'!$B$22,'caseload data'!$D:$D,"TPO")/SUMIF('caseload data'!$C:$C,'divisional &amp; regional caseload%'!$B$22,'caseload data'!N:N)</f>
        <v>#DIV/0!</v>
      </c>
      <c r="M26" s="167" t="e">
        <f>SUMIFS('caseload data'!O:O,'caseload data'!$C:$C,'divisional &amp; regional caseload%'!$B$22,'caseload data'!$D:$D,"TPO")/SUMIF('caseload data'!$C:$C,'divisional &amp; regional caseload%'!$B$22,'caseload data'!O:O)</f>
        <v>#DIV/0!</v>
      </c>
      <c r="N26" s="167" t="e">
        <f>SUMIFS('caseload data'!P:P,'caseload data'!$C:$C,'divisional &amp; regional caseload%'!$B$22,'caseload data'!$D:$D,"TPO")/SUMIF('caseload data'!$C:$C,'divisional &amp; regional caseload%'!$B$22,'caseload data'!P:P)</f>
        <v>#DIV/0!</v>
      </c>
      <c r="O26" s="167" t="e">
        <f>SUMIFS('caseload data'!Q:Q,'caseload data'!$C:$C,'divisional &amp; regional caseload%'!$B$22,'caseload data'!$D:$D,"TPO")/SUMIF('caseload data'!$C:$C,'divisional &amp; regional caseload%'!$B$22,'caseload data'!Q:Q)</f>
        <v>#DIV/0!</v>
      </c>
      <c r="P26" s="167" t="e">
        <f>SUMIFS('caseload data'!R:R,'caseload data'!$C:$C,'divisional &amp; regional caseload%'!$B$22,'caseload data'!$D:$D,"TPO")/SUMIF('caseload data'!$C:$C,'divisional &amp; regional caseload%'!$B$22,'caseload data'!R:R)</f>
        <v>#DIV/0!</v>
      </c>
      <c r="Q26" s="167" t="e">
        <f>SUMIFS('caseload data'!S:S,'caseload data'!$C:$C,'divisional &amp; regional caseload%'!$B$22,'caseload data'!$D:$D,"TPO")/SUMIF('caseload data'!$C:$C,'divisional &amp; regional caseload%'!$B$22,'caseload data'!S:S)</f>
        <v>#DIV/0!</v>
      </c>
      <c r="R26" s="167" t="e">
        <f>SUMIFS('caseload data'!T:T,'caseload data'!$C:$C,'divisional &amp; regional caseload%'!$B$22,'caseload data'!$D:$D,"TPO")/SUMIF('caseload data'!$C:$C,'divisional &amp; regional caseload%'!$B$22,'caseload data'!T:T)</f>
        <v>#DIV/0!</v>
      </c>
      <c r="S26" s="64"/>
      <c r="T26" s="97" t="s">
        <v>1003</v>
      </c>
      <c r="U26" s="167" t="str">
        <f>IFERROR(SUMIFS('caseload data'!E:E,'caseload data'!$C:$C,'divisional &amp; regional caseload%'!$T$22,'caseload data'!$D:$D,"TPO")/SUMIF('caseload data'!$C:$C,'divisional &amp; regional caseload%'!$T$22,'caseload data'!E:E),"")</f>
        <v/>
      </c>
      <c r="V26" s="167" t="str">
        <f>IFERROR(SUMIFS('caseload data'!F:F,'caseload data'!$C:$C,'divisional &amp; regional caseload%'!$T$22,'caseload data'!$D:$D,"TPO")/SUMIF('caseload data'!$C:$C,'divisional &amp; regional caseload%'!$T$22,'caseload data'!F:F),"")</f>
        <v/>
      </c>
      <c r="W26" s="167" t="str">
        <f>IFERROR(SUMIFS('caseload data'!G:G,'caseload data'!$C:$C,'divisional &amp; regional caseload%'!$T$22,'caseload data'!$D:$D,"TPO")/SUMIF('caseload data'!$C:$C,'divisional &amp; regional caseload%'!$T$22,'caseload data'!G:G),"")</f>
        <v/>
      </c>
      <c r="X26" s="167" t="str">
        <f>IFERROR(SUMIFS('caseload data'!H:H,'caseload data'!$C:$C,'divisional &amp; regional caseload%'!$T$22,'caseload data'!$D:$D,"TPO")/SUMIF('caseload data'!$C:$C,'divisional &amp; regional caseload%'!$T$22,'caseload data'!H:H),"")</f>
        <v/>
      </c>
      <c r="Y26" s="167" t="str">
        <f>IFERROR(SUMIFS('caseload data'!I:I,'caseload data'!$C:$C,'divisional &amp; regional caseload%'!$T$22,'caseload data'!$D:$D,"TPO")/SUMIF('caseload data'!$C:$C,'divisional &amp; regional caseload%'!$T$22,'caseload data'!I:I),"")</f>
        <v/>
      </c>
      <c r="Z26" s="167" t="str">
        <f>IFERROR(SUMIFS('caseload data'!J:J,'caseload data'!$C:$C,'divisional &amp; regional caseload%'!$T$22,'caseload data'!$D:$D,"TPO")/SUMIF('caseload data'!$C:$C,'divisional &amp; regional caseload%'!$T$22,'caseload data'!J:J),"")</f>
        <v/>
      </c>
      <c r="AA26" s="167" t="str">
        <f>IFERROR(SUMIFS('caseload data'!K:K,'caseload data'!$C:$C,'divisional &amp; regional caseload%'!$T$22,'caseload data'!$D:$D,"TPO")/SUMIF('caseload data'!$C:$C,'divisional &amp; regional caseload%'!$T$22,'caseload data'!K:K),"")</f>
        <v/>
      </c>
      <c r="AB26" s="167" t="str">
        <f>IFERROR(SUMIFS('caseload data'!L:L,'caseload data'!$C:$C,'divisional &amp; regional caseload%'!$T$22,'caseload data'!$D:$D,"TPO")/SUMIF('caseload data'!$C:$C,'divisional &amp; regional caseload%'!$T$22,'caseload data'!L:L),"")</f>
        <v/>
      </c>
      <c r="AC26" s="167" t="str">
        <f>IFERROR(SUMIFS('caseload data'!M:M,'caseload data'!$C:$C,'divisional &amp; regional caseload%'!$T$22,'caseload data'!$D:$D,"TPO")/SUMIF('caseload data'!$C:$C,'divisional &amp; regional caseload%'!$T$22,'caseload data'!M:M),"")</f>
        <v/>
      </c>
      <c r="AD26" s="167" t="str">
        <f>IFERROR(SUMIFS('caseload data'!N:N,'caseload data'!$C:$C,'divisional &amp; regional caseload%'!$T$22,'caseload data'!$D:$D,"TPO")/SUMIF('caseload data'!$C:$C,'divisional &amp; regional caseload%'!$T$22,'caseload data'!N:N),"")</f>
        <v/>
      </c>
      <c r="AE26" s="167" t="str">
        <f>IFERROR(SUMIFS('caseload data'!O:O,'caseload data'!$C:$C,'divisional &amp; regional caseload%'!$T$22,'caseload data'!$D:$D,"TPO")/SUMIF('caseload data'!$C:$C,'divisional &amp; regional caseload%'!$T$22,'caseload data'!O:O),"")</f>
        <v/>
      </c>
      <c r="AF26" s="167" t="str">
        <f>IFERROR(SUMIFS('caseload data'!P:P,'caseload data'!$C:$C,'divisional &amp; regional caseload%'!$T$22,'caseload data'!$D:$D,"TPO")/SUMIF('caseload data'!$C:$C,'divisional &amp; regional caseload%'!$T$22,'caseload data'!P:P),"")</f>
        <v/>
      </c>
      <c r="AG26" s="167" t="str">
        <f>IFERROR(SUMIFS('caseload data'!Q:Q,'caseload data'!$C:$C,'divisional &amp; regional caseload%'!$T$22,'caseload data'!$D:$D,"TPO")/SUMIF('caseload data'!$C:$C,'divisional &amp; regional caseload%'!$T$22,'caseload data'!Q:Q),"")</f>
        <v/>
      </c>
      <c r="AH26" s="167" t="str">
        <f>IFERROR(SUMIFS('caseload data'!R:R,'caseload data'!$C:$C,'divisional &amp; regional caseload%'!$T$22,'caseload data'!$D:$D,"TPO")/SUMIF('caseload data'!$C:$C,'divisional &amp; regional caseload%'!$T$22,'caseload data'!R:R),"")</f>
        <v/>
      </c>
      <c r="AI26" s="167" t="str">
        <f>IFERROR(SUMIFS('caseload data'!S:S,'caseload data'!$C:$C,'divisional &amp; regional caseload%'!$T$22,'caseload data'!$D:$D,"TPO")/SUMIF('caseload data'!$C:$C,'divisional &amp; regional caseload%'!$T$22,'caseload data'!S:S),"")</f>
        <v/>
      </c>
      <c r="AJ26" s="167" t="str">
        <f>IFERROR(SUMIFS('caseload data'!T:T,'caseload data'!$C:$C,'divisional &amp; regional caseload%'!$T$22,'caseload data'!$D:$D,"TPO")/SUMIF('caseload data'!$C:$C,'divisional &amp; regional caseload%'!$T$22,'caseload data'!T:T),"")</f>
        <v/>
      </c>
    </row>
    <row r="27" spans="2:36" x14ac:dyDescent="0.15">
      <c r="B27" s="98" t="s">
        <v>1004</v>
      </c>
      <c r="C27" s="167" t="e">
        <f>SUMIFS('caseload data'!E:E,'caseload data'!$C:$C,'divisional &amp; regional caseload%'!$B$22,'caseload data'!$D:$D,"SPO")/SUMIF('caseload data'!$C:$C,'divisional &amp; regional caseload%'!$B$22,'caseload data'!E:E)</f>
        <v>#DIV/0!</v>
      </c>
      <c r="D27" s="167" t="e">
        <f>SUMIFS('caseload data'!F:F,'caseload data'!$C:$C,'divisional &amp; regional caseload%'!$B$22,'caseload data'!$D:$D,"SPO")/SUMIF('caseload data'!$C:$C,'divisional &amp; regional caseload%'!$B$22,'caseload data'!F:F)</f>
        <v>#DIV/0!</v>
      </c>
      <c r="E27" s="167" t="e">
        <f>SUMIFS('caseload data'!G:G,'caseload data'!$C:$C,'divisional &amp; regional caseload%'!$B$22,'caseload data'!$D:$D,"SPO")/SUMIF('caseload data'!$C:$C,'divisional &amp; regional caseload%'!$B$22,'caseload data'!G:G)</f>
        <v>#DIV/0!</v>
      </c>
      <c r="F27" s="167" t="e">
        <f>SUMIFS('caseload data'!H:H,'caseload data'!$C:$C,'divisional &amp; regional caseload%'!$B$22,'caseload data'!$D:$D,"SPO")/SUMIF('caseload data'!$C:$C,'divisional &amp; regional caseload%'!$B$22,'caseload data'!H:H)</f>
        <v>#DIV/0!</v>
      </c>
      <c r="G27" s="167" t="e">
        <f>SUMIFS('caseload data'!I:I,'caseload data'!$C:$C,'divisional &amp; regional caseload%'!$B$22,'caseload data'!$D:$D,"SPO")/SUMIF('caseload data'!$C:$C,'divisional &amp; regional caseload%'!$B$22,'caseload data'!I:I)</f>
        <v>#DIV/0!</v>
      </c>
      <c r="H27" s="167" t="e">
        <f>SUMIFS('caseload data'!J:J,'caseload data'!$C:$C,'divisional &amp; regional caseload%'!$B$22,'caseload data'!$D:$D,"SPO")/SUMIF('caseload data'!$C:$C,'divisional &amp; regional caseload%'!$B$22,'caseload data'!J:J)</f>
        <v>#DIV/0!</v>
      </c>
      <c r="I27" s="167" t="e">
        <f>SUMIFS('caseload data'!K:K,'caseload data'!$C:$C,'divisional &amp; regional caseload%'!$B$22,'caseload data'!$D:$D,"SPO")/SUMIF('caseload data'!$C:$C,'divisional &amp; regional caseload%'!$B$22,'caseload data'!K:K)</f>
        <v>#DIV/0!</v>
      </c>
      <c r="J27" s="167" t="e">
        <f>SUMIFS('caseload data'!L:L,'caseload data'!$C:$C,'divisional &amp; regional caseload%'!$B$22,'caseload data'!$D:$D,"SPO")/SUMIF('caseload data'!$C:$C,'divisional &amp; regional caseload%'!$B$22,'caseload data'!L:L)</f>
        <v>#DIV/0!</v>
      </c>
      <c r="K27" s="167" t="e">
        <f>SUMIFS('caseload data'!M:M,'caseload data'!$C:$C,'divisional &amp; regional caseload%'!$B$22,'caseload data'!$D:$D,"SPO")/SUMIF('caseload data'!$C:$C,'divisional &amp; regional caseload%'!$B$22,'caseload data'!M:M)</f>
        <v>#DIV/0!</v>
      </c>
      <c r="L27" s="167" t="e">
        <f>SUMIFS('caseload data'!N:N,'caseload data'!$C:$C,'divisional &amp; regional caseload%'!$B$22,'caseload data'!$D:$D,"SPO")/SUMIF('caseload data'!$C:$C,'divisional &amp; regional caseload%'!$B$22,'caseload data'!N:N)</f>
        <v>#DIV/0!</v>
      </c>
      <c r="M27" s="167" t="e">
        <f>SUMIFS('caseload data'!O:O,'caseload data'!$C:$C,'divisional &amp; regional caseload%'!$B$22,'caseload data'!$D:$D,"SPO")/SUMIF('caseload data'!$C:$C,'divisional &amp; regional caseload%'!$B$22,'caseload data'!O:O)</f>
        <v>#DIV/0!</v>
      </c>
      <c r="N27" s="167" t="e">
        <f>SUMIFS('caseload data'!P:P,'caseload data'!$C:$C,'divisional &amp; regional caseload%'!$B$22,'caseload data'!$D:$D,"SPO")/SUMIF('caseload data'!$C:$C,'divisional &amp; regional caseload%'!$B$22,'caseload data'!P:P)</f>
        <v>#DIV/0!</v>
      </c>
      <c r="O27" s="167" t="e">
        <f>SUMIFS('caseload data'!Q:Q,'caseload data'!$C:$C,'divisional &amp; regional caseload%'!$B$22,'caseload data'!$D:$D,"SPO")/SUMIF('caseload data'!$C:$C,'divisional &amp; regional caseload%'!$B$22,'caseload data'!Q:Q)</f>
        <v>#DIV/0!</v>
      </c>
      <c r="P27" s="167" t="e">
        <f>SUMIFS('caseload data'!R:R,'caseload data'!$C:$C,'divisional &amp; regional caseload%'!$B$22,'caseload data'!$D:$D,"SPO")/SUMIF('caseload data'!$C:$C,'divisional &amp; regional caseload%'!$B$22,'caseload data'!R:R)</f>
        <v>#DIV/0!</v>
      </c>
      <c r="Q27" s="167" t="e">
        <f>SUMIFS('caseload data'!S:S,'caseload data'!$C:$C,'divisional &amp; regional caseload%'!$B$22,'caseload data'!$D:$D,"SPO")/SUMIF('caseload data'!$C:$C,'divisional &amp; regional caseload%'!$B$22,'caseload data'!S:S)</f>
        <v>#DIV/0!</v>
      </c>
      <c r="R27" s="167" t="e">
        <f>SUMIFS('caseload data'!T:T,'caseload data'!$C:$C,'divisional &amp; regional caseload%'!$B$22,'caseload data'!$D:$D,"SPO")/SUMIF('caseload data'!$C:$C,'divisional &amp; regional caseload%'!$B$22,'caseload data'!T:T)</f>
        <v>#DIV/0!</v>
      </c>
      <c r="S27" s="64"/>
      <c r="T27" s="98" t="s">
        <v>1004</v>
      </c>
      <c r="U27" s="167" t="str">
        <f>IFERROR(SUMIFS('caseload data'!E:E,'caseload data'!$C:$C,'divisional &amp; regional caseload%'!$T$22,'caseload data'!$D:$D,"SPO")/SUMIF('caseload data'!$C:$C,'divisional &amp; regional caseload%'!$T$22,'caseload data'!E:E),"")</f>
        <v/>
      </c>
      <c r="V27" s="167" t="str">
        <f>IFERROR(SUMIFS('caseload data'!F:F,'caseload data'!$C:$C,'divisional &amp; regional caseload%'!$T$22,'caseload data'!$D:$D,"SPO")/SUMIF('caseload data'!$C:$C,'divisional &amp; regional caseload%'!$T$22,'caseload data'!F:F),"")</f>
        <v/>
      </c>
      <c r="W27" s="167" t="str">
        <f>IFERROR(SUMIFS('caseload data'!G:G,'caseload data'!$C:$C,'divisional &amp; regional caseload%'!$T$22,'caseload data'!$D:$D,"SPO")/SUMIF('caseload data'!$C:$C,'divisional &amp; regional caseload%'!$T$22,'caseload data'!G:G),"")</f>
        <v/>
      </c>
      <c r="X27" s="167" t="str">
        <f>IFERROR(SUMIFS('caseload data'!H:H,'caseload data'!$C:$C,'divisional &amp; regional caseload%'!$T$22,'caseload data'!$D:$D,"SPO")/SUMIF('caseload data'!$C:$C,'divisional &amp; regional caseload%'!$T$22,'caseload data'!H:H),"")</f>
        <v/>
      </c>
      <c r="Y27" s="167" t="str">
        <f>IFERROR(SUMIFS('caseload data'!I:I,'caseload data'!$C:$C,'divisional &amp; regional caseload%'!$T$22,'caseload data'!$D:$D,"SPO")/SUMIF('caseload data'!$C:$C,'divisional &amp; regional caseload%'!$T$22,'caseload data'!I:I),"")</f>
        <v/>
      </c>
      <c r="Z27" s="167" t="str">
        <f>IFERROR(SUMIFS('caseload data'!J:J,'caseload data'!$C:$C,'divisional &amp; regional caseload%'!$T$22,'caseload data'!$D:$D,"SPO")/SUMIF('caseload data'!$C:$C,'divisional &amp; regional caseload%'!$T$22,'caseload data'!J:J),"")</f>
        <v/>
      </c>
      <c r="AA27" s="167" t="str">
        <f>IFERROR(SUMIFS('caseload data'!K:K,'caseload data'!$C:$C,'divisional &amp; regional caseload%'!$T$22,'caseload data'!$D:$D,"SPO")/SUMIF('caseload data'!$C:$C,'divisional &amp; regional caseload%'!$T$22,'caseload data'!K:K),"")</f>
        <v/>
      </c>
      <c r="AB27" s="167" t="str">
        <f>IFERROR(SUMIFS('caseload data'!L:L,'caseload data'!$C:$C,'divisional &amp; regional caseload%'!$T$22,'caseload data'!$D:$D,"SPO")/SUMIF('caseload data'!$C:$C,'divisional &amp; regional caseload%'!$T$22,'caseload data'!L:L),"")</f>
        <v/>
      </c>
      <c r="AC27" s="167" t="str">
        <f>IFERROR(SUMIFS('caseload data'!M:M,'caseload data'!$C:$C,'divisional &amp; regional caseload%'!$T$22,'caseload data'!$D:$D,"SPO")/SUMIF('caseload data'!$C:$C,'divisional &amp; regional caseload%'!$T$22,'caseload data'!M:M),"")</f>
        <v/>
      </c>
      <c r="AD27" s="167" t="str">
        <f>IFERROR(SUMIFS('caseload data'!N:N,'caseload data'!$C:$C,'divisional &amp; regional caseload%'!$T$22,'caseload data'!$D:$D,"SPO")/SUMIF('caseload data'!$C:$C,'divisional &amp; regional caseload%'!$T$22,'caseload data'!N:N),"")</f>
        <v/>
      </c>
      <c r="AE27" s="167" t="str">
        <f>IFERROR(SUMIFS('caseload data'!O:O,'caseload data'!$C:$C,'divisional &amp; regional caseload%'!$T$22,'caseload data'!$D:$D,"SPO")/SUMIF('caseload data'!$C:$C,'divisional &amp; regional caseload%'!$T$22,'caseload data'!O:O),"")</f>
        <v/>
      </c>
      <c r="AF27" s="167" t="str">
        <f>IFERROR(SUMIFS('caseload data'!P:P,'caseload data'!$C:$C,'divisional &amp; regional caseload%'!$T$22,'caseload data'!$D:$D,"SPO")/SUMIF('caseload data'!$C:$C,'divisional &amp; regional caseload%'!$T$22,'caseload data'!P:P),"")</f>
        <v/>
      </c>
      <c r="AG27" s="167" t="str">
        <f>IFERROR(SUMIFS('caseload data'!Q:Q,'caseload data'!$C:$C,'divisional &amp; regional caseload%'!$T$22,'caseload data'!$D:$D,"SPO")/SUMIF('caseload data'!$C:$C,'divisional &amp; regional caseload%'!$T$22,'caseload data'!Q:Q),"")</f>
        <v/>
      </c>
      <c r="AH27" s="167" t="str">
        <f>IFERROR(SUMIFS('caseload data'!R:R,'caseload data'!$C:$C,'divisional &amp; regional caseload%'!$T$22,'caseload data'!$D:$D,"SPO")/SUMIF('caseload data'!$C:$C,'divisional &amp; regional caseload%'!$T$22,'caseload data'!R:R),"")</f>
        <v/>
      </c>
      <c r="AI27" s="167" t="str">
        <f>IFERROR(SUMIFS('caseload data'!S:S,'caseload data'!$C:$C,'divisional &amp; regional caseload%'!$T$22,'caseload data'!$D:$D,"SPO")/SUMIF('caseload data'!$C:$C,'divisional &amp; regional caseload%'!$T$22,'caseload data'!S:S),"")</f>
        <v/>
      </c>
      <c r="AJ27" s="167" t="str">
        <f>IFERROR(SUMIFS('caseload data'!T:T,'caseload data'!$C:$C,'divisional &amp; regional caseload%'!$T$22,'caseload data'!$D:$D,"SPO")/SUMIF('caseload data'!$C:$C,'divisional &amp; regional caseload%'!$T$22,'caseload data'!T:T),"")</f>
        <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15">
      <c r="B29" s="289" t="str">
        <f>HLOOKUP($B$5,Region_Table,8,0)</f>
        <v>Nottinghamshire - N53</v>
      </c>
      <c r="C29" s="525" t="s">
        <v>1096</v>
      </c>
      <c r="D29" s="526"/>
      <c r="E29" s="526"/>
      <c r="F29" s="526"/>
      <c r="G29" s="526"/>
      <c r="H29" s="526"/>
      <c r="I29" s="526"/>
      <c r="J29" s="526"/>
      <c r="K29" s="526"/>
      <c r="L29" s="526"/>
      <c r="M29" s="527"/>
      <c r="N29" s="527"/>
      <c r="O29" s="528"/>
      <c r="P29" s="512">
        <f>SUMIF('caseload data'!$C:$C,'divisional &amp; regional caseload%'!B29,'caseload data'!V:V)</f>
        <v>0</v>
      </c>
      <c r="Q29" s="529"/>
      <c r="R29" s="530"/>
      <c r="S29" s="64"/>
      <c r="T29" s="289" t="str">
        <f>HLOOKUP($B$5,Region_Table,9,0)</f>
        <v>Unpaid Work and Attendance Centres - N53</v>
      </c>
      <c r="U29" s="525" t="s">
        <v>1096</v>
      </c>
      <c r="V29" s="526"/>
      <c r="W29" s="526"/>
      <c r="X29" s="526"/>
      <c r="Y29" s="526"/>
      <c r="Z29" s="526"/>
      <c r="AA29" s="526"/>
      <c r="AB29" s="526"/>
      <c r="AC29" s="526"/>
      <c r="AD29" s="526"/>
      <c r="AE29" s="527"/>
      <c r="AF29" s="527"/>
      <c r="AG29" s="528"/>
      <c r="AH29" s="512">
        <f>SUMIF('caseload data'!$C:$C,'divisional &amp; regional caseload%'!T29,'caseload data'!V:V)</f>
        <v>0</v>
      </c>
      <c r="AI29" s="529"/>
      <c r="AJ29" s="530"/>
    </row>
    <row r="30" spans="2:36" x14ac:dyDescent="0.15">
      <c r="B30" s="95" t="s">
        <v>1001</v>
      </c>
      <c r="C30" s="38" t="s">
        <v>864</v>
      </c>
      <c r="D30" s="38" t="s">
        <v>865</v>
      </c>
      <c r="E30" s="38" t="s">
        <v>866</v>
      </c>
      <c r="F30" s="38" t="s">
        <v>867</v>
      </c>
      <c r="G30" s="38" t="s">
        <v>868</v>
      </c>
      <c r="H30" s="38" t="s">
        <v>869</v>
      </c>
      <c r="I30" s="38" t="s">
        <v>870</v>
      </c>
      <c r="J30" s="38" t="s">
        <v>871</v>
      </c>
      <c r="K30" s="38" t="s">
        <v>872</v>
      </c>
      <c r="L30" s="38" t="s">
        <v>873</v>
      </c>
      <c r="M30" s="38" t="s">
        <v>874</v>
      </c>
      <c r="N30" s="38" t="s">
        <v>875</v>
      </c>
      <c r="O30" s="38" t="s">
        <v>876</v>
      </c>
      <c r="P30" s="38" t="s">
        <v>877</v>
      </c>
      <c r="Q30" s="38" t="s">
        <v>878</v>
      </c>
      <c r="R30" s="38" t="s">
        <v>879</v>
      </c>
      <c r="S30" s="64"/>
      <c r="T30" s="95" t="s">
        <v>1001</v>
      </c>
      <c r="U30" s="38" t="s">
        <v>864</v>
      </c>
      <c r="V30" s="38" t="s">
        <v>865</v>
      </c>
      <c r="W30" s="38" t="s">
        <v>866</v>
      </c>
      <c r="X30" s="38" t="s">
        <v>867</v>
      </c>
      <c r="Y30" s="38" t="s">
        <v>868</v>
      </c>
      <c r="Z30" s="38" t="s">
        <v>869</v>
      </c>
      <c r="AA30" s="38" t="s">
        <v>870</v>
      </c>
      <c r="AB30" s="38" t="s">
        <v>871</v>
      </c>
      <c r="AC30" s="38" t="s">
        <v>872</v>
      </c>
      <c r="AD30" s="38" t="s">
        <v>873</v>
      </c>
      <c r="AE30" s="38" t="s">
        <v>874</v>
      </c>
      <c r="AF30" s="38" t="s">
        <v>875</v>
      </c>
      <c r="AG30" s="38" t="s">
        <v>876</v>
      </c>
      <c r="AH30" s="38" t="s">
        <v>877</v>
      </c>
      <c r="AI30" s="38" t="s">
        <v>878</v>
      </c>
      <c r="AJ30" s="38" t="s">
        <v>879</v>
      </c>
    </row>
    <row r="31" spans="2:36" x14ac:dyDescent="0.15">
      <c r="B31" s="96" t="s">
        <v>997</v>
      </c>
      <c r="C31" s="167" t="str">
        <f>IFERROR(SUMIFS('caseload data'!E:E,'caseload data'!$C:$C,'divisional &amp; regional caseload%'!$B$29,'caseload data'!$D:$D,"PO")/SUMIF('caseload data'!$C:$C,'divisional &amp; regional caseload%'!$B$29,'caseload data'!E:E),"")</f>
        <v/>
      </c>
      <c r="D31" s="167" t="str">
        <f>IFERROR(SUMIFS('caseload data'!F:F,'caseload data'!$C:$C,'divisional &amp; regional caseload%'!$B$29,'caseload data'!$D:$D,"PO")/SUMIF('caseload data'!$C:$C,'divisional &amp; regional caseload%'!$B$29,'caseload data'!F:F),"")</f>
        <v/>
      </c>
      <c r="E31" s="167" t="str">
        <f>IFERROR(SUMIFS('caseload data'!G:G,'caseload data'!$C:$C,'divisional &amp; regional caseload%'!$B$29,'caseload data'!$D:$D,"PO")/SUMIF('caseload data'!$C:$C,'divisional &amp; regional caseload%'!$B$29,'caseload data'!G:G),"")</f>
        <v/>
      </c>
      <c r="F31" s="167" t="str">
        <f>IFERROR(SUMIFS('caseload data'!H:H,'caseload data'!$C:$C,'divisional &amp; regional caseload%'!$B$29,'caseload data'!$D:$D,"PO")/SUMIF('caseload data'!$C:$C,'divisional &amp; regional caseload%'!$B$29,'caseload data'!H:H),"")</f>
        <v/>
      </c>
      <c r="G31" s="167" t="str">
        <f>IFERROR(SUMIFS('caseload data'!I:I,'caseload data'!$C:$C,'divisional &amp; regional caseload%'!$B$29,'caseload data'!$D:$D,"PO")/SUMIF('caseload data'!$C:$C,'divisional &amp; regional caseload%'!$B$29,'caseload data'!I:I),"")</f>
        <v/>
      </c>
      <c r="H31" s="167" t="str">
        <f>IFERROR(SUMIFS('caseload data'!J:J,'caseload data'!$C:$C,'divisional &amp; regional caseload%'!$B$29,'caseload data'!$D:$D,"PO")/SUMIF('caseload data'!$C:$C,'divisional &amp; regional caseload%'!$B$29,'caseload data'!J:J),"")</f>
        <v/>
      </c>
      <c r="I31" s="167" t="str">
        <f>IFERROR(SUMIFS('caseload data'!K:K,'caseload data'!$C:$C,'divisional &amp; regional caseload%'!$B$29,'caseload data'!$D:$D,"PO")/SUMIF('caseload data'!$C:$C,'divisional &amp; regional caseload%'!$B$29,'caseload data'!K:K),"")</f>
        <v/>
      </c>
      <c r="J31" s="167" t="str">
        <f>IFERROR(SUMIFS('caseload data'!L:L,'caseload data'!$C:$C,'divisional &amp; regional caseload%'!$B$29,'caseload data'!$D:$D,"PO")/SUMIF('caseload data'!$C:$C,'divisional &amp; regional caseload%'!$B$29,'caseload data'!L:L),"")</f>
        <v/>
      </c>
      <c r="K31" s="167" t="str">
        <f>IFERROR(SUMIFS('caseload data'!M:M,'caseload data'!$C:$C,'divisional &amp; regional caseload%'!$B$29,'caseload data'!$D:$D,"PO")/SUMIF('caseload data'!$C:$C,'divisional &amp; regional caseload%'!$B$29,'caseload data'!M:M),"")</f>
        <v/>
      </c>
      <c r="L31" s="167" t="str">
        <f>IFERROR(SUMIFS('caseload data'!N:N,'caseload data'!$C:$C,'divisional &amp; regional caseload%'!$B$29,'caseload data'!$D:$D,"PO")/SUMIF('caseload data'!$C:$C,'divisional &amp; regional caseload%'!$B$29,'caseload data'!N:N),"")</f>
        <v/>
      </c>
      <c r="M31" s="167" t="str">
        <f>IFERROR(SUMIFS('caseload data'!O:O,'caseload data'!$C:$C,'divisional &amp; regional caseload%'!$B$29,'caseload data'!$D:$D,"PO")/SUMIF('caseload data'!$C:$C,'divisional &amp; regional caseload%'!$B$29,'caseload data'!O:O),"")</f>
        <v/>
      </c>
      <c r="N31" s="167" t="str">
        <f>IFERROR(SUMIFS('caseload data'!P:P,'caseload data'!$C:$C,'divisional &amp; regional caseload%'!$B$29,'caseload data'!$D:$D,"PO")/SUMIF('caseload data'!$C:$C,'divisional &amp; regional caseload%'!$B$29,'caseload data'!P:P),"")</f>
        <v/>
      </c>
      <c r="O31" s="167" t="str">
        <f>IFERROR(SUMIFS('caseload data'!Q:Q,'caseload data'!$C:$C,'divisional &amp; regional caseload%'!$B$29,'caseload data'!$D:$D,"PO")/SUMIF('caseload data'!$C:$C,'divisional &amp; regional caseload%'!$B$29,'caseload data'!Q:Q),"")</f>
        <v/>
      </c>
      <c r="P31" s="167" t="str">
        <f>IFERROR(SUMIFS('caseload data'!R:R,'caseload data'!$C:$C,'divisional &amp; regional caseload%'!$B$29,'caseload data'!$D:$D,"PO")/SUMIF('caseload data'!$C:$C,'divisional &amp; regional caseload%'!$B$29,'caseload data'!R:R),"")</f>
        <v/>
      </c>
      <c r="Q31" s="167" t="str">
        <f>IFERROR(SUMIFS('caseload data'!S:S,'caseload data'!$C:$C,'divisional &amp; regional caseload%'!$B$29,'caseload data'!$D:$D,"PO")/SUMIF('caseload data'!$C:$C,'divisional &amp; regional caseload%'!$B$29,'caseload data'!S:S),"")</f>
        <v/>
      </c>
      <c r="R31" s="167" t="str">
        <f>IFERROR(SUMIFS('caseload data'!T:T,'caseload data'!$C:$C,'divisional &amp; regional caseload%'!$B$29,'caseload data'!$D:$D,"PO")/SUMIF('caseload data'!$C:$C,'divisional &amp; regional caseload%'!$B$29,'caseload data'!T:T),"")</f>
        <v/>
      </c>
      <c r="S31" s="64"/>
      <c r="T31" s="96" t="s">
        <v>997</v>
      </c>
      <c r="U31" s="167" t="str">
        <f>IFERROR(SUMIFS('caseload data'!E:E,'caseload data'!$C:$C,'divisional &amp; regional caseload%'!$T$29,'caseload data'!$D:$D,"PO")/SUMIF('caseload data'!$C:$C,'divisional &amp; regional caseload%'!$T$29,'caseload data'!E:E),"")</f>
        <v/>
      </c>
      <c r="V31" s="167" t="str">
        <f>IFERROR(SUMIFS('caseload data'!F:F,'caseload data'!$C:$C,'divisional &amp; regional caseload%'!$T$29,'caseload data'!$D:$D,"PO")/SUMIF('caseload data'!$C:$C,'divisional &amp; regional caseload%'!$T$29,'caseload data'!F:F),"")</f>
        <v/>
      </c>
      <c r="W31" s="167" t="str">
        <f>IFERROR(SUMIFS('caseload data'!G:G,'caseload data'!$C:$C,'divisional &amp; regional caseload%'!$T$29,'caseload data'!$D:$D,"PO")/SUMIF('caseload data'!$C:$C,'divisional &amp; regional caseload%'!$T$29,'caseload data'!G:G),"")</f>
        <v/>
      </c>
      <c r="X31" s="167" t="str">
        <f>IFERROR(SUMIFS('caseload data'!H:H,'caseload data'!$C:$C,'divisional &amp; regional caseload%'!$T$29,'caseload data'!$D:$D,"PO")/SUMIF('caseload data'!$C:$C,'divisional &amp; regional caseload%'!$T$29,'caseload data'!H:H),"")</f>
        <v/>
      </c>
      <c r="Y31" s="167" t="str">
        <f>IFERROR(SUMIFS('caseload data'!I:I,'caseload data'!$C:$C,'divisional &amp; regional caseload%'!$T$29,'caseload data'!$D:$D,"PO")/SUMIF('caseload data'!$C:$C,'divisional &amp; regional caseload%'!$T$29,'caseload data'!I:I),"")</f>
        <v/>
      </c>
      <c r="Z31" s="167" t="str">
        <f>IFERROR(SUMIFS('caseload data'!J:J,'caseload data'!$C:$C,'divisional &amp; regional caseload%'!$T$29,'caseload data'!$D:$D,"PO")/SUMIF('caseload data'!$C:$C,'divisional &amp; regional caseload%'!$T$29,'caseload data'!J:J),"")</f>
        <v/>
      </c>
      <c r="AA31" s="167" t="str">
        <f>IFERROR(SUMIFS('caseload data'!K:K,'caseload data'!$C:$C,'divisional &amp; regional caseload%'!$T$29,'caseload data'!$D:$D,"PO")/SUMIF('caseload data'!$C:$C,'divisional &amp; regional caseload%'!$T$29,'caseload data'!K:K),"")</f>
        <v/>
      </c>
      <c r="AB31" s="167" t="str">
        <f>IFERROR(SUMIFS('caseload data'!L:L,'caseload data'!$C:$C,'divisional &amp; regional caseload%'!$T$29,'caseload data'!$D:$D,"PO")/SUMIF('caseload data'!$C:$C,'divisional &amp; regional caseload%'!$T$29,'caseload data'!L:L),"")</f>
        <v/>
      </c>
      <c r="AC31" s="167" t="str">
        <f>IFERROR(SUMIFS('caseload data'!M:M,'caseload data'!$C:$C,'divisional &amp; regional caseload%'!$T$29,'caseload data'!$D:$D,"PO")/SUMIF('caseload data'!$C:$C,'divisional &amp; regional caseload%'!$T$29,'caseload data'!M:M),"")</f>
        <v/>
      </c>
      <c r="AD31" s="167" t="str">
        <f>IFERROR(SUMIFS('caseload data'!N:N,'caseload data'!$C:$C,'divisional &amp; regional caseload%'!$T$29,'caseload data'!$D:$D,"PO")/SUMIF('caseload data'!$C:$C,'divisional &amp; regional caseload%'!$T$29,'caseload data'!N:N),"")</f>
        <v/>
      </c>
      <c r="AE31" s="167" t="str">
        <f>IFERROR(SUMIFS('caseload data'!O:O,'caseload data'!$C:$C,'divisional &amp; regional caseload%'!$T$29,'caseload data'!$D:$D,"PO")/SUMIF('caseload data'!$C:$C,'divisional &amp; regional caseload%'!$T$29,'caseload data'!O:O),"")</f>
        <v/>
      </c>
      <c r="AF31" s="167" t="str">
        <f>IFERROR(SUMIFS('caseload data'!P:P,'caseload data'!$C:$C,'divisional &amp; regional caseload%'!$T$29,'caseload data'!$D:$D,"PO")/SUMIF('caseload data'!$C:$C,'divisional &amp; regional caseload%'!$T$29,'caseload data'!P:P),"")</f>
        <v/>
      </c>
      <c r="AG31" s="167" t="str">
        <f>IFERROR(SUMIFS('caseload data'!Q:Q,'caseload data'!$C:$C,'divisional &amp; regional caseload%'!$T$29,'caseload data'!$D:$D,"PO")/SUMIF('caseload data'!$C:$C,'divisional &amp; regional caseload%'!$T$29,'caseload data'!Q:Q),"")</f>
        <v/>
      </c>
      <c r="AH31" s="167" t="str">
        <f>IFERROR(SUMIFS('caseload data'!R:R,'caseload data'!$C:$C,'divisional &amp; regional caseload%'!$T$29,'caseload data'!$D:$D,"PO")/SUMIF('caseload data'!$C:$C,'divisional &amp; regional caseload%'!$T$29,'caseload data'!R:R),"")</f>
        <v/>
      </c>
      <c r="AI31" s="167" t="str">
        <f>IFERROR(SUMIFS('caseload data'!S:S,'caseload data'!$C:$C,'divisional &amp; regional caseload%'!$T$29,'caseload data'!$D:$D,"PO")/SUMIF('caseload data'!$C:$C,'divisional &amp; regional caseload%'!$T$29,'caseload data'!S:S),"")</f>
        <v/>
      </c>
      <c r="AJ31" s="167" t="str">
        <f>IFERROR(SUMIFS('caseload data'!T:T,'caseload data'!$C:$C,'divisional &amp; regional caseload%'!$T$29,'caseload data'!$D:$D,"PO")/SUMIF('caseload data'!$C:$C,'divisional &amp; regional caseload%'!$T$29,'caseload data'!T:T),"")</f>
        <v/>
      </c>
    </row>
    <row r="32" spans="2:36" x14ac:dyDescent="0.15">
      <c r="B32" s="97" t="s">
        <v>1002</v>
      </c>
      <c r="C32" s="167" t="str">
        <f>IFERROR(SUMIFS('caseload data'!E:E,'caseload data'!$C:$C,'divisional &amp; regional caseload%'!$B$29,'caseload data'!$D:$D,"PSO")/SUMIF('caseload data'!$C:$C,'divisional &amp; regional caseload%'!$B$29,'caseload data'!E:E),"")</f>
        <v/>
      </c>
      <c r="D32" s="167" t="str">
        <f>IFERROR(SUMIFS('caseload data'!F:F,'caseload data'!$C:$C,'divisional &amp; regional caseload%'!$B$29,'caseload data'!$D:$D,"PSO")/SUMIF('caseload data'!$C:$C,'divisional &amp; regional caseload%'!$B$29,'caseload data'!F:F),"")</f>
        <v/>
      </c>
      <c r="E32" s="167" t="str">
        <f>IFERROR(SUMIFS('caseload data'!G:G,'caseload data'!$C:$C,'divisional &amp; regional caseload%'!$B$29,'caseload data'!$D:$D,"PSO")/SUMIF('caseload data'!$C:$C,'divisional &amp; regional caseload%'!$B$29,'caseload data'!G:G),"")</f>
        <v/>
      </c>
      <c r="F32" s="167" t="str">
        <f>IFERROR(SUMIFS('caseload data'!H:H,'caseload data'!$C:$C,'divisional &amp; regional caseload%'!$B$29,'caseload data'!$D:$D,"PSO")/SUMIF('caseload data'!$C:$C,'divisional &amp; regional caseload%'!$B$29,'caseload data'!H:H),"")</f>
        <v/>
      </c>
      <c r="G32" s="167" t="str">
        <f>IFERROR(SUMIFS('caseload data'!I:I,'caseload data'!$C:$C,'divisional &amp; regional caseload%'!$B$29,'caseload data'!$D:$D,"PSO")/SUMIF('caseload data'!$C:$C,'divisional &amp; regional caseload%'!$B$29,'caseload data'!I:I),"")</f>
        <v/>
      </c>
      <c r="H32" s="167" t="str">
        <f>IFERROR(SUMIFS('caseload data'!J:J,'caseload data'!$C:$C,'divisional &amp; regional caseload%'!$B$29,'caseload data'!$D:$D,"PSO")/SUMIF('caseload data'!$C:$C,'divisional &amp; regional caseload%'!$B$29,'caseload data'!J:J),"")</f>
        <v/>
      </c>
      <c r="I32" s="167" t="str">
        <f>IFERROR(SUMIFS('caseload data'!K:K,'caseload data'!$C:$C,'divisional &amp; regional caseload%'!$B$29,'caseload data'!$D:$D,"PSO")/SUMIF('caseload data'!$C:$C,'divisional &amp; regional caseload%'!$B$29,'caseload data'!K:K),"")</f>
        <v/>
      </c>
      <c r="J32" s="167" t="str">
        <f>IFERROR(SUMIFS('caseload data'!L:L,'caseload data'!$C:$C,'divisional &amp; regional caseload%'!$B$29,'caseload data'!$D:$D,"PSO")/SUMIF('caseload data'!$C:$C,'divisional &amp; regional caseload%'!$B$29,'caseload data'!L:L),"")</f>
        <v/>
      </c>
      <c r="K32" s="167" t="str">
        <f>IFERROR(SUMIFS('caseload data'!M:M,'caseload data'!$C:$C,'divisional &amp; regional caseload%'!$B$29,'caseload data'!$D:$D,"PSO")/SUMIF('caseload data'!$C:$C,'divisional &amp; regional caseload%'!$B$29,'caseload data'!M:M),"")</f>
        <v/>
      </c>
      <c r="L32" s="167" t="str">
        <f>IFERROR(SUMIFS('caseload data'!N:N,'caseload data'!$C:$C,'divisional &amp; regional caseload%'!$B$29,'caseload data'!$D:$D,"PSO")/SUMIF('caseload data'!$C:$C,'divisional &amp; regional caseload%'!$B$29,'caseload data'!N:N),"")</f>
        <v/>
      </c>
      <c r="M32" s="167" t="str">
        <f>IFERROR(SUMIFS('caseload data'!O:O,'caseload data'!$C:$C,'divisional &amp; regional caseload%'!$B$29,'caseload data'!$D:$D,"PSO")/SUMIF('caseload data'!$C:$C,'divisional &amp; regional caseload%'!$B$29,'caseload data'!O:O),"")</f>
        <v/>
      </c>
      <c r="N32" s="167" t="str">
        <f>IFERROR(SUMIFS('caseload data'!P:P,'caseload data'!$C:$C,'divisional &amp; regional caseload%'!$B$29,'caseload data'!$D:$D,"PSO")/SUMIF('caseload data'!$C:$C,'divisional &amp; regional caseload%'!$B$29,'caseload data'!P:P),"")</f>
        <v/>
      </c>
      <c r="O32" s="167" t="str">
        <f>IFERROR(SUMIFS('caseload data'!Q:Q,'caseload data'!$C:$C,'divisional &amp; regional caseload%'!$B$29,'caseload data'!$D:$D,"PSO")/SUMIF('caseload data'!$C:$C,'divisional &amp; regional caseload%'!$B$29,'caseload data'!Q:Q),"")</f>
        <v/>
      </c>
      <c r="P32" s="167" t="str">
        <f>IFERROR(SUMIFS('caseload data'!R:R,'caseload data'!$C:$C,'divisional &amp; regional caseload%'!$B$29,'caseload data'!$D:$D,"PSO")/SUMIF('caseload data'!$C:$C,'divisional &amp; regional caseload%'!$B$29,'caseload data'!R:R),"")</f>
        <v/>
      </c>
      <c r="Q32" s="167" t="str">
        <f>IFERROR(SUMIFS('caseload data'!S:S,'caseload data'!$C:$C,'divisional &amp; regional caseload%'!$B$29,'caseload data'!$D:$D,"PSO")/SUMIF('caseload data'!$C:$C,'divisional &amp; regional caseload%'!$B$29,'caseload data'!S:S),"")</f>
        <v/>
      </c>
      <c r="R32" s="167" t="str">
        <f>IFERROR(SUMIFS('caseload data'!T:T,'caseload data'!$C:$C,'divisional &amp; regional caseload%'!$B$29,'caseload data'!$D:$D,"PSO")/SUMIF('caseload data'!$C:$C,'divisional &amp; regional caseload%'!$B$29,'caseload data'!T:T),"")</f>
        <v/>
      </c>
      <c r="S32" s="64"/>
      <c r="T32" s="97" t="s">
        <v>1002</v>
      </c>
      <c r="U32" s="167" t="str">
        <f>IFERROR(SUMIFS('caseload data'!E:E,'caseload data'!$C:$C,'divisional &amp; regional caseload%'!$T$29,'caseload data'!$D:$D,"PSO")/SUMIF('caseload data'!$C:$C,'divisional &amp; regional caseload%'!$T$29,'caseload data'!E:E),"")</f>
        <v/>
      </c>
      <c r="V32" s="167" t="str">
        <f>IFERROR(SUMIFS('caseload data'!F:F,'caseload data'!$C:$C,'divisional &amp; regional caseload%'!$T$29,'caseload data'!$D:$D,"PSO")/SUMIF('caseload data'!$C:$C,'divisional &amp; regional caseload%'!$T$29,'caseload data'!F:F),"")</f>
        <v/>
      </c>
      <c r="W32" s="167" t="str">
        <f>IFERROR(SUMIFS('caseload data'!G:G,'caseload data'!$C:$C,'divisional &amp; regional caseload%'!$T$29,'caseload data'!$D:$D,"PSO")/SUMIF('caseload data'!$C:$C,'divisional &amp; regional caseload%'!$T$29,'caseload data'!G:G),"")</f>
        <v/>
      </c>
      <c r="X32" s="167" t="str">
        <f>IFERROR(SUMIFS('caseload data'!H:H,'caseload data'!$C:$C,'divisional &amp; regional caseload%'!$T$29,'caseload data'!$D:$D,"PSO")/SUMIF('caseload data'!$C:$C,'divisional &amp; regional caseload%'!$T$29,'caseload data'!H:H),"")</f>
        <v/>
      </c>
      <c r="Y32" s="167" t="str">
        <f>IFERROR(SUMIFS('caseload data'!I:I,'caseload data'!$C:$C,'divisional &amp; regional caseload%'!$T$29,'caseload data'!$D:$D,"PSO")/SUMIF('caseload data'!$C:$C,'divisional &amp; regional caseload%'!$T$29,'caseload data'!I:I),"")</f>
        <v/>
      </c>
      <c r="Z32" s="167" t="str">
        <f>IFERROR(SUMIFS('caseload data'!J:J,'caseload data'!$C:$C,'divisional &amp; regional caseload%'!$T$29,'caseload data'!$D:$D,"PSO")/SUMIF('caseload data'!$C:$C,'divisional &amp; regional caseload%'!$T$29,'caseload data'!J:J),"")</f>
        <v/>
      </c>
      <c r="AA32" s="167" t="str">
        <f>IFERROR(SUMIFS('caseload data'!K:K,'caseload data'!$C:$C,'divisional &amp; regional caseload%'!$T$29,'caseload data'!$D:$D,"PSO")/SUMIF('caseload data'!$C:$C,'divisional &amp; regional caseload%'!$T$29,'caseload data'!K:K),"")</f>
        <v/>
      </c>
      <c r="AB32" s="167" t="str">
        <f>IFERROR(SUMIFS('caseload data'!L:L,'caseload data'!$C:$C,'divisional &amp; regional caseload%'!$T$29,'caseload data'!$D:$D,"PSO")/SUMIF('caseload data'!$C:$C,'divisional &amp; regional caseload%'!$T$29,'caseload data'!L:L),"")</f>
        <v/>
      </c>
      <c r="AC32" s="167" t="str">
        <f>IFERROR(SUMIFS('caseload data'!M:M,'caseload data'!$C:$C,'divisional &amp; regional caseload%'!$T$29,'caseload data'!$D:$D,"PSO")/SUMIF('caseload data'!$C:$C,'divisional &amp; regional caseload%'!$T$29,'caseload data'!M:M),"")</f>
        <v/>
      </c>
      <c r="AD32" s="167" t="str">
        <f>IFERROR(SUMIFS('caseload data'!N:N,'caseload data'!$C:$C,'divisional &amp; regional caseload%'!$T$29,'caseload data'!$D:$D,"PSO")/SUMIF('caseload data'!$C:$C,'divisional &amp; regional caseload%'!$T$29,'caseload data'!N:N),"")</f>
        <v/>
      </c>
      <c r="AE32" s="167" t="str">
        <f>IFERROR(SUMIFS('caseload data'!O:O,'caseload data'!$C:$C,'divisional &amp; regional caseload%'!$T$29,'caseload data'!$D:$D,"PSO")/SUMIF('caseload data'!$C:$C,'divisional &amp; regional caseload%'!$T$29,'caseload data'!O:O),"")</f>
        <v/>
      </c>
      <c r="AF32" s="167" t="str">
        <f>IFERROR(SUMIFS('caseload data'!P:P,'caseload data'!$C:$C,'divisional &amp; regional caseload%'!$T$29,'caseload data'!$D:$D,"PSO")/SUMIF('caseload data'!$C:$C,'divisional &amp; regional caseload%'!$T$29,'caseload data'!P:P),"")</f>
        <v/>
      </c>
      <c r="AG32" s="167" t="str">
        <f>IFERROR(SUMIFS('caseload data'!Q:Q,'caseload data'!$C:$C,'divisional &amp; regional caseload%'!$T$29,'caseload data'!$D:$D,"PSO")/SUMIF('caseload data'!$C:$C,'divisional &amp; regional caseload%'!$T$29,'caseload data'!Q:Q),"")</f>
        <v/>
      </c>
      <c r="AH32" s="167" t="str">
        <f>IFERROR(SUMIFS('caseload data'!R:R,'caseload data'!$C:$C,'divisional &amp; regional caseload%'!$T$29,'caseload data'!$D:$D,"PSO")/SUMIF('caseload data'!$C:$C,'divisional &amp; regional caseload%'!$T$29,'caseload data'!R:R),"")</f>
        <v/>
      </c>
      <c r="AI32" s="167" t="str">
        <f>IFERROR(SUMIFS('caseload data'!S:S,'caseload data'!$C:$C,'divisional &amp; regional caseload%'!$T$29,'caseload data'!$D:$D,"PSO")/SUMIF('caseload data'!$C:$C,'divisional &amp; regional caseload%'!$T$29,'caseload data'!S:S),"")</f>
        <v/>
      </c>
      <c r="AJ32" s="167" t="str">
        <f>IFERROR(SUMIFS('caseload data'!T:T,'caseload data'!$C:$C,'divisional &amp; regional caseload%'!$T$29,'caseload data'!$D:$D,"PSO")/SUMIF('caseload data'!$C:$C,'divisional &amp; regional caseload%'!$T$29,'caseload data'!T:T),"")</f>
        <v/>
      </c>
    </row>
    <row r="33" spans="2:36" x14ac:dyDescent="0.15">
      <c r="B33" s="97" t="s">
        <v>1003</v>
      </c>
      <c r="C33" s="167" t="str">
        <f>IFERROR(SUMIFS('caseload data'!E:E,'caseload data'!$C:$C,'divisional &amp; regional caseload%'!$B$29,'caseload data'!$D:$D,"TPO")/SUMIF('caseload data'!$C:$C,'divisional &amp; regional caseload%'!$B$29,'caseload data'!E:E),"")</f>
        <v/>
      </c>
      <c r="D33" s="167" t="str">
        <f>IFERROR(SUMIFS('caseload data'!F:F,'caseload data'!$C:$C,'divisional &amp; regional caseload%'!$B$29,'caseload data'!$D:$D,"TPO")/SUMIF('caseload data'!$C:$C,'divisional &amp; regional caseload%'!$B$29,'caseload data'!F:F),"")</f>
        <v/>
      </c>
      <c r="E33" s="167" t="str">
        <f>IFERROR(SUMIFS('caseload data'!G:G,'caseload data'!$C:$C,'divisional &amp; regional caseload%'!$B$29,'caseload data'!$D:$D,"TPO")/SUMIF('caseload data'!$C:$C,'divisional &amp; regional caseload%'!$B$29,'caseload data'!G:G),"")</f>
        <v/>
      </c>
      <c r="F33" s="167" t="str">
        <f>IFERROR(SUMIFS('caseload data'!H:H,'caseload data'!$C:$C,'divisional &amp; regional caseload%'!$B$29,'caseload data'!$D:$D,"TPO")/SUMIF('caseload data'!$C:$C,'divisional &amp; regional caseload%'!$B$29,'caseload data'!H:H),"")</f>
        <v/>
      </c>
      <c r="G33" s="167" t="str">
        <f>IFERROR(SUMIFS('caseload data'!I:I,'caseload data'!$C:$C,'divisional &amp; regional caseload%'!$B$29,'caseload data'!$D:$D,"TPO")/SUMIF('caseload data'!$C:$C,'divisional &amp; regional caseload%'!$B$29,'caseload data'!I:I),"")</f>
        <v/>
      </c>
      <c r="H33" s="167" t="str">
        <f>IFERROR(SUMIFS('caseload data'!J:J,'caseload data'!$C:$C,'divisional &amp; regional caseload%'!$B$29,'caseload data'!$D:$D,"TPO")/SUMIF('caseload data'!$C:$C,'divisional &amp; regional caseload%'!$B$29,'caseload data'!J:J),"")</f>
        <v/>
      </c>
      <c r="I33" s="167" t="str">
        <f>IFERROR(SUMIFS('caseload data'!K:K,'caseload data'!$C:$C,'divisional &amp; regional caseload%'!$B$29,'caseload data'!$D:$D,"TPO")/SUMIF('caseload data'!$C:$C,'divisional &amp; regional caseload%'!$B$29,'caseload data'!K:K),"")</f>
        <v/>
      </c>
      <c r="J33" s="167" t="str">
        <f>IFERROR(SUMIFS('caseload data'!L:L,'caseload data'!$C:$C,'divisional &amp; regional caseload%'!$B$29,'caseload data'!$D:$D,"TPO")/SUMIF('caseload data'!$C:$C,'divisional &amp; regional caseload%'!$B$29,'caseload data'!L:L),"")</f>
        <v/>
      </c>
      <c r="K33" s="167" t="str">
        <f>IFERROR(SUMIFS('caseload data'!M:M,'caseload data'!$C:$C,'divisional &amp; regional caseload%'!$B$29,'caseload data'!$D:$D,"TPO")/SUMIF('caseload data'!$C:$C,'divisional &amp; regional caseload%'!$B$29,'caseload data'!M:M),"")</f>
        <v/>
      </c>
      <c r="L33" s="167" t="str">
        <f>IFERROR(SUMIFS('caseload data'!N:N,'caseload data'!$C:$C,'divisional &amp; regional caseload%'!$B$29,'caseload data'!$D:$D,"TPO")/SUMIF('caseload data'!$C:$C,'divisional &amp; regional caseload%'!$B$29,'caseload data'!N:N),"")</f>
        <v/>
      </c>
      <c r="M33" s="167" t="str">
        <f>IFERROR(SUMIFS('caseload data'!O:O,'caseload data'!$C:$C,'divisional &amp; regional caseload%'!$B$29,'caseload data'!$D:$D,"TPO")/SUMIF('caseload data'!$C:$C,'divisional &amp; regional caseload%'!$B$29,'caseload data'!O:O),"")</f>
        <v/>
      </c>
      <c r="N33" s="167" t="str">
        <f>IFERROR(SUMIFS('caseload data'!P:P,'caseload data'!$C:$C,'divisional &amp; regional caseload%'!$B$29,'caseload data'!$D:$D,"TPO")/SUMIF('caseload data'!$C:$C,'divisional &amp; regional caseload%'!$B$29,'caseload data'!P:P),"")</f>
        <v/>
      </c>
      <c r="O33" s="167" t="str">
        <f>IFERROR(SUMIFS('caseload data'!Q:Q,'caseload data'!$C:$C,'divisional &amp; regional caseload%'!$B$29,'caseload data'!$D:$D,"TPO")/SUMIF('caseload data'!$C:$C,'divisional &amp; regional caseload%'!$B$29,'caseload data'!Q:Q),"")</f>
        <v/>
      </c>
      <c r="P33" s="167" t="str">
        <f>IFERROR(SUMIFS('caseload data'!R:R,'caseload data'!$C:$C,'divisional &amp; regional caseload%'!$B$29,'caseload data'!$D:$D,"TPO")/SUMIF('caseload data'!$C:$C,'divisional &amp; regional caseload%'!$B$29,'caseload data'!R:R),"")</f>
        <v/>
      </c>
      <c r="Q33" s="167" t="str">
        <f>IFERROR(SUMIFS('caseload data'!S:S,'caseload data'!$C:$C,'divisional &amp; regional caseload%'!$B$29,'caseload data'!$D:$D,"TPO")/SUMIF('caseload data'!$C:$C,'divisional &amp; regional caseload%'!$B$29,'caseload data'!S:S),"")</f>
        <v/>
      </c>
      <c r="R33" s="167" t="str">
        <f>IFERROR(SUMIFS('caseload data'!T:T,'caseload data'!$C:$C,'divisional &amp; regional caseload%'!$B$29,'caseload data'!$D:$D,"TPO")/SUMIF('caseload data'!$C:$C,'divisional &amp; regional caseload%'!$B$29,'caseload data'!T:T),"")</f>
        <v/>
      </c>
      <c r="S33" s="64"/>
      <c r="T33" s="97" t="s">
        <v>1003</v>
      </c>
      <c r="U33" s="167" t="str">
        <f>IFERROR(SUMIFS('caseload data'!E:E,'caseload data'!$C:$C,'divisional &amp; regional caseload%'!$T$29,'caseload data'!$D:$D,"TPO")/SUMIF('caseload data'!$C:$C,'divisional &amp; regional caseload%'!$T$29,'caseload data'!E:E),"")</f>
        <v/>
      </c>
      <c r="V33" s="167" t="str">
        <f>IFERROR(SUMIFS('caseload data'!F:F,'caseload data'!$C:$C,'divisional &amp; regional caseload%'!$T$29,'caseload data'!$D:$D,"TPO")/SUMIF('caseload data'!$C:$C,'divisional &amp; regional caseload%'!$T$29,'caseload data'!F:F),"")</f>
        <v/>
      </c>
      <c r="W33" s="167" t="str">
        <f>IFERROR(SUMIFS('caseload data'!G:G,'caseload data'!$C:$C,'divisional &amp; regional caseload%'!$T$29,'caseload data'!$D:$D,"TPO")/SUMIF('caseload data'!$C:$C,'divisional &amp; regional caseload%'!$T$29,'caseload data'!G:G),"")</f>
        <v/>
      </c>
      <c r="X33" s="167" t="str">
        <f>IFERROR(SUMIFS('caseload data'!H:H,'caseload data'!$C:$C,'divisional &amp; regional caseload%'!$T$29,'caseload data'!$D:$D,"TPO")/SUMIF('caseload data'!$C:$C,'divisional &amp; regional caseload%'!$T$29,'caseload data'!H:H),"")</f>
        <v/>
      </c>
      <c r="Y33" s="167" t="str">
        <f>IFERROR(SUMIFS('caseload data'!I:I,'caseload data'!$C:$C,'divisional &amp; regional caseload%'!$T$29,'caseload data'!$D:$D,"TPO")/SUMIF('caseload data'!$C:$C,'divisional &amp; regional caseload%'!$T$29,'caseload data'!I:I),"")</f>
        <v/>
      </c>
      <c r="Z33" s="167" t="str">
        <f>IFERROR(SUMIFS('caseload data'!J:J,'caseload data'!$C:$C,'divisional &amp; regional caseload%'!$T$29,'caseload data'!$D:$D,"TPO")/SUMIF('caseload data'!$C:$C,'divisional &amp; regional caseload%'!$T$29,'caseload data'!J:J),"")</f>
        <v/>
      </c>
      <c r="AA33" s="167" t="str">
        <f>IFERROR(SUMIFS('caseload data'!K:K,'caseload data'!$C:$C,'divisional &amp; regional caseload%'!$T$29,'caseload data'!$D:$D,"TPO")/SUMIF('caseload data'!$C:$C,'divisional &amp; regional caseload%'!$T$29,'caseload data'!K:K),"")</f>
        <v/>
      </c>
      <c r="AB33" s="167" t="str">
        <f>IFERROR(SUMIFS('caseload data'!L:L,'caseload data'!$C:$C,'divisional &amp; regional caseload%'!$T$29,'caseload data'!$D:$D,"TPO")/SUMIF('caseload data'!$C:$C,'divisional &amp; regional caseload%'!$T$29,'caseload data'!L:L),"")</f>
        <v/>
      </c>
      <c r="AC33" s="167" t="str">
        <f>IFERROR(SUMIFS('caseload data'!M:M,'caseload data'!$C:$C,'divisional &amp; regional caseload%'!$T$29,'caseload data'!$D:$D,"TPO")/SUMIF('caseload data'!$C:$C,'divisional &amp; regional caseload%'!$T$29,'caseload data'!M:M),"")</f>
        <v/>
      </c>
      <c r="AD33" s="167" t="str">
        <f>IFERROR(SUMIFS('caseload data'!N:N,'caseload data'!$C:$C,'divisional &amp; regional caseload%'!$T$29,'caseload data'!$D:$D,"TPO")/SUMIF('caseload data'!$C:$C,'divisional &amp; regional caseload%'!$T$29,'caseload data'!N:N),"")</f>
        <v/>
      </c>
      <c r="AE33" s="167" t="str">
        <f>IFERROR(SUMIFS('caseload data'!O:O,'caseload data'!$C:$C,'divisional &amp; regional caseload%'!$T$29,'caseload data'!$D:$D,"TPO")/SUMIF('caseload data'!$C:$C,'divisional &amp; regional caseload%'!$T$29,'caseload data'!O:O),"")</f>
        <v/>
      </c>
      <c r="AF33" s="167" t="str">
        <f>IFERROR(SUMIFS('caseload data'!P:P,'caseload data'!$C:$C,'divisional &amp; regional caseload%'!$T$29,'caseload data'!$D:$D,"TPO")/SUMIF('caseload data'!$C:$C,'divisional &amp; regional caseload%'!$T$29,'caseload data'!P:P),"")</f>
        <v/>
      </c>
      <c r="AG33" s="167" t="str">
        <f>IFERROR(SUMIFS('caseload data'!Q:Q,'caseload data'!$C:$C,'divisional &amp; regional caseload%'!$T$29,'caseload data'!$D:$D,"TPO")/SUMIF('caseload data'!$C:$C,'divisional &amp; regional caseload%'!$T$29,'caseload data'!Q:Q),"")</f>
        <v/>
      </c>
      <c r="AH33" s="167" t="str">
        <f>IFERROR(SUMIFS('caseload data'!R:R,'caseload data'!$C:$C,'divisional &amp; regional caseload%'!$T$29,'caseload data'!$D:$D,"TPO")/SUMIF('caseload data'!$C:$C,'divisional &amp; regional caseload%'!$T$29,'caseload data'!R:R),"")</f>
        <v/>
      </c>
      <c r="AI33" s="167" t="str">
        <f>IFERROR(SUMIFS('caseload data'!S:S,'caseload data'!$C:$C,'divisional &amp; regional caseload%'!$T$29,'caseload data'!$D:$D,"TPO")/SUMIF('caseload data'!$C:$C,'divisional &amp; regional caseload%'!$T$29,'caseload data'!S:S),"")</f>
        <v/>
      </c>
      <c r="AJ33" s="167" t="str">
        <f>IFERROR(SUMIFS('caseload data'!T:T,'caseload data'!$C:$C,'divisional &amp; regional caseload%'!$T$29,'caseload data'!$D:$D,"TPO")/SUMIF('caseload data'!$C:$C,'divisional &amp; regional caseload%'!$T$29,'caseload data'!T:T),"")</f>
        <v/>
      </c>
    </row>
    <row r="34" spans="2:36" x14ac:dyDescent="0.15">
      <c r="B34" s="98" t="s">
        <v>1004</v>
      </c>
      <c r="C34" s="167" t="str">
        <f>IFERROR(SUMIFS('caseload data'!E:E,'caseload data'!$C:$C,'divisional &amp; regional caseload%'!$B$29,'caseload data'!$D:$D,"SPO")/SUMIF('caseload data'!$C:$C,'divisional &amp; regional caseload%'!$B$29,'caseload data'!E:E),"")</f>
        <v/>
      </c>
      <c r="D34" s="167" t="str">
        <f>IFERROR(SUMIFS('caseload data'!F:F,'caseload data'!$C:$C,'divisional &amp; regional caseload%'!$B$29,'caseload data'!$D:$D,"SPO")/SUMIF('caseload data'!$C:$C,'divisional &amp; regional caseload%'!$B$29,'caseload data'!F:F),"")</f>
        <v/>
      </c>
      <c r="E34" s="167" t="str">
        <f>IFERROR(SUMIFS('caseload data'!G:G,'caseload data'!$C:$C,'divisional &amp; regional caseload%'!$B$29,'caseload data'!$D:$D,"SPO")/SUMIF('caseload data'!$C:$C,'divisional &amp; regional caseload%'!$B$29,'caseload data'!G:G),"")</f>
        <v/>
      </c>
      <c r="F34" s="167" t="str">
        <f>IFERROR(SUMIFS('caseload data'!H:H,'caseload data'!$C:$C,'divisional &amp; regional caseload%'!$B$29,'caseload data'!$D:$D,"SPO")/SUMIF('caseload data'!$C:$C,'divisional &amp; regional caseload%'!$B$29,'caseload data'!H:H),"")</f>
        <v/>
      </c>
      <c r="G34" s="167" t="str">
        <f>IFERROR(SUMIFS('caseload data'!I:I,'caseload data'!$C:$C,'divisional &amp; regional caseload%'!$B$29,'caseload data'!$D:$D,"SPO")/SUMIF('caseload data'!$C:$C,'divisional &amp; regional caseload%'!$B$29,'caseload data'!I:I),"")</f>
        <v/>
      </c>
      <c r="H34" s="167" t="str">
        <f>IFERROR(SUMIFS('caseload data'!J:J,'caseload data'!$C:$C,'divisional &amp; regional caseload%'!$B$29,'caseload data'!$D:$D,"SPO")/SUMIF('caseload data'!$C:$C,'divisional &amp; regional caseload%'!$B$29,'caseload data'!J:J),"")</f>
        <v/>
      </c>
      <c r="I34" s="167" t="str">
        <f>IFERROR(SUMIFS('caseload data'!K:K,'caseload data'!$C:$C,'divisional &amp; regional caseload%'!$B$29,'caseload data'!$D:$D,"SPO")/SUMIF('caseload data'!$C:$C,'divisional &amp; regional caseload%'!$B$29,'caseload data'!K:K),"")</f>
        <v/>
      </c>
      <c r="J34" s="167" t="str">
        <f>IFERROR(SUMIFS('caseload data'!L:L,'caseload data'!$C:$C,'divisional &amp; regional caseload%'!$B$29,'caseload data'!$D:$D,"SPO")/SUMIF('caseload data'!$C:$C,'divisional &amp; regional caseload%'!$B$29,'caseload data'!L:L),"")</f>
        <v/>
      </c>
      <c r="K34" s="167" t="str">
        <f>IFERROR(SUMIFS('caseload data'!M:M,'caseload data'!$C:$C,'divisional &amp; regional caseload%'!$B$29,'caseload data'!$D:$D,"SPO")/SUMIF('caseload data'!$C:$C,'divisional &amp; regional caseload%'!$B$29,'caseload data'!M:M),"")</f>
        <v/>
      </c>
      <c r="L34" s="167" t="str">
        <f>IFERROR(SUMIFS('caseload data'!N:N,'caseload data'!$C:$C,'divisional &amp; regional caseload%'!$B$29,'caseload data'!$D:$D,"SPO")/SUMIF('caseload data'!$C:$C,'divisional &amp; regional caseload%'!$B$29,'caseload data'!N:N),"")</f>
        <v/>
      </c>
      <c r="M34" s="167" t="str">
        <f>IFERROR(SUMIFS('caseload data'!O:O,'caseload data'!$C:$C,'divisional &amp; regional caseload%'!$B$29,'caseload data'!$D:$D,"SPO")/SUMIF('caseload data'!$C:$C,'divisional &amp; regional caseload%'!$B$29,'caseload data'!O:O),"")</f>
        <v/>
      </c>
      <c r="N34" s="167" t="str">
        <f>IFERROR(SUMIFS('caseload data'!P:P,'caseload data'!$C:$C,'divisional &amp; regional caseload%'!$B$29,'caseload data'!$D:$D,"SPO")/SUMIF('caseload data'!$C:$C,'divisional &amp; regional caseload%'!$B$29,'caseload data'!P:P),"")</f>
        <v/>
      </c>
      <c r="O34" s="167" t="str">
        <f>IFERROR(SUMIFS('caseload data'!Q:Q,'caseload data'!$C:$C,'divisional &amp; regional caseload%'!$B$29,'caseload data'!$D:$D,"SPO")/SUMIF('caseload data'!$C:$C,'divisional &amp; regional caseload%'!$B$29,'caseload data'!Q:Q),"")</f>
        <v/>
      </c>
      <c r="P34" s="167" t="str">
        <f>IFERROR(SUMIFS('caseload data'!R:R,'caseload data'!$C:$C,'divisional &amp; regional caseload%'!$B$29,'caseload data'!$D:$D,"SPO")/SUMIF('caseload data'!$C:$C,'divisional &amp; regional caseload%'!$B$29,'caseload data'!R:R),"")</f>
        <v/>
      </c>
      <c r="Q34" s="167" t="str">
        <f>IFERROR(SUMIFS('caseload data'!S:S,'caseload data'!$C:$C,'divisional &amp; regional caseload%'!$B$29,'caseload data'!$D:$D,"SPO")/SUMIF('caseload data'!$C:$C,'divisional &amp; regional caseload%'!$B$29,'caseload data'!S:S),"")</f>
        <v/>
      </c>
      <c r="R34" s="167" t="str">
        <f>IFERROR(SUMIFS('caseload data'!T:T,'caseload data'!$C:$C,'divisional &amp; regional caseload%'!$B$29,'caseload data'!$D:$D,"SPO")/SUMIF('caseload data'!$C:$C,'divisional &amp; regional caseload%'!$B$29,'caseload data'!T:T),"")</f>
        <v/>
      </c>
      <c r="S34" s="64"/>
      <c r="T34" s="98" t="s">
        <v>1004</v>
      </c>
      <c r="U34" s="167" t="str">
        <f>IFERROR(SUMIFS('caseload data'!E:E,'caseload data'!$C:$C,'divisional &amp; regional caseload%'!$T$29,'caseload data'!$D:$D,"SPO")/SUMIF('caseload data'!$C:$C,'divisional &amp; regional caseload%'!$T$29,'caseload data'!E:E),"")</f>
        <v/>
      </c>
      <c r="V34" s="167" t="str">
        <f>IFERROR(SUMIFS('caseload data'!F:F,'caseload data'!$C:$C,'divisional &amp; regional caseload%'!$T$29,'caseload data'!$D:$D,"SPO")/SUMIF('caseload data'!$C:$C,'divisional &amp; regional caseload%'!$T$29,'caseload data'!F:F),"")</f>
        <v/>
      </c>
      <c r="W34" s="167" t="str">
        <f>IFERROR(SUMIFS('caseload data'!G:G,'caseload data'!$C:$C,'divisional &amp; regional caseload%'!$T$29,'caseload data'!$D:$D,"SPO")/SUMIF('caseload data'!$C:$C,'divisional &amp; regional caseload%'!$T$29,'caseload data'!G:G),"")</f>
        <v/>
      </c>
      <c r="X34" s="167" t="str">
        <f>IFERROR(SUMIFS('caseload data'!H:H,'caseload data'!$C:$C,'divisional &amp; regional caseload%'!$T$29,'caseload data'!$D:$D,"SPO")/SUMIF('caseload data'!$C:$C,'divisional &amp; regional caseload%'!$T$29,'caseload data'!H:H),"")</f>
        <v/>
      </c>
      <c r="Y34" s="167" t="str">
        <f>IFERROR(SUMIFS('caseload data'!I:I,'caseload data'!$C:$C,'divisional &amp; regional caseload%'!$T$29,'caseload data'!$D:$D,"SPO")/SUMIF('caseload data'!$C:$C,'divisional &amp; regional caseload%'!$T$29,'caseload data'!I:I),"")</f>
        <v/>
      </c>
      <c r="Z34" s="167" t="str">
        <f>IFERROR(SUMIFS('caseload data'!J:J,'caseload data'!$C:$C,'divisional &amp; regional caseload%'!$T$29,'caseload data'!$D:$D,"SPO")/SUMIF('caseload data'!$C:$C,'divisional &amp; regional caseload%'!$T$29,'caseload data'!J:J),"")</f>
        <v/>
      </c>
      <c r="AA34" s="167" t="str">
        <f>IFERROR(SUMIFS('caseload data'!K:K,'caseload data'!$C:$C,'divisional &amp; regional caseload%'!$T$29,'caseload data'!$D:$D,"SPO")/SUMIF('caseload data'!$C:$C,'divisional &amp; regional caseload%'!$T$29,'caseload data'!K:K),"")</f>
        <v/>
      </c>
      <c r="AB34" s="167" t="str">
        <f>IFERROR(SUMIFS('caseload data'!L:L,'caseload data'!$C:$C,'divisional &amp; regional caseload%'!$T$29,'caseload data'!$D:$D,"SPO")/SUMIF('caseload data'!$C:$C,'divisional &amp; regional caseload%'!$T$29,'caseload data'!L:L),"")</f>
        <v/>
      </c>
      <c r="AC34" s="167" t="str">
        <f>IFERROR(SUMIFS('caseload data'!M:M,'caseload data'!$C:$C,'divisional &amp; regional caseload%'!$T$29,'caseload data'!$D:$D,"SPO")/SUMIF('caseload data'!$C:$C,'divisional &amp; regional caseload%'!$T$29,'caseload data'!M:M),"")</f>
        <v/>
      </c>
      <c r="AD34" s="167" t="str">
        <f>IFERROR(SUMIFS('caseload data'!N:N,'caseload data'!$C:$C,'divisional &amp; regional caseload%'!$T$29,'caseload data'!$D:$D,"SPO")/SUMIF('caseload data'!$C:$C,'divisional &amp; regional caseload%'!$T$29,'caseload data'!N:N),"")</f>
        <v/>
      </c>
      <c r="AE34" s="167" t="str">
        <f>IFERROR(SUMIFS('caseload data'!O:O,'caseload data'!$C:$C,'divisional &amp; regional caseload%'!$T$29,'caseload data'!$D:$D,"SPO")/SUMIF('caseload data'!$C:$C,'divisional &amp; regional caseload%'!$T$29,'caseload data'!O:O),"")</f>
        <v/>
      </c>
      <c r="AF34" s="167" t="str">
        <f>IFERROR(SUMIFS('caseload data'!P:P,'caseload data'!$C:$C,'divisional &amp; regional caseload%'!$T$29,'caseload data'!$D:$D,"SPO")/SUMIF('caseload data'!$C:$C,'divisional &amp; regional caseload%'!$T$29,'caseload data'!P:P),"")</f>
        <v/>
      </c>
      <c r="AG34" s="167" t="str">
        <f>IFERROR(SUMIFS('caseload data'!Q:Q,'caseload data'!$C:$C,'divisional &amp; regional caseload%'!$T$29,'caseload data'!$D:$D,"SPO")/SUMIF('caseload data'!$C:$C,'divisional &amp; regional caseload%'!$T$29,'caseload data'!Q:Q),"")</f>
        <v/>
      </c>
      <c r="AH34" s="167" t="str">
        <f>IFERROR(SUMIFS('caseload data'!R:R,'caseload data'!$C:$C,'divisional &amp; regional caseload%'!$T$29,'caseload data'!$D:$D,"SPO")/SUMIF('caseload data'!$C:$C,'divisional &amp; regional caseload%'!$T$29,'caseload data'!R:R),"")</f>
        <v/>
      </c>
      <c r="AI34" s="167" t="str">
        <f>IFERROR(SUMIFS('caseload data'!S:S,'caseload data'!$C:$C,'divisional &amp; regional caseload%'!$T$29,'caseload data'!$D:$D,"SPO")/SUMIF('caseload data'!$C:$C,'divisional &amp; regional caseload%'!$T$29,'caseload data'!S:S),"")</f>
        <v/>
      </c>
      <c r="AJ34" s="167" t="str">
        <f>IFERROR(SUMIFS('caseload data'!T:T,'caseload data'!$C:$C,'divisional &amp; regional caseload%'!$T$29,'caseload data'!$D:$D,"SPO")/SUMIF('caseload data'!$C:$C,'divisional &amp; regional caseload%'!$T$29,'caseload data'!T:T),"")</f>
        <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15">
      <c r="B36" s="289">
        <f>HLOOKUP($B$5,Region_Table,10,0)</f>
        <v>0</v>
      </c>
      <c r="C36" s="525" t="s">
        <v>1096</v>
      </c>
      <c r="D36" s="526"/>
      <c r="E36" s="526"/>
      <c r="F36" s="526"/>
      <c r="G36" s="526"/>
      <c r="H36" s="526"/>
      <c r="I36" s="526"/>
      <c r="J36" s="526"/>
      <c r="K36" s="526"/>
      <c r="L36" s="526"/>
      <c r="M36" s="527"/>
      <c r="N36" s="527"/>
      <c r="O36" s="528"/>
      <c r="P36" s="512">
        <f>SUMIF('caseload data'!$C:$C,'divisional &amp; regional caseload%'!B36,'caseload data'!V:V)</f>
        <v>0</v>
      </c>
      <c r="Q36" s="529"/>
      <c r="R36" s="530"/>
      <c r="S36" s="64"/>
      <c r="T36" s="289">
        <f>HLOOKUP($B$5,Region_Table,11,0)</f>
        <v>0</v>
      </c>
      <c r="U36" s="525" t="s">
        <v>1096</v>
      </c>
      <c r="V36" s="526"/>
      <c r="W36" s="526"/>
      <c r="X36" s="526"/>
      <c r="Y36" s="526"/>
      <c r="Z36" s="526"/>
      <c r="AA36" s="526"/>
      <c r="AB36" s="526"/>
      <c r="AC36" s="526"/>
      <c r="AD36" s="526"/>
      <c r="AE36" s="527"/>
      <c r="AF36" s="527"/>
      <c r="AG36" s="528"/>
      <c r="AH36" s="512">
        <f>SUMIF('caseload data'!$C:$C,'divisional &amp; regional caseload%'!T36,'caseload data'!V:V)</f>
        <v>0</v>
      </c>
      <c r="AI36" s="529"/>
      <c r="AJ36" s="530"/>
    </row>
    <row r="37" spans="2:36" x14ac:dyDescent="0.15">
      <c r="B37" s="95" t="s">
        <v>1001</v>
      </c>
      <c r="C37" s="38" t="s">
        <v>864</v>
      </c>
      <c r="D37" s="38" t="s">
        <v>865</v>
      </c>
      <c r="E37" s="38" t="s">
        <v>866</v>
      </c>
      <c r="F37" s="38" t="s">
        <v>867</v>
      </c>
      <c r="G37" s="38" t="s">
        <v>868</v>
      </c>
      <c r="H37" s="38" t="s">
        <v>869</v>
      </c>
      <c r="I37" s="38" t="s">
        <v>870</v>
      </c>
      <c r="J37" s="38" t="s">
        <v>871</v>
      </c>
      <c r="K37" s="38" t="s">
        <v>872</v>
      </c>
      <c r="L37" s="38" t="s">
        <v>873</v>
      </c>
      <c r="M37" s="38" t="s">
        <v>874</v>
      </c>
      <c r="N37" s="38" t="s">
        <v>875</v>
      </c>
      <c r="O37" s="38" t="s">
        <v>876</v>
      </c>
      <c r="P37" s="38" t="s">
        <v>877</v>
      </c>
      <c r="Q37" s="38" t="s">
        <v>878</v>
      </c>
      <c r="R37" s="38" t="s">
        <v>879</v>
      </c>
      <c r="S37" s="64"/>
      <c r="T37" s="95" t="s">
        <v>1001</v>
      </c>
      <c r="U37" s="38" t="s">
        <v>864</v>
      </c>
      <c r="V37" s="38" t="s">
        <v>865</v>
      </c>
      <c r="W37" s="38" t="s">
        <v>866</v>
      </c>
      <c r="X37" s="38" t="s">
        <v>867</v>
      </c>
      <c r="Y37" s="38" t="s">
        <v>868</v>
      </c>
      <c r="Z37" s="38" t="s">
        <v>869</v>
      </c>
      <c r="AA37" s="38" t="s">
        <v>870</v>
      </c>
      <c r="AB37" s="38" t="s">
        <v>871</v>
      </c>
      <c r="AC37" s="38" t="s">
        <v>872</v>
      </c>
      <c r="AD37" s="38" t="s">
        <v>873</v>
      </c>
      <c r="AE37" s="38" t="s">
        <v>874</v>
      </c>
      <c r="AF37" s="38" t="s">
        <v>875</v>
      </c>
      <c r="AG37" s="38" t="s">
        <v>876</v>
      </c>
      <c r="AH37" s="38" t="s">
        <v>877</v>
      </c>
      <c r="AI37" s="38" t="s">
        <v>878</v>
      </c>
      <c r="AJ37" s="38" t="s">
        <v>879</v>
      </c>
    </row>
    <row r="38" spans="2:36" x14ac:dyDescent="0.15">
      <c r="B38" s="96" t="s">
        <v>997</v>
      </c>
      <c r="C38" s="167" t="str">
        <f>IFERROR(SUMIFS('caseload data'!E:E,'caseload data'!$C:$C,'divisional &amp; regional caseload%'!$B$36,'caseload data'!$D:$D,"PO")/SUMIF('caseload data'!$C:$C,'divisional &amp; regional caseload%'!$B$36,'caseload data'!E:E),"")</f>
        <v/>
      </c>
      <c r="D38" s="167" t="str">
        <f>IFERROR(SUMIFS('caseload data'!F:F,'caseload data'!$C:$C,'divisional &amp; regional caseload%'!$B$36,'caseload data'!$D:$D,"PO")/SUMIF('caseload data'!$C:$C,'divisional &amp; regional caseload%'!$B$36,'caseload data'!F:F),"")</f>
        <v/>
      </c>
      <c r="E38" s="167" t="str">
        <f>IFERROR(SUMIFS('caseload data'!G:G,'caseload data'!$C:$C,'divisional &amp; regional caseload%'!$B$36,'caseload data'!$D:$D,"PO")/SUMIF('caseload data'!$C:$C,'divisional &amp; regional caseload%'!$B$36,'caseload data'!G:G),"")</f>
        <v/>
      </c>
      <c r="F38" s="167" t="str">
        <f>IFERROR(SUMIFS('caseload data'!H:H,'caseload data'!$C:$C,'divisional &amp; regional caseload%'!$B$36,'caseload data'!$D:$D,"PO")/SUMIF('caseload data'!$C:$C,'divisional &amp; regional caseload%'!$B$36,'caseload data'!H:H),"")</f>
        <v/>
      </c>
      <c r="G38" s="167" t="str">
        <f>IFERROR(SUMIFS('caseload data'!I:I,'caseload data'!$C:$C,'divisional &amp; regional caseload%'!$B$36,'caseload data'!$D:$D,"PO")/SUMIF('caseload data'!$C:$C,'divisional &amp; regional caseload%'!$B$36,'caseload data'!I:I),"")</f>
        <v/>
      </c>
      <c r="H38" s="167" t="str">
        <f>IFERROR(SUMIFS('caseload data'!J:J,'caseload data'!$C:$C,'divisional &amp; regional caseload%'!$B$36,'caseload data'!$D:$D,"PO")/SUMIF('caseload data'!$C:$C,'divisional &amp; regional caseload%'!$B$36,'caseload data'!J:J),"")</f>
        <v/>
      </c>
      <c r="I38" s="167" t="str">
        <f>IFERROR(SUMIFS('caseload data'!K:K,'caseload data'!$C:$C,'divisional &amp; regional caseload%'!$B$36,'caseload data'!$D:$D,"PO")/SUMIF('caseload data'!$C:$C,'divisional &amp; regional caseload%'!$B$36,'caseload data'!K:K),"")</f>
        <v/>
      </c>
      <c r="J38" s="167" t="str">
        <f>IFERROR(SUMIFS('caseload data'!L:L,'caseload data'!$C:$C,'divisional &amp; regional caseload%'!$B$36,'caseload data'!$D:$D,"PO")/SUMIF('caseload data'!$C:$C,'divisional &amp; regional caseload%'!$B$36,'caseload data'!L:L),"")</f>
        <v/>
      </c>
      <c r="K38" s="167" t="str">
        <f>IFERROR(SUMIFS('caseload data'!M:M,'caseload data'!$C:$C,'divisional &amp; regional caseload%'!$B$36,'caseload data'!$D:$D,"PO")/SUMIF('caseload data'!$C:$C,'divisional &amp; regional caseload%'!$B$36,'caseload data'!M:M),"")</f>
        <v/>
      </c>
      <c r="L38" s="167" t="str">
        <f>IFERROR(SUMIFS('caseload data'!N:N,'caseload data'!$C:$C,'divisional &amp; regional caseload%'!$B$36,'caseload data'!$D:$D,"PO")/SUMIF('caseload data'!$C:$C,'divisional &amp; regional caseload%'!$B$36,'caseload data'!N:N),"")</f>
        <v/>
      </c>
      <c r="M38" s="167" t="str">
        <f>IFERROR(SUMIFS('caseload data'!O:O,'caseload data'!$C:$C,'divisional &amp; regional caseload%'!$B$36,'caseload data'!$D:$D,"PO")/SUMIF('caseload data'!$C:$C,'divisional &amp; regional caseload%'!$B$36,'caseload data'!O:O),"")</f>
        <v/>
      </c>
      <c r="N38" s="167" t="str">
        <f>IFERROR(SUMIFS('caseload data'!P:P,'caseload data'!$C:$C,'divisional &amp; regional caseload%'!$B$36,'caseload data'!$D:$D,"PO")/SUMIF('caseload data'!$C:$C,'divisional &amp; regional caseload%'!$B$36,'caseload data'!P:P),"")</f>
        <v/>
      </c>
      <c r="O38" s="167" t="str">
        <f>IFERROR(SUMIFS('caseload data'!Q:Q,'caseload data'!$C:$C,'divisional &amp; regional caseload%'!$B$36,'caseload data'!$D:$D,"PO")/SUMIF('caseload data'!$C:$C,'divisional &amp; regional caseload%'!$B$36,'caseload data'!Q:Q),"")</f>
        <v/>
      </c>
      <c r="P38" s="167" t="str">
        <f>IFERROR(SUMIFS('caseload data'!R:R,'caseload data'!$C:$C,'divisional &amp; regional caseload%'!$B$36,'caseload data'!$D:$D,"PO")/SUMIF('caseload data'!$C:$C,'divisional &amp; regional caseload%'!$B$36,'caseload data'!R:R),"")</f>
        <v/>
      </c>
      <c r="Q38" s="167" t="str">
        <f>IFERROR(SUMIFS('caseload data'!S:S,'caseload data'!$C:$C,'divisional &amp; regional caseload%'!$B$36,'caseload data'!$D:$D,"PO")/SUMIF('caseload data'!$C:$C,'divisional &amp; regional caseload%'!$B$36,'caseload data'!S:S),"")</f>
        <v/>
      </c>
      <c r="R38" s="167" t="str">
        <f>IFERROR(SUMIFS('caseload data'!T:T,'caseload data'!$C:$C,'divisional &amp; regional caseload%'!$B$36,'caseload data'!$D:$D,"PO")/SUMIF('caseload data'!$C:$C,'divisional &amp; regional caseload%'!$B$36,'caseload data'!T:T),"")</f>
        <v/>
      </c>
      <c r="S38" s="64"/>
      <c r="T38" s="96" t="s">
        <v>997</v>
      </c>
      <c r="U38" s="167" t="str">
        <f>IFERROR(SUMIFS('caseload data'!E:E,'caseload data'!$C:$C,'divisional &amp; regional caseload%'!$T$36,'caseload data'!$D:$D,"PO")/SUMIF('caseload data'!$C:$C,'divisional &amp; regional caseload%'!$T$36,'caseload data'!E:E),"")</f>
        <v/>
      </c>
      <c r="V38" s="167" t="str">
        <f>IFERROR(SUMIFS('caseload data'!F:F,'caseload data'!$C:$C,'divisional &amp; regional caseload%'!$T$36,'caseload data'!$D:$D,"PO")/SUMIF('caseload data'!$C:$C,'divisional &amp; regional caseload%'!$T$36,'caseload data'!F:F),"")</f>
        <v/>
      </c>
      <c r="W38" s="167" t="str">
        <f>IFERROR(SUMIFS('caseload data'!G:G,'caseload data'!$C:$C,'divisional &amp; regional caseload%'!$T$36,'caseload data'!$D:$D,"PO")/SUMIF('caseload data'!$C:$C,'divisional &amp; regional caseload%'!$T$36,'caseload data'!G:G),"")</f>
        <v/>
      </c>
      <c r="X38" s="167" t="str">
        <f>IFERROR(SUMIFS('caseload data'!H:H,'caseload data'!$C:$C,'divisional &amp; regional caseload%'!$T$36,'caseload data'!$D:$D,"PO")/SUMIF('caseload data'!$C:$C,'divisional &amp; regional caseload%'!$T$36,'caseload data'!H:H),"")</f>
        <v/>
      </c>
      <c r="Y38" s="167" t="str">
        <f>IFERROR(SUMIFS('caseload data'!I:I,'caseload data'!$C:$C,'divisional &amp; regional caseload%'!$T$36,'caseload data'!$D:$D,"PO")/SUMIF('caseload data'!$C:$C,'divisional &amp; regional caseload%'!$T$36,'caseload data'!I:I),"")</f>
        <v/>
      </c>
      <c r="Z38" s="167" t="str">
        <f>IFERROR(SUMIFS('caseload data'!J:J,'caseload data'!$C:$C,'divisional &amp; regional caseload%'!$T$36,'caseload data'!$D:$D,"PO")/SUMIF('caseload data'!$C:$C,'divisional &amp; regional caseload%'!$T$36,'caseload data'!J:J),"")</f>
        <v/>
      </c>
      <c r="AA38" s="167" t="str">
        <f>IFERROR(SUMIFS('caseload data'!K:K,'caseload data'!$C:$C,'divisional &amp; regional caseload%'!$T$36,'caseload data'!$D:$D,"PO")/SUMIF('caseload data'!$C:$C,'divisional &amp; regional caseload%'!$T$36,'caseload data'!K:K),"")</f>
        <v/>
      </c>
      <c r="AB38" s="167" t="str">
        <f>IFERROR(SUMIFS('caseload data'!L:L,'caseload data'!$C:$C,'divisional &amp; regional caseload%'!$T$36,'caseload data'!$D:$D,"PO")/SUMIF('caseload data'!$C:$C,'divisional &amp; regional caseload%'!$T$36,'caseload data'!L:L),"")</f>
        <v/>
      </c>
      <c r="AC38" s="167" t="str">
        <f>IFERROR(SUMIFS('caseload data'!M:M,'caseload data'!$C:$C,'divisional &amp; regional caseload%'!$T$36,'caseload data'!$D:$D,"PO")/SUMIF('caseload data'!$C:$C,'divisional &amp; regional caseload%'!$T$36,'caseload data'!M:M),"")</f>
        <v/>
      </c>
      <c r="AD38" s="167" t="str">
        <f>IFERROR(SUMIFS('caseload data'!N:N,'caseload data'!$C:$C,'divisional &amp; regional caseload%'!$T$36,'caseload data'!$D:$D,"PO")/SUMIF('caseload data'!$C:$C,'divisional &amp; regional caseload%'!$T$36,'caseload data'!N:N),"")</f>
        <v/>
      </c>
      <c r="AE38" s="167" t="str">
        <f>IFERROR(SUMIFS('caseload data'!O:O,'caseload data'!$C:$C,'divisional &amp; regional caseload%'!$T$36,'caseload data'!$D:$D,"PO")/SUMIF('caseload data'!$C:$C,'divisional &amp; regional caseload%'!$T$36,'caseload data'!O:O),"")</f>
        <v/>
      </c>
      <c r="AF38" s="167" t="str">
        <f>IFERROR(SUMIFS('caseload data'!P:P,'caseload data'!$C:$C,'divisional &amp; regional caseload%'!$T$36,'caseload data'!$D:$D,"PO")/SUMIF('caseload data'!$C:$C,'divisional &amp; regional caseload%'!$T$36,'caseload data'!P:P),"")</f>
        <v/>
      </c>
      <c r="AG38" s="167" t="str">
        <f>IFERROR(SUMIFS('caseload data'!Q:Q,'caseload data'!$C:$C,'divisional &amp; regional caseload%'!$T$36,'caseload data'!$D:$D,"PO")/SUMIF('caseload data'!$C:$C,'divisional &amp; regional caseload%'!$T$36,'caseload data'!Q:Q),"")</f>
        <v/>
      </c>
      <c r="AH38" s="167" t="str">
        <f>IFERROR(SUMIFS('caseload data'!R:R,'caseload data'!$C:$C,'divisional &amp; regional caseload%'!$T$36,'caseload data'!$D:$D,"PO")/SUMIF('caseload data'!$C:$C,'divisional &amp; regional caseload%'!$T$36,'caseload data'!R:R),"")</f>
        <v/>
      </c>
      <c r="AI38" s="167" t="str">
        <f>IFERROR(SUMIFS('caseload data'!S:S,'caseload data'!$C:$C,'divisional &amp; regional caseload%'!$T$36,'caseload data'!$D:$D,"PO")/SUMIF('caseload data'!$C:$C,'divisional &amp; regional caseload%'!$T$36,'caseload data'!S:S),"")</f>
        <v/>
      </c>
      <c r="AJ38" s="167" t="str">
        <f>IFERROR(SUMIFS('caseload data'!T:T,'caseload data'!$C:$C,'divisional &amp; regional caseload%'!$T$36,'caseload data'!$D:$D,"PO")/SUMIF('caseload data'!$C:$C,'divisional &amp; regional caseload%'!$T$36,'caseload data'!T:T),"")</f>
        <v/>
      </c>
    </row>
    <row r="39" spans="2:36" x14ac:dyDescent="0.15">
      <c r="B39" s="97" t="s">
        <v>1002</v>
      </c>
      <c r="C39" s="167" t="str">
        <f>IFERROR(SUMIFS('caseload data'!E:E,'caseload data'!$C:$C,'divisional &amp; regional caseload%'!$B$36,'caseload data'!$D:$D,"PSO")/SUMIF('caseload data'!$C:$C,'divisional &amp; regional caseload%'!$B$36,'caseload data'!E:E),"")</f>
        <v/>
      </c>
      <c r="D39" s="167" t="str">
        <f>IFERROR(SUMIFS('caseload data'!F:F,'caseload data'!$C:$C,'divisional &amp; regional caseload%'!$B$36,'caseload data'!$D:$D,"PSO")/SUMIF('caseload data'!$C:$C,'divisional &amp; regional caseload%'!$B$36,'caseload data'!F:F),"")</f>
        <v/>
      </c>
      <c r="E39" s="167" t="str">
        <f>IFERROR(SUMIFS('caseload data'!G:G,'caseload data'!$C:$C,'divisional &amp; regional caseload%'!$B$36,'caseload data'!$D:$D,"PSO")/SUMIF('caseload data'!$C:$C,'divisional &amp; regional caseload%'!$B$36,'caseload data'!G:G),"")</f>
        <v/>
      </c>
      <c r="F39" s="167" t="str">
        <f>IFERROR(SUMIFS('caseload data'!H:H,'caseload data'!$C:$C,'divisional &amp; regional caseload%'!$B$36,'caseload data'!$D:$D,"PSO")/SUMIF('caseload data'!$C:$C,'divisional &amp; regional caseload%'!$B$36,'caseload data'!H:H),"")</f>
        <v/>
      </c>
      <c r="G39" s="167" t="str">
        <f>IFERROR(SUMIFS('caseload data'!I:I,'caseload data'!$C:$C,'divisional &amp; regional caseload%'!$B$36,'caseload data'!$D:$D,"PSO")/SUMIF('caseload data'!$C:$C,'divisional &amp; regional caseload%'!$B$36,'caseload data'!I:I),"")</f>
        <v/>
      </c>
      <c r="H39" s="167" t="str">
        <f>IFERROR(SUMIFS('caseload data'!J:J,'caseload data'!$C:$C,'divisional &amp; regional caseload%'!$B$36,'caseload data'!$D:$D,"PSO")/SUMIF('caseload data'!$C:$C,'divisional &amp; regional caseload%'!$B$36,'caseload data'!J:J),"")</f>
        <v/>
      </c>
      <c r="I39" s="167" t="str">
        <f>IFERROR(SUMIFS('caseload data'!K:K,'caseload data'!$C:$C,'divisional &amp; regional caseload%'!$B$36,'caseload data'!$D:$D,"PSO")/SUMIF('caseload data'!$C:$C,'divisional &amp; regional caseload%'!$B$36,'caseload data'!K:K),"")</f>
        <v/>
      </c>
      <c r="J39" s="167" t="str">
        <f>IFERROR(SUMIFS('caseload data'!L:L,'caseload data'!$C:$C,'divisional &amp; regional caseload%'!$B$36,'caseload data'!$D:$D,"PSO")/SUMIF('caseload data'!$C:$C,'divisional &amp; regional caseload%'!$B$36,'caseload data'!L:L),"")</f>
        <v/>
      </c>
      <c r="K39" s="167" t="str">
        <f>IFERROR(SUMIFS('caseload data'!M:M,'caseload data'!$C:$C,'divisional &amp; regional caseload%'!$B$36,'caseload data'!$D:$D,"PSO")/SUMIF('caseload data'!$C:$C,'divisional &amp; regional caseload%'!$B$36,'caseload data'!M:M),"")</f>
        <v/>
      </c>
      <c r="L39" s="167" t="str">
        <f>IFERROR(SUMIFS('caseload data'!N:N,'caseload data'!$C:$C,'divisional &amp; regional caseload%'!$B$36,'caseload data'!$D:$D,"PSO")/SUMIF('caseload data'!$C:$C,'divisional &amp; regional caseload%'!$B$36,'caseload data'!N:N),"")</f>
        <v/>
      </c>
      <c r="M39" s="167" t="str">
        <f>IFERROR(SUMIFS('caseload data'!O:O,'caseload data'!$C:$C,'divisional &amp; regional caseload%'!$B$36,'caseload data'!$D:$D,"PSO")/SUMIF('caseload data'!$C:$C,'divisional &amp; regional caseload%'!$B$36,'caseload data'!O:O),"")</f>
        <v/>
      </c>
      <c r="N39" s="167" t="str">
        <f>IFERROR(SUMIFS('caseload data'!P:P,'caseload data'!$C:$C,'divisional &amp; regional caseload%'!$B$36,'caseload data'!$D:$D,"PSO")/SUMIF('caseload data'!$C:$C,'divisional &amp; regional caseload%'!$B$36,'caseload data'!P:P),"")</f>
        <v/>
      </c>
      <c r="O39" s="167" t="str">
        <f>IFERROR(SUMIFS('caseload data'!Q:Q,'caseload data'!$C:$C,'divisional &amp; regional caseload%'!$B$36,'caseload data'!$D:$D,"PSO")/SUMIF('caseload data'!$C:$C,'divisional &amp; regional caseload%'!$B$36,'caseload data'!Q:Q),"")</f>
        <v/>
      </c>
      <c r="P39" s="167" t="str">
        <f>IFERROR(SUMIFS('caseload data'!R:R,'caseload data'!$C:$C,'divisional &amp; regional caseload%'!$B$36,'caseload data'!$D:$D,"PSO")/SUMIF('caseload data'!$C:$C,'divisional &amp; regional caseload%'!$B$36,'caseload data'!R:R),"")</f>
        <v/>
      </c>
      <c r="Q39" s="167" t="str">
        <f>IFERROR(SUMIFS('caseload data'!S:S,'caseload data'!$C:$C,'divisional &amp; regional caseload%'!$B$36,'caseload data'!$D:$D,"PSO")/SUMIF('caseload data'!$C:$C,'divisional &amp; regional caseload%'!$B$36,'caseload data'!S:S),"")</f>
        <v/>
      </c>
      <c r="R39" s="167" t="str">
        <f>IFERROR(SUMIFS('caseload data'!T:T,'caseload data'!$C:$C,'divisional &amp; regional caseload%'!$B$36,'caseload data'!$D:$D,"PSO")/SUMIF('caseload data'!$C:$C,'divisional &amp; regional caseload%'!$B$36,'caseload data'!T:T),"")</f>
        <v/>
      </c>
      <c r="S39" s="64"/>
      <c r="T39" s="97" t="s">
        <v>1002</v>
      </c>
      <c r="U39" s="167" t="str">
        <f>IFERROR(SUMIFS('caseload data'!E:E,'caseload data'!$C:$C,'divisional &amp; regional caseload%'!$T$36,'caseload data'!$D:$D,"PSO")/SUMIF('caseload data'!$C:$C,'divisional &amp; regional caseload%'!$T$36,'caseload data'!E:E),"")</f>
        <v/>
      </c>
      <c r="V39" s="167" t="str">
        <f>IFERROR(SUMIFS('caseload data'!F:F,'caseload data'!$C:$C,'divisional &amp; regional caseload%'!$T$36,'caseload data'!$D:$D,"PSO")/SUMIF('caseload data'!$C:$C,'divisional &amp; regional caseload%'!$T$36,'caseload data'!F:F),"")</f>
        <v/>
      </c>
      <c r="W39" s="167" t="str">
        <f>IFERROR(SUMIFS('caseload data'!G:G,'caseload data'!$C:$C,'divisional &amp; regional caseload%'!$T$36,'caseload data'!$D:$D,"PSO")/SUMIF('caseload data'!$C:$C,'divisional &amp; regional caseload%'!$T$36,'caseload data'!G:G),"")</f>
        <v/>
      </c>
      <c r="X39" s="167" t="str">
        <f>IFERROR(SUMIFS('caseload data'!H:H,'caseload data'!$C:$C,'divisional &amp; regional caseload%'!$T$36,'caseload data'!$D:$D,"PSO")/SUMIF('caseload data'!$C:$C,'divisional &amp; regional caseload%'!$T$36,'caseload data'!H:H),"")</f>
        <v/>
      </c>
      <c r="Y39" s="167" t="str">
        <f>IFERROR(SUMIFS('caseload data'!I:I,'caseload data'!$C:$C,'divisional &amp; regional caseload%'!$T$36,'caseload data'!$D:$D,"PSO")/SUMIF('caseload data'!$C:$C,'divisional &amp; regional caseload%'!$T$36,'caseload data'!I:I),"")</f>
        <v/>
      </c>
      <c r="Z39" s="167" t="str">
        <f>IFERROR(SUMIFS('caseload data'!J:J,'caseload data'!$C:$C,'divisional &amp; regional caseload%'!$T$36,'caseload data'!$D:$D,"PSO")/SUMIF('caseload data'!$C:$C,'divisional &amp; regional caseload%'!$T$36,'caseload data'!J:J),"")</f>
        <v/>
      </c>
      <c r="AA39" s="167" t="str">
        <f>IFERROR(SUMIFS('caseload data'!K:K,'caseload data'!$C:$C,'divisional &amp; regional caseload%'!$T$36,'caseload data'!$D:$D,"PSO")/SUMIF('caseload data'!$C:$C,'divisional &amp; regional caseload%'!$T$36,'caseload data'!K:K),"")</f>
        <v/>
      </c>
      <c r="AB39" s="167" t="str">
        <f>IFERROR(SUMIFS('caseload data'!L:L,'caseload data'!$C:$C,'divisional &amp; regional caseload%'!$T$36,'caseload data'!$D:$D,"PSO")/SUMIF('caseload data'!$C:$C,'divisional &amp; regional caseload%'!$T$36,'caseload data'!L:L),"")</f>
        <v/>
      </c>
      <c r="AC39" s="167" t="str">
        <f>IFERROR(SUMIFS('caseload data'!M:M,'caseload data'!$C:$C,'divisional &amp; regional caseload%'!$T$36,'caseload data'!$D:$D,"PSO")/SUMIF('caseload data'!$C:$C,'divisional &amp; regional caseload%'!$T$36,'caseload data'!M:M),"")</f>
        <v/>
      </c>
      <c r="AD39" s="167" t="str">
        <f>IFERROR(SUMIFS('caseload data'!N:N,'caseload data'!$C:$C,'divisional &amp; regional caseload%'!$T$36,'caseload data'!$D:$D,"PSO")/SUMIF('caseload data'!$C:$C,'divisional &amp; regional caseload%'!$T$36,'caseload data'!N:N),"")</f>
        <v/>
      </c>
      <c r="AE39" s="167" t="str">
        <f>IFERROR(SUMIFS('caseload data'!O:O,'caseload data'!$C:$C,'divisional &amp; regional caseload%'!$T$36,'caseload data'!$D:$D,"PSO")/SUMIF('caseload data'!$C:$C,'divisional &amp; regional caseload%'!$T$36,'caseload data'!O:O),"")</f>
        <v/>
      </c>
      <c r="AF39" s="167" t="str">
        <f>IFERROR(SUMIFS('caseload data'!P:P,'caseload data'!$C:$C,'divisional &amp; regional caseload%'!$T$36,'caseload data'!$D:$D,"PSO")/SUMIF('caseload data'!$C:$C,'divisional &amp; regional caseload%'!$T$36,'caseload data'!P:P),"")</f>
        <v/>
      </c>
      <c r="AG39" s="167" t="str">
        <f>IFERROR(SUMIFS('caseload data'!Q:Q,'caseload data'!$C:$C,'divisional &amp; regional caseload%'!$T$36,'caseload data'!$D:$D,"PSO")/SUMIF('caseload data'!$C:$C,'divisional &amp; regional caseload%'!$T$36,'caseload data'!Q:Q),"")</f>
        <v/>
      </c>
      <c r="AH39" s="167" t="str">
        <f>IFERROR(SUMIFS('caseload data'!R:R,'caseload data'!$C:$C,'divisional &amp; regional caseload%'!$T$36,'caseload data'!$D:$D,"PSO")/SUMIF('caseload data'!$C:$C,'divisional &amp; regional caseload%'!$T$36,'caseload data'!R:R),"")</f>
        <v/>
      </c>
      <c r="AI39" s="167" t="str">
        <f>IFERROR(SUMIFS('caseload data'!S:S,'caseload data'!$C:$C,'divisional &amp; regional caseload%'!$T$36,'caseload data'!$D:$D,"PSO")/SUMIF('caseload data'!$C:$C,'divisional &amp; regional caseload%'!$T$36,'caseload data'!S:S),"")</f>
        <v/>
      </c>
      <c r="AJ39" s="167" t="str">
        <f>IFERROR(SUMIFS('caseload data'!T:T,'caseload data'!$C:$C,'divisional &amp; regional caseload%'!$T$36,'caseload data'!$D:$D,"PSO")/SUMIF('caseload data'!$C:$C,'divisional &amp; regional caseload%'!$T$36,'caseload data'!T:T),"")</f>
        <v/>
      </c>
    </row>
    <row r="40" spans="2:36" x14ac:dyDescent="0.15">
      <c r="B40" s="97" t="s">
        <v>1003</v>
      </c>
      <c r="C40" s="167" t="str">
        <f>IFERROR(SUMIFS('caseload data'!E:E,'caseload data'!$C:$C,'divisional &amp; regional caseload%'!$B$36,'caseload data'!$D:$D,"TPO")/SUMIF('caseload data'!$C:$C,'divisional &amp; regional caseload%'!$B$36,'caseload data'!E:E),"")</f>
        <v/>
      </c>
      <c r="D40" s="167" t="str">
        <f>IFERROR(SUMIFS('caseload data'!F:F,'caseload data'!$C:$C,'divisional &amp; regional caseload%'!$B$36,'caseload data'!$D:$D,"TPO")/SUMIF('caseload data'!$C:$C,'divisional &amp; regional caseload%'!$B$36,'caseload data'!F:F),"")</f>
        <v/>
      </c>
      <c r="E40" s="167" t="str">
        <f>IFERROR(SUMIFS('caseload data'!G:G,'caseload data'!$C:$C,'divisional &amp; regional caseload%'!$B$36,'caseload data'!$D:$D,"TPO")/SUMIF('caseload data'!$C:$C,'divisional &amp; regional caseload%'!$B$36,'caseload data'!G:G),"")</f>
        <v/>
      </c>
      <c r="F40" s="167" t="str">
        <f>IFERROR(SUMIFS('caseload data'!H:H,'caseload data'!$C:$C,'divisional &amp; regional caseload%'!$B$36,'caseload data'!$D:$D,"TPO")/SUMIF('caseload data'!$C:$C,'divisional &amp; regional caseload%'!$B$36,'caseload data'!H:H),"")</f>
        <v/>
      </c>
      <c r="G40" s="167" t="str">
        <f>IFERROR(SUMIFS('caseload data'!I:I,'caseload data'!$C:$C,'divisional &amp; regional caseload%'!$B$36,'caseload data'!$D:$D,"TPO")/SUMIF('caseload data'!$C:$C,'divisional &amp; regional caseload%'!$B$36,'caseload data'!I:I),"")</f>
        <v/>
      </c>
      <c r="H40" s="167" t="str">
        <f>IFERROR(SUMIFS('caseload data'!J:J,'caseload data'!$C:$C,'divisional &amp; regional caseload%'!$B$36,'caseload data'!$D:$D,"TPO")/SUMIF('caseload data'!$C:$C,'divisional &amp; regional caseload%'!$B$36,'caseload data'!J:J),"")</f>
        <v/>
      </c>
      <c r="I40" s="167" t="str">
        <f>IFERROR(SUMIFS('caseload data'!K:K,'caseload data'!$C:$C,'divisional &amp; regional caseload%'!$B$36,'caseload data'!$D:$D,"TPO")/SUMIF('caseload data'!$C:$C,'divisional &amp; regional caseload%'!$B$36,'caseload data'!K:K),"")</f>
        <v/>
      </c>
      <c r="J40" s="167" t="str">
        <f>IFERROR(SUMIFS('caseload data'!L:L,'caseload data'!$C:$C,'divisional &amp; regional caseload%'!$B$36,'caseload data'!$D:$D,"TPO")/SUMIF('caseload data'!$C:$C,'divisional &amp; regional caseload%'!$B$36,'caseload data'!L:L),"")</f>
        <v/>
      </c>
      <c r="K40" s="167" t="str">
        <f>IFERROR(SUMIFS('caseload data'!M:M,'caseload data'!$C:$C,'divisional &amp; regional caseload%'!$B$36,'caseload data'!$D:$D,"TPO")/SUMIF('caseload data'!$C:$C,'divisional &amp; regional caseload%'!$B$36,'caseload data'!M:M),"")</f>
        <v/>
      </c>
      <c r="L40" s="167" t="str">
        <f>IFERROR(SUMIFS('caseload data'!N:N,'caseload data'!$C:$C,'divisional &amp; regional caseload%'!$B$36,'caseload data'!$D:$D,"TPO")/SUMIF('caseload data'!$C:$C,'divisional &amp; regional caseload%'!$B$36,'caseload data'!N:N),"")</f>
        <v/>
      </c>
      <c r="M40" s="167" t="str">
        <f>IFERROR(SUMIFS('caseload data'!O:O,'caseload data'!$C:$C,'divisional &amp; regional caseload%'!$B$36,'caseload data'!$D:$D,"TPO")/SUMIF('caseload data'!$C:$C,'divisional &amp; regional caseload%'!$B$36,'caseload data'!O:O),"")</f>
        <v/>
      </c>
      <c r="N40" s="167" t="str">
        <f>IFERROR(SUMIFS('caseload data'!P:P,'caseload data'!$C:$C,'divisional &amp; regional caseload%'!$B$36,'caseload data'!$D:$D,"TPO")/SUMIF('caseload data'!$C:$C,'divisional &amp; regional caseload%'!$B$36,'caseload data'!P:P),"")</f>
        <v/>
      </c>
      <c r="O40" s="167" t="str">
        <f>IFERROR(SUMIFS('caseload data'!Q:Q,'caseload data'!$C:$C,'divisional &amp; regional caseload%'!$B$36,'caseload data'!$D:$D,"TPO")/SUMIF('caseload data'!$C:$C,'divisional &amp; regional caseload%'!$B$36,'caseload data'!Q:Q),"")</f>
        <v/>
      </c>
      <c r="P40" s="167" t="str">
        <f>IFERROR(SUMIFS('caseload data'!R:R,'caseload data'!$C:$C,'divisional &amp; regional caseload%'!$B$36,'caseload data'!$D:$D,"TPO")/SUMIF('caseload data'!$C:$C,'divisional &amp; regional caseload%'!$B$36,'caseload data'!R:R),"")</f>
        <v/>
      </c>
      <c r="Q40" s="167" t="str">
        <f>IFERROR(SUMIFS('caseload data'!S:S,'caseload data'!$C:$C,'divisional &amp; regional caseload%'!$B$36,'caseload data'!$D:$D,"TPO")/SUMIF('caseload data'!$C:$C,'divisional &amp; regional caseload%'!$B$36,'caseload data'!S:S),"")</f>
        <v/>
      </c>
      <c r="R40" s="167" t="str">
        <f>IFERROR(SUMIFS('caseload data'!T:T,'caseload data'!$C:$C,'divisional &amp; regional caseload%'!$B$36,'caseload data'!$D:$D,"TPO")/SUMIF('caseload data'!$C:$C,'divisional &amp; regional caseload%'!$B$36,'caseload data'!T:T),"")</f>
        <v/>
      </c>
      <c r="S40" s="64"/>
      <c r="T40" s="97" t="s">
        <v>1003</v>
      </c>
      <c r="U40" s="167" t="str">
        <f>IFERROR(SUMIFS('caseload data'!E:E,'caseload data'!$C:$C,'divisional &amp; regional caseload%'!$T$36,'caseload data'!$D:$D,"TPO")/SUMIF('caseload data'!$C:$C,'divisional &amp; regional caseload%'!$T$36,'caseload data'!E:E),"")</f>
        <v/>
      </c>
      <c r="V40" s="167" t="str">
        <f>IFERROR(SUMIFS('caseload data'!F:F,'caseload data'!$C:$C,'divisional &amp; regional caseload%'!$T$36,'caseload data'!$D:$D,"TPO")/SUMIF('caseload data'!$C:$C,'divisional &amp; regional caseload%'!$T$36,'caseload data'!F:F),"")</f>
        <v/>
      </c>
      <c r="W40" s="167" t="str">
        <f>IFERROR(SUMIFS('caseload data'!G:G,'caseload data'!$C:$C,'divisional &amp; regional caseload%'!$T$36,'caseload data'!$D:$D,"TPO")/SUMIF('caseload data'!$C:$C,'divisional &amp; regional caseload%'!$T$36,'caseload data'!G:G),"")</f>
        <v/>
      </c>
      <c r="X40" s="167" t="str">
        <f>IFERROR(SUMIFS('caseload data'!H:H,'caseload data'!$C:$C,'divisional &amp; regional caseload%'!$T$36,'caseload data'!$D:$D,"TPO")/SUMIF('caseload data'!$C:$C,'divisional &amp; regional caseload%'!$T$36,'caseload data'!H:H),"")</f>
        <v/>
      </c>
      <c r="Y40" s="167" t="str">
        <f>IFERROR(SUMIFS('caseload data'!I:I,'caseload data'!$C:$C,'divisional &amp; regional caseload%'!$T$36,'caseload data'!$D:$D,"TPO")/SUMIF('caseload data'!$C:$C,'divisional &amp; regional caseload%'!$T$36,'caseload data'!I:I),"")</f>
        <v/>
      </c>
      <c r="Z40" s="167" t="str">
        <f>IFERROR(SUMIFS('caseload data'!J:J,'caseload data'!$C:$C,'divisional &amp; regional caseload%'!$T$36,'caseload data'!$D:$D,"TPO")/SUMIF('caseload data'!$C:$C,'divisional &amp; regional caseload%'!$T$36,'caseload data'!J:J),"")</f>
        <v/>
      </c>
      <c r="AA40" s="167" t="str">
        <f>IFERROR(SUMIFS('caseload data'!K:K,'caseload data'!$C:$C,'divisional &amp; regional caseload%'!$T$36,'caseload data'!$D:$D,"TPO")/SUMIF('caseload data'!$C:$C,'divisional &amp; regional caseload%'!$T$36,'caseload data'!K:K),"")</f>
        <v/>
      </c>
      <c r="AB40" s="167" t="str">
        <f>IFERROR(SUMIFS('caseload data'!L:L,'caseload data'!$C:$C,'divisional &amp; regional caseload%'!$T$36,'caseload data'!$D:$D,"TPO")/SUMIF('caseload data'!$C:$C,'divisional &amp; regional caseload%'!$T$36,'caseload data'!L:L),"")</f>
        <v/>
      </c>
      <c r="AC40" s="167" t="str">
        <f>IFERROR(SUMIFS('caseload data'!M:M,'caseload data'!$C:$C,'divisional &amp; regional caseload%'!$T$36,'caseload data'!$D:$D,"TPO")/SUMIF('caseload data'!$C:$C,'divisional &amp; regional caseload%'!$T$36,'caseload data'!M:M),"")</f>
        <v/>
      </c>
      <c r="AD40" s="167" t="str">
        <f>IFERROR(SUMIFS('caseload data'!N:N,'caseload data'!$C:$C,'divisional &amp; regional caseload%'!$T$36,'caseload data'!$D:$D,"TPO")/SUMIF('caseload data'!$C:$C,'divisional &amp; regional caseload%'!$T$36,'caseload data'!N:N),"")</f>
        <v/>
      </c>
      <c r="AE40" s="167" t="str">
        <f>IFERROR(SUMIFS('caseload data'!O:O,'caseload data'!$C:$C,'divisional &amp; regional caseload%'!$T$36,'caseload data'!$D:$D,"TPO")/SUMIF('caseload data'!$C:$C,'divisional &amp; regional caseload%'!$T$36,'caseload data'!O:O),"")</f>
        <v/>
      </c>
      <c r="AF40" s="167" t="str">
        <f>IFERROR(SUMIFS('caseload data'!P:P,'caseload data'!$C:$C,'divisional &amp; regional caseload%'!$T$36,'caseload data'!$D:$D,"TPO")/SUMIF('caseload data'!$C:$C,'divisional &amp; regional caseload%'!$T$36,'caseload data'!P:P),"")</f>
        <v/>
      </c>
      <c r="AG40" s="167" t="str">
        <f>IFERROR(SUMIFS('caseload data'!Q:Q,'caseload data'!$C:$C,'divisional &amp; regional caseload%'!$T$36,'caseload data'!$D:$D,"TPO")/SUMIF('caseload data'!$C:$C,'divisional &amp; regional caseload%'!$T$36,'caseload data'!Q:Q),"")</f>
        <v/>
      </c>
      <c r="AH40" s="167" t="str">
        <f>IFERROR(SUMIFS('caseload data'!R:R,'caseload data'!$C:$C,'divisional &amp; regional caseload%'!$T$36,'caseload data'!$D:$D,"TPO")/SUMIF('caseload data'!$C:$C,'divisional &amp; regional caseload%'!$T$36,'caseload data'!R:R),"")</f>
        <v/>
      </c>
      <c r="AI40" s="167" t="str">
        <f>IFERROR(SUMIFS('caseload data'!S:S,'caseload data'!$C:$C,'divisional &amp; regional caseload%'!$T$36,'caseload data'!$D:$D,"TPO")/SUMIF('caseload data'!$C:$C,'divisional &amp; regional caseload%'!$T$36,'caseload data'!S:S),"")</f>
        <v/>
      </c>
      <c r="AJ40" s="167" t="str">
        <f>IFERROR(SUMIFS('caseload data'!T:T,'caseload data'!$C:$C,'divisional &amp; regional caseload%'!$T$36,'caseload data'!$D:$D,"TPO")/SUMIF('caseload data'!$C:$C,'divisional &amp; regional caseload%'!$T$36,'caseload data'!T:T),"")</f>
        <v/>
      </c>
    </row>
    <row r="41" spans="2:36" x14ac:dyDescent="0.15">
      <c r="B41" s="98" t="s">
        <v>1004</v>
      </c>
      <c r="C41" s="167" t="str">
        <f>IFERROR(SUMIFS('caseload data'!E:E,'caseload data'!$C:$C,'divisional &amp; regional caseload%'!$B$36,'caseload data'!$D:$D,"SPO")/SUMIF('caseload data'!$C:$C,'divisional &amp; regional caseload%'!$B$36,'caseload data'!E:E),"")</f>
        <v/>
      </c>
      <c r="D41" s="167" t="str">
        <f>IFERROR(SUMIFS('caseload data'!F:F,'caseload data'!$C:$C,'divisional &amp; regional caseload%'!$B$36,'caseload data'!$D:$D,"SPO")/SUMIF('caseload data'!$C:$C,'divisional &amp; regional caseload%'!$B$36,'caseload data'!F:F),"")</f>
        <v/>
      </c>
      <c r="E41" s="167" t="str">
        <f>IFERROR(SUMIFS('caseload data'!G:G,'caseload data'!$C:$C,'divisional &amp; regional caseload%'!$B$36,'caseload data'!$D:$D,"SPO")/SUMIF('caseload data'!$C:$C,'divisional &amp; regional caseload%'!$B$36,'caseload data'!G:G),"")</f>
        <v/>
      </c>
      <c r="F41" s="167" t="str">
        <f>IFERROR(SUMIFS('caseload data'!H:H,'caseload data'!$C:$C,'divisional &amp; regional caseload%'!$B$36,'caseload data'!$D:$D,"SPO")/SUMIF('caseload data'!$C:$C,'divisional &amp; regional caseload%'!$B$36,'caseload data'!H:H),"")</f>
        <v/>
      </c>
      <c r="G41" s="167" t="str">
        <f>IFERROR(SUMIFS('caseload data'!I:I,'caseload data'!$C:$C,'divisional &amp; regional caseload%'!$B$36,'caseload data'!$D:$D,"SPO")/SUMIF('caseload data'!$C:$C,'divisional &amp; regional caseload%'!$B$36,'caseload data'!I:I),"")</f>
        <v/>
      </c>
      <c r="H41" s="167" t="str">
        <f>IFERROR(SUMIFS('caseload data'!J:J,'caseload data'!$C:$C,'divisional &amp; regional caseload%'!$B$36,'caseload data'!$D:$D,"SPO")/SUMIF('caseload data'!$C:$C,'divisional &amp; regional caseload%'!$B$36,'caseload data'!J:J),"")</f>
        <v/>
      </c>
      <c r="I41" s="167" t="str">
        <f>IFERROR(SUMIFS('caseload data'!K:K,'caseload data'!$C:$C,'divisional &amp; regional caseload%'!$B$36,'caseload data'!$D:$D,"SPO")/SUMIF('caseload data'!$C:$C,'divisional &amp; regional caseload%'!$B$36,'caseload data'!K:K),"")</f>
        <v/>
      </c>
      <c r="J41" s="167" t="str">
        <f>IFERROR(SUMIFS('caseload data'!L:L,'caseload data'!$C:$C,'divisional &amp; regional caseload%'!$B$36,'caseload data'!$D:$D,"SPO")/SUMIF('caseload data'!$C:$C,'divisional &amp; regional caseload%'!$B$36,'caseload data'!L:L),"")</f>
        <v/>
      </c>
      <c r="K41" s="167" t="str">
        <f>IFERROR(SUMIFS('caseload data'!M:M,'caseload data'!$C:$C,'divisional &amp; regional caseload%'!$B$36,'caseload data'!$D:$D,"SPO")/SUMIF('caseload data'!$C:$C,'divisional &amp; regional caseload%'!$B$36,'caseload data'!M:M),"")</f>
        <v/>
      </c>
      <c r="L41" s="167" t="str">
        <f>IFERROR(SUMIFS('caseload data'!N:N,'caseload data'!$C:$C,'divisional &amp; regional caseload%'!$B$36,'caseload data'!$D:$D,"SPO")/SUMIF('caseload data'!$C:$C,'divisional &amp; regional caseload%'!$B$36,'caseload data'!N:N),"")</f>
        <v/>
      </c>
      <c r="M41" s="167" t="str">
        <f>IFERROR(SUMIFS('caseload data'!O:O,'caseload data'!$C:$C,'divisional &amp; regional caseload%'!$B$36,'caseload data'!$D:$D,"SPO")/SUMIF('caseload data'!$C:$C,'divisional &amp; regional caseload%'!$B$36,'caseload data'!O:O),"")</f>
        <v/>
      </c>
      <c r="N41" s="167" t="str">
        <f>IFERROR(SUMIFS('caseload data'!P:P,'caseload data'!$C:$C,'divisional &amp; regional caseload%'!$B$36,'caseload data'!$D:$D,"SPO")/SUMIF('caseload data'!$C:$C,'divisional &amp; regional caseload%'!$B$36,'caseload data'!P:P),"")</f>
        <v/>
      </c>
      <c r="O41" s="167" t="str">
        <f>IFERROR(SUMIFS('caseload data'!Q:Q,'caseload data'!$C:$C,'divisional &amp; regional caseload%'!$B$36,'caseload data'!$D:$D,"SPO")/SUMIF('caseload data'!$C:$C,'divisional &amp; regional caseload%'!$B$36,'caseload data'!Q:Q),"")</f>
        <v/>
      </c>
      <c r="P41" s="167" t="str">
        <f>IFERROR(SUMIFS('caseload data'!R:R,'caseload data'!$C:$C,'divisional &amp; regional caseload%'!$B$36,'caseload data'!$D:$D,"SPO")/SUMIF('caseload data'!$C:$C,'divisional &amp; regional caseload%'!$B$36,'caseload data'!R:R),"")</f>
        <v/>
      </c>
      <c r="Q41" s="167" t="str">
        <f>IFERROR(SUMIFS('caseload data'!S:S,'caseload data'!$C:$C,'divisional &amp; regional caseload%'!$B$36,'caseload data'!$D:$D,"SPO")/SUMIF('caseload data'!$C:$C,'divisional &amp; regional caseload%'!$B$36,'caseload data'!S:S),"")</f>
        <v/>
      </c>
      <c r="R41" s="167" t="str">
        <f>IFERROR(SUMIFS('caseload data'!T:T,'caseload data'!$C:$C,'divisional &amp; regional caseload%'!$B$36,'caseload data'!$D:$D,"SPO")/SUMIF('caseload data'!$C:$C,'divisional &amp; regional caseload%'!$B$36,'caseload data'!T:T),"")</f>
        <v/>
      </c>
      <c r="S41" s="64"/>
      <c r="T41" s="98" t="s">
        <v>1004</v>
      </c>
      <c r="U41" s="167" t="str">
        <f>IFERROR(SUMIFS('caseload data'!E:E,'caseload data'!$C:$C,'divisional &amp; regional caseload%'!$T$36,'caseload data'!$D:$D,"SPO")/SUMIF('caseload data'!$C:$C,'divisional &amp; regional caseload%'!$T$36,'caseload data'!E:E),"")</f>
        <v/>
      </c>
      <c r="V41" s="167" t="str">
        <f>IFERROR(SUMIFS('caseload data'!F:F,'caseload data'!$C:$C,'divisional &amp; regional caseload%'!$T$36,'caseload data'!$D:$D,"SPO")/SUMIF('caseload data'!$C:$C,'divisional &amp; regional caseload%'!$T$36,'caseload data'!F:F),"")</f>
        <v/>
      </c>
      <c r="W41" s="167" t="str">
        <f>IFERROR(SUMIFS('caseload data'!G:G,'caseload data'!$C:$C,'divisional &amp; regional caseload%'!$T$36,'caseload data'!$D:$D,"SPO")/SUMIF('caseload data'!$C:$C,'divisional &amp; regional caseload%'!$T$36,'caseload data'!G:G),"")</f>
        <v/>
      </c>
      <c r="X41" s="167" t="str">
        <f>IFERROR(SUMIFS('caseload data'!H:H,'caseload data'!$C:$C,'divisional &amp; regional caseload%'!$T$36,'caseload data'!$D:$D,"SPO")/SUMIF('caseload data'!$C:$C,'divisional &amp; regional caseload%'!$T$36,'caseload data'!H:H),"")</f>
        <v/>
      </c>
      <c r="Y41" s="167" t="str">
        <f>IFERROR(SUMIFS('caseload data'!I:I,'caseload data'!$C:$C,'divisional &amp; regional caseload%'!$T$36,'caseload data'!$D:$D,"SPO")/SUMIF('caseload data'!$C:$C,'divisional &amp; regional caseload%'!$T$36,'caseload data'!I:I),"")</f>
        <v/>
      </c>
      <c r="Z41" s="167" t="str">
        <f>IFERROR(SUMIFS('caseload data'!J:J,'caseload data'!$C:$C,'divisional &amp; regional caseload%'!$T$36,'caseload data'!$D:$D,"SPO")/SUMIF('caseload data'!$C:$C,'divisional &amp; regional caseload%'!$T$36,'caseload data'!J:J),"")</f>
        <v/>
      </c>
      <c r="AA41" s="167" t="str">
        <f>IFERROR(SUMIFS('caseload data'!K:K,'caseload data'!$C:$C,'divisional &amp; regional caseload%'!$T$36,'caseload data'!$D:$D,"SPO")/SUMIF('caseload data'!$C:$C,'divisional &amp; regional caseload%'!$T$36,'caseload data'!K:K),"")</f>
        <v/>
      </c>
      <c r="AB41" s="167" t="str">
        <f>IFERROR(SUMIFS('caseload data'!L:L,'caseload data'!$C:$C,'divisional &amp; regional caseload%'!$T$36,'caseload data'!$D:$D,"SPO")/SUMIF('caseload data'!$C:$C,'divisional &amp; regional caseload%'!$T$36,'caseload data'!L:L),"")</f>
        <v/>
      </c>
      <c r="AC41" s="167" t="str">
        <f>IFERROR(SUMIFS('caseload data'!M:M,'caseload data'!$C:$C,'divisional &amp; regional caseload%'!$T$36,'caseload data'!$D:$D,"SPO")/SUMIF('caseload data'!$C:$C,'divisional &amp; regional caseload%'!$T$36,'caseload data'!M:M),"")</f>
        <v/>
      </c>
      <c r="AD41" s="167" t="str">
        <f>IFERROR(SUMIFS('caseload data'!N:N,'caseload data'!$C:$C,'divisional &amp; regional caseload%'!$T$36,'caseload data'!$D:$D,"SPO")/SUMIF('caseload data'!$C:$C,'divisional &amp; regional caseload%'!$T$36,'caseload data'!N:N),"")</f>
        <v/>
      </c>
      <c r="AE41" s="167" t="str">
        <f>IFERROR(SUMIFS('caseload data'!O:O,'caseload data'!$C:$C,'divisional &amp; regional caseload%'!$T$36,'caseload data'!$D:$D,"SPO")/SUMIF('caseload data'!$C:$C,'divisional &amp; regional caseload%'!$T$36,'caseload data'!O:O),"")</f>
        <v/>
      </c>
      <c r="AF41" s="167" t="str">
        <f>IFERROR(SUMIFS('caseload data'!P:P,'caseload data'!$C:$C,'divisional &amp; regional caseload%'!$T$36,'caseload data'!$D:$D,"SPO")/SUMIF('caseload data'!$C:$C,'divisional &amp; regional caseload%'!$T$36,'caseload data'!P:P),"")</f>
        <v/>
      </c>
      <c r="AG41" s="167" t="str">
        <f>IFERROR(SUMIFS('caseload data'!Q:Q,'caseload data'!$C:$C,'divisional &amp; regional caseload%'!$T$36,'caseload data'!$D:$D,"SPO")/SUMIF('caseload data'!$C:$C,'divisional &amp; regional caseload%'!$T$36,'caseload data'!Q:Q),"")</f>
        <v/>
      </c>
      <c r="AH41" s="167" t="str">
        <f>IFERROR(SUMIFS('caseload data'!R:R,'caseload data'!$C:$C,'divisional &amp; regional caseload%'!$T$36,'caseload data'!$D:$D,"SPO")/SUMIF('caseload data'!$C:$C,'divisional &amp; regional caseload%'!$T$36,'caseload data'!R:R),"")</f>
        <v/>
      </c>
      <c r="AI41" s="167" t="str">
        <f>IFERROR(SUMIFS('caseload data'!S:S,'caseload data'!$C:$C,'divisional &amp; regional caseload%'!$T$36,'caseload data'!$D:$D,"SPO")/SUMIF('caseload data'!$C:$C,'divisional &amp; regional caseload%'!$T$36,'caseload data'!S:S),"")</f>
        <v/>
      </c>
      <c r="AJ41" s="167" t="str">
        <f>IFERROR(SUMIFS('caseload data'!T:T,'caseload data'!$C:$C,'divisional &amp; regional caseload%'!$T$36,'caseload data'!$D:$D,"SPO")/SUMIF('caseload data'!$C:$C,'divisional &amp; regional caseload%'!$T$36,'caseload data'!T:T),"")</f>
        <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7.5" customHeight="1" x14ac:dyDescent="0.15">
      <c r="B43" s="289">
        <f>HLOOKUP($B$5,Region_Table,12,0)</f>
        <v>0</v>
      </c>
      <c r="C43" s="525" t="s">
        <v>1096</v>
      </c>
      <c r="D43" s="526"/>
      <c r="E43" s="526"/>
      <c r="F43" s="526"/>
      <c r="G43" s="526"/>
      <c r="H43" s="526"/>
      <c r="I43" s="526"/>
      <c r="J43" s="526"/>
      <c r="K43" s="526"/>
      <c r="L43" s="526"/>
      <c r="M43" s="527"/>
      <c r="N43" s="527"/>
      <c r="O43" s="528"/>
      <c r="P43" s="512">
        <f>SUMIF('caseload data'!$C:$C,'divisional &amp; regional caseload%'!B43,'caseload data'!V:V)</f>
        <v>0</v>
      </c>
      <c r="Q43" s="529"/>
      <c r="R43" s="530"/>
      <c r="S43" s="64"/>
      <c r="T43" s="289">
        <f>HLOOKUP($B$5,Region_Table,13,0)</f>
        <v>0</v>
      </c>
      <c r="U43" s="525" t="s">
        <v>1096</v>
      </c>
      <c r="V43" s="526"/>
      <c r="W43" s="526"/>
      <c r="X43" s="526"/>
      <c r="Y43" s="526"/>
      <c r="Z43" s="526"/>
      <c r="AA43" s="526"/>
      <c r="AB43" s="526"/>
      <c r="AC43" s="526"/>
      <c r="AD43" s="526"/>
      <c r="AE43" s="527"/>
      <c r="AF43" s="527"/>
      <c r="AG43" s="528"/>
      <c r="AH43" s="512">
        <f>SUMIF('caseload data'!$C:$C,'divisional &amp; regional caseload%'!T43,'caseload data'!V:V)</f>
        <v>0</v>
      </c>
      <c r="AI43" s="529"/>
      <c r="AJ43" s="530"/>
    </row>
    <row r="44" spans="2:36" x14ac:dyDescent="0.15">
      <c r="B44" s="95" t="s">
        <v>1001</v>
      </c>
      <c r="C44" s="38" t="s">
        <v>864</v>
      </c>
      <c r="D44" s="38" t="s">
        <v>865</v>
      </c>
      <c r="E44" s="38" t="s">
        <v>866</v>
      </c>
      <c r="F44" s="38" t="s">
        <v>867</v>
      </c>
      <c r="G44" s="38" t="s">
        <v>868</v>
      </c>
      <c r="H44" s="38" t="s">
        <v>869</v>
      </c>
      <c r="I44" s="38" t="s">
        <v>870</v>
      </c>
      <c r="J44" s="38" t="s">
        <v>871</v>
      </c>
      <c r="K44" s="38" t="s">
        <v>872</v>
      </c>
      <c r="L44" s="38" t="s">
        <v>873</v>
      </c>
      <c r="M44" s="38" t="s">
        <v>874</v>
      </c>
      <c r="N44" s="38" t="s">
        <v>875</v>
      </c>
      <c r="O44" s="38" t="s">
        <v>876</v>
      </c>
      <c r="P44" s="38" t="s">
        <v>877</v>
      </c>
      <c r="Q44" s="38" t="s">
        <v>878</v>
      </c>
      <c r="R44" s="38" t="s">
        <v>879</v>
      </c>
      <c r="S44" s="64"/>
      <c r="T44" s="95" t="s">
        <v>1001</v>
      </c>
      <c r="U44" s="38" t="s">
        <v>864</v>
      </c>
      <c r="V44" s="38" t="s">
        <v>865</v>
      </c>
      <c r="W44" s="38" t="s">
        <v>866</v>
      </c>
      <c r="X44" s="38" t="s">
        <v>867</v>
      </c>
      <c r="Y44" s="38" t="s">
        <v>868</v>
      </c>
      <c r="Z44" s="38" t="s">
        <v>869</v>
      </c>
      <c r="AA44" s="38" t="s">
        <v>870</v>
      </c>
      <c r="AB44" s="38" t="s">
        <v>871</v>
      </c>
      <c r="AC44" s="38" t="s">
        <v>872</v>
      </c>
      <c r="AD44" s="38" t="s">
        <v>873</v>
      </c>
      <c r="AE44" s="38" t="s">
        <v>874</v>
      </c>
      <c r="AF44" s="38" t="s">
        <v>875</v>
      </c>
      <c r="AG44" s="38" t="s">
        <v>876</v>
      </c>
      <c r="AH44" s="38" t="s">
        <v>877</v>
      </c>
      <c r="AI44" s="38" t="s">
        <v>878</v>
      </c>
      <c r="AJ44" s="38" t="s">
        <v>879</v>
      </c>
    </row>
    <row r="45" spans="2:36" x14ac:dyDescent="0.15">
      <c r="B45" s="96" t="s">
        <v>997</v>
      </c>
      <c r="C45" s="167" t="str">
        <f>IFERROR(SUMIFS('caseload data'!E:E,'caseload data'!$C:$C,'divisional &amp; regional caseload%'!$B$43,'caseload data'!$D:$D,"PO")/SUMIF('caseload data'!$C:$C,'divisional &amp; regional caseload%'!$B$43,'caseload data'!E:E),"")</f>
        <v/>
      </c>
      <c r="D45" s="167" t="str">
        <f>IFERROR(SUMIFS('caseload data'!F:F,'caseload data'!$C:$C,'divisional &amp; regional caseload%'!$B$43,'caseload data'!$D:$D,"PO")/SUMIF('caseload data'!$C:$C,'divisional &amp; regional caseload%'!$B$43,'caseload data'!F:F),"")</f>
        <v/>
      </c>
      <c r="E45" s="167" t="str">
        <f>IFERROR(SUMIFS('caseload data'!G:G,'caseload data'!$C:$C,'divisional &amp; regional caseload%'!$B$43,'caseload data'!$D:$D,"PO")/SUMIF('caseload data'!$C:$C,'divisional &amp; regional caseload%'!$B$43,'caseload data'!G:G),"")</f>
        <v/>
      </c>
      <c r="F45" s="167" t="str">
        <f>IFERROR(SUMIFS('caseload data'!H:H,'caseload data'!$C:$C,'divisional &amp; regional caseload%'!$B$43,'caseload data'!$D:$D,"PO")/SUMIF('caseload data'!$C:$C,'divisional &amp; regional caseload%'!$B$43,'caseload data'!H:H),"")</f>
        <v/>
      </c>
      <c r="G45" s="167" t="str">
        <f>IFERROR(SUMIFS('caseload data'!I:I,'caseload data'!$C:$C,'divisional &amp; regional caseload%'!$B$43,'caseload data'!$D:$D,"PO")/SUMIF('caseload data'!$C:$C,'divisional &amp; regional caseload%'!$B$43,'caseload data'!I:I),"")</f>
        <v/>
      </c>
      <c r="H45" s="167" t="str">
        <f>IFERROR(SUMIFS('caseload data'!J:J,'caseload data'!$C:$C,'divisional &amp; regional caseload%'!$B$43,'caseload data'!$D:$D,"PO")/SUMIF('caseload data'!$C:$C,'divisional &amp; regional caseload%'!$B$43,'caseload data'!J:J),"")</f>
        <v/>
      </c>
      <c r="I45" s="167" t="str">
        <f>IFERROR(SUMIFS('caseload data'!K:K,'caseload data'!$C:$C,'divisional &amp; regional caseload%'!$B$43,'caseload data'!$D:$D,"PO")/SUMIF('caseload data'!$C:$C,'divisional &amp; regional caseload%'!$B$43,'caseload data'!K:K),"")</f>
        <v/>
      </c>
      <c r="J45" s="167" t="str">
        <f>IFERROR(SUMIFS('caseload data'!L:L,'caseload data'!$C:$C,'divisional &amp; regional caseload%'!$B$43,'caseload data'!$D:$D,"PO")/SUMIF('caseload data'!$C:$C,'divisional &amp; regional caseload%'!$B$43,'caseload data'!L:L),"")</f>
        <v/>
      </c>
      <c r="K45" s="167" t="str">
        <f>IFERROR(SUMIFS('caseload data'!M:M,'caseload data'!$C:$C,'divisional &amp; regional caseload%'!$B$43,'caseload data'!$D:$D,"PO")/SUMIF('caseload data'!$C:$C,'divisional &amp; regional caseload%'!$B$43,'caseload data'!M:M),"")</f>
        <v/>
      </c>
      <c r="L45" s="167" t="str">
        <f>IFERROR(SUMIFS('caseload data'!N:N,'caseload data'!$C:$C,'divisional &amp; regional caseload%'!$B$43,'caseload data'!$D:$D,"PO")/SUMIF('caseload data'!$C:$C,'divisional &amp; regional caseload%'!$B$43,'caseload data'!N:N),"")</f>
        <v/>
      </c>
      <c r="M45" s="167" t="str">
        <f>IFERROR(SUMIFS('caseload data'!O:O,'caseload data'!$C:$C,'divisional &amp; regional caseload%'!$B$43,'caseload data'!$D:$D,"PO")/SUMIF('caseload data'!$C:$C,'divisional &amp; regional caseload%'!$B$43,'caseload data'!O:O),"")</f>
        <v/>
      </c>
      <c r="N45" s="167" t="str">
        <f>IFERROR(SUMIFS('caseload data'!P:P,'caseload data'!$C:$C,'divisional &amp; regional caseload%'!$B$43,'caseload data'!$D:$D,"PO")/SUMIF('caseload data'!$C:$C,'divisional &amp; regional caseload%'!$B$43,'caseload data'!P:P),"")</f>
        <v/>
      </c>
      <c r="O45" s="167" t="str">
        <f>IFERROR(SUMIFS('caseload data'!Q:Q,'caseload data'!$C:$C,'divisional &amp; regional caseload%'!$B$43,'caseload data'!$D:$D,"PO")/SUMIF('caseload data'!$C:$C,'divisional &amp; regional caseload%'!$B$43,'caseload data'!Q:Q),"")</f>
        <v/>
      </c>
      <c r="P45" s="167" t="str">
        <f>IFERROR(SUMIFS('caseload data'!R:R,'caseload data'!$C:$C,'divisional &amp; regional caseload%'!$B$43,'caseload data'!$D:$D,"PO")/SUMIF('caseload data'!$C:$C,'divisional &amp; regional caseload%'!$B$43,'caseload data'!R:R),"")</f>
        <v/>
      </c>
      <c r="Q45" s="167" t="str">
        <f>IFERROR(SUMIFS('caseload data'!S:S,'caseload data'!$C:$C,'divisional &amp; regional caseload%'!$B$43,'caseload data'!$D:$D,"PO")/SUMIF('caseload data'!$C:$C,'divisional &amp; regional caseload%'!$B$43,'caseload data'!S:S),"")</f>
        <v/>
      </c>
      <c r="R45" s="167" t="str">
        <f>IFERROR(SUMIFS('caseload data'!T:T,'caseload data'!$C:$C,'divisional &amp; regional caseload%'!$B$43,'caseload data'!$D:$D,"PO")/SUMIF('caseload data'!$C:$C,'divisional &amp; regional caseload%'!$B$43,'caseload data'!T:T),"")</f>
        <v/>
      </c>
      <c r="S45" s="64"/>
      <c r="T45" s="96" t="s">
        <v>997</v>
      </c>
      <c r="U45" s="167" t="str">
        <f>IFERROR(SUMIFS('caseload data'!E:E,'caseload data'!$C:$C,'divisional &amp; regional caseload%'!$T$43,'caseload data'!$D:$D,"PO")/SUMIF('caseload data'!$C:$C,'divisional &amp; regional caseload%'!$T$43,'caseload data'!E:E),"")</f>
        <v/>
      </c>
      <c r="V45" s="167" t="str">
        <f>IFERROR(SUMIFS('caseload data'!F:F,'caseload data'!$C:$C,'divisional &amp; regional caseload%'!$T$43,'caseload data'!$D:$D,"PO")/SUMIF('caseload data'!$C:$C,'divisional &amp; regional caseload%'!$T$43,'caseload data'!F:F),"")</f>
        <v/>
      </c>
      <c r="W45" s="167" t="str">
        <f>IFERROR(SUMIFS('caseload data'!G:G,'caseload data'!$C:$C,'divisional &amp; regional caseload%'!$T$43,'caseload data'!$D:$D,"PO")/SUMIF('caseload data'!$C:$C,'divisional &amp; regional caseload%'!$T$43,'caseload data'!G:G),"")</f>
        <v/>
      </c>
      <c r="X45" s="167" t="str">
        <f>IFERROR(SUMIFS('caseload data'!H:H,'caseload data'!$C:$C,'divisional &amp; regional caseload%'!$T$43,'caseload data'!$D:$D,"PO")/SUMIF('caseload data'!$C:$C,'divisional &amp; regional caseload%'!$T$43,'caseload data'!H:H),"")</f>
        <v/>
      </c>
      <c r="Y45" s="167" t="str">
        <f>IFERROR(SUMIFS('caseload data'!I:I,'caseload data'!$C:$C,'divisional &amp; regional caseload%'!$T$43,'caseload data'!$D:$D,"PO")/SUMIF('caseload data'!$C:$C,'divisional &amp; regional caseload%'!$T$43,'caseload data'!I:I),"")</f>
        <v/>
      </c>
      <c r="Z45" s="167" t="str">
        <f>IFERROR(SUMIFS('caseload data'!J:J,'caseload data'!$C:$C,'divisional &amp; regional caseload%'!$T$43,'caseload data'!$D:$D,"PO")/SUMIF('caseload data'!$C:$C,'divisional &amp; regional caseload%'!$T$43,'caseload data'!J:J),"")</f>
        <v/>
      </c>
      <c r="AA45" s="167" t="str">
        <f>IFERROR(SUMIFS('caseload data'!K:K,'caseload data'!$C:$C,'divisional &amp; regional caseload%'!$T$43,'caseload data'!$D:$D,"PO")/SUMIF('caseload data'!$C:$C,'divisional &amp; regional caseload%'!$T$43,'caseload data'!K:K),"")</f>
        <v/>
      </c>
      <c r="AB45" s="167" t="str">
        <f>IFERROR(SUMIFS('caseload data'!L:L,'caseload data'!$C:$C,'divisional &amp; regional caseload%'!$T$43,'caseload data'!$D:$D,"PO")/SUMIF('caseload data'!$C:$C,'divisional &amp; regional caseload%'!$T$43,'caseload data'!L:L),"")</f>
        <v/>
      </c>
      <c r="AC45" s="167" t="str">
        <f>IFERROR(SUMIFS('caseload data'!M:M,'caseload data'!$C:$C,'divisional &amp; regional caseload%'!$T$43,'caseload data'!$D:$D,"PO")/SUMIF('caseload data'!$C:$C,'divisional &amp; regional caseload%'!$T$43,'caseload data'!M:M),"")</f>
        <v/>
      </c>
      <c r="AD45" s="167" t="str">
        <f>IFERROR(SUMIFS('caseload data'!N:N,'caseload data'!$C:$C,'divisional &amp; regional caseload%'!$T$43,'caseload data'!$D:$D,"PO")/SUMIF('caseload data'!$C:$C,'divisional &amp; regional caseload%'!$T$43,'caseload data'!N:N),"")</f>
        <v/>
      </c>
      <c r="AE45" s="167" t="str">
        <f>IFERROR(SUMIFS('caseload data'!O:O,'caseload data'!$C:$C,'divisional &amp; regional caseload%'!$T$43,'caseload data'!$D:$D,"PO")/SUMIF('caseload data'!$C:$C,'divisional &amp; regional caseload%'!$T$43,'caseload data'!O:O),"")</f>
        <v/>
      </c>
      <c r="AF45" s="167" t="str">
        <f>IFERROR(SUMIFS('caseload data'!P:P,'caseload data'!$C:$C,'divisional &amp; regional caseload%'!$T$43,'caseload data'!$D:$D,"PO")/SUMIF('caseload data'!$C:$C,'divisional &amp; regional caseload%'!$T$43,'caseload data'!P:P),"")</f>
        <v/>
      </c>
      <c r="AG45" s="167" t="str">
        <f>IFERROR(SUMIFS('caseload data'!Q:Q,'caseload data'!$C:$C,'divisional &amp; regional caseload%'!$T$43,'caseload data'!$D:$D,"PO")/SUMIF('caseload data'!$C:$C,'divisional &amp; regional caseload%'!$T$43,'caseload data'!Q:Q),"")</f>
        <v/>
      </c>
      <c r="AH45" s="167" t="str">
        <f>IFERROR(SUMIFS('caseload data'!R:R,'caseload data'!$C:$C,'divisional &amp; regional caseload%'!$T$43,'caseload data'!$D:$D,"PO")/SUMIF('caseload data'!$C:$C,'divisional &amp; regional caseload%'!$T$43,'caseload data'!R:R),"")</f>
        <v/>
      </c>
      <c r="AI45" s="167" t="str">
        <f>IFERROR(SUMIFS('caseload data'!S:S,'caseload data'!$C:$C,'divisional &amp; regional caseload%'!$T$43,'caseload data'!$D:$D,"PO")/SUMIF('caseload data'!$C:$C,'divisional &amp; regional caseload%'!$T$43,'caseload data'!S:S),"")</f>
        <v/>
      </c>
      <c r="AJ45" s="167" t="str">
        <f>IFERROR(SUMIFS('caseload data'!T:T,'caseload data'!$C:$C,'divisional &amp; regional caseload%'!$T$43,'caseload data'!$D:$D,"PO")/SUMIF('caseload data'!$C:$C,'divisional &amp; regional caseload%'!$T$43,'caseload data'!T:T),"")</f>
        <v/>
      </c>
    </row>
    <row r="46" spans="2:36" x14ac:dyDescent="0.15">
      <c r="B46" s="97" t="s">
        <v>1002</v>
      </c>
      <c r="C46" s="167" t="str">
        <f>IFERROR(SUMIFS('caseload data'!E:E,'caseload data'!$C:$C,'divisional &amp; regional caseload%'!$B$43,'caseload data'!$D:$D,"PSO")/SUMIF('caseload data'!$C:$C,'divisional &amp; regional caseload%'!$B$43,'caseload data'!E:E),"")</f>
        <v/>
      </c>
      <c r="D46" s="167" t="str">
        <f>IFERROR(SUMIFS('caseload data'!F:F,'caseload data'!$C:$C,'divisional &amp; regional caseload%'!$B$43,'caseload data'!$D:$D,"PSO")/SUMIF('caseload data'!$C:$C,'divisional &amp; regional caseload%'!$B$43,'caseload data'!F:F),"")</f>
        <v/>
      </c>
      <c r="E46" s="167" t="str">
        <f>IFERROR(SUMIFS('caseload data'!G:G,'caseload data'!$C:$C,'divisional &amp; regional caseload%'!$B$43,'caseload data'!$D:$D,"PSO")/SUMIF('caseload data'!$C:$C,'divisional &amp; regional caseload%'!$B$43,'caseload data'!G:G),"")</f>
        <v/>
      </c>
      <c r="F46" s="167" t="str">
        <f>IFERROR(SUMIFS('caseload data'!H:H,'caseload data'!$C:$C,'divisional &amp; regional caseload%'!$B$43,'caseload data'!$D:$D,"PSO")/SUMIF('caseload data'!$C:$C,'divisional &amp; regional caseload%'!$B$43,'caseload data'!H:H),"")</f>
        <v/>
      </c>
      <c r="G46" s="167" t="str">
        <f>IFERROR(SUMIFS('caseload data'!I:I,'caseload data'!$C:$C,'divisional &amp; regional caseload%'!$B$43,'caseload data'!$D:$D,"PSO")/SUMIF('caseload data'!$C:$C,'divisional &amp; regional caseload%'!$B$43,'caseload data'!I:I),"")</f>
        <v/>
      </c>
      <c r="H46" s="167" t="str">
        <f>IFERROR(SUMIFS('caseload data'!J:J,'caseload data'!$C:$C,'divisional &amp; regional caseload%'!$B$43,'caseload data'!$D:$D,"PSO")/SUMIF('caseload data'!$C:$C,'divisional &amp; regional caseload%'!$B$43,'caseload data'!J:J),"")</f>
        <v/>
      </c>
      <c r="I46" s="167" t="str">
        <f>IFERROR(SUMIFS('caseload data'!K:K,'caseload data'!$C:$C,'divisional &amp; regional caseload%'!$B$43,'caseload data'!$D:$D,"PSO")/SUMIF('caseload data'!$C:$C,'divisional &amp; regional caseload%'!$B$43,'caseload data'!K:K),"")</f>
        <v/>
      </c>
      <c r="J46" s="167" t="str">
        <f>IFERROR(SUMIFS('caseload data'!L:L,'caseload data'!$C:$C,'divisional &amp; regional caseload%'!$B$43,'caseload data'!$D:$D,"PSO")/SUMIF('caseload data'!$C:$C,'divisional &amp; regional caseload%'!$B$43,'caseload data'!L:L),"")</f>
        <v/>
      </c>
      <c r="K46" s="167" t="str">
        <f>IFERROR(SUMIFS('caseload data'!M:M,'caseload data'!$C:$C,'divisional &amp; regional caseload%'!$B$43,'caseload data'!$D:$D,"PSO")/SUMIF('caseload data'!$C:$C,'divisional &amp; regional caseload%'!$B$43,'caseload data'!M:M),"")</f>
        <v/>
      </c>
      <c r="L46" s="167" t="str">
        <f>IFERROR(SUMIFS('caseload data'!N:N,'caseload data'!$C:$C,'divisional &amp; regional caseload%'!$B$43,'caseload data'!$D:$D,"PSO")/SUMIF('caseload data'!$C:$C,'divisional &amp; regional caseload%'!$B$43,'caseload data'!N:N),"")</f>
        <v/>
      </c>
      <c r="M46" s="167" t="str">
        <f>IFERROR(SUMIFS('caseload data'!O:O,'caseload data'!$C:$C,'divisional &amp; regional caseload%'!$B$43,'caseload data'!$D:$D,"PSO")/SUMIF('caseload data'!$C:$C,'divisional &amp; regional caseload%'!$B$43,'caseload data'!O:O),"")</f>
        <v/>
      </c>
      <c r="N46" s="167" t="str">
        <f>IFERROR(SUMIFS('caseload data'!P:P,'caseload data'!$C:$C,'divisional &amp; regional caseload%'!$B$43,'caseload data'!$D:$D,"PSO")/SUMIF('caseload data'!$C:$C,'divisional &amp; regional caseload%'!$B$43,'caseload data'!P:P),"")</f>
        <v/>
      </c>
      <c r="O46" s="167" t="str">
        <f>IFERROR(SUMIFS('caseload data'!Q:Q,'caseload data'!$C:$C,'divisional &amp; regional caseload%'!$B$43,'caseload data'!$D:$D,"PSO")/SUMIF('caseload data'!$C:$C,'divisional &amp; regional caseload%'!$B$43,'caseload data'!Q:Q),"")</f>
        <v/>
      </c>
      <c r="P46" s="167" t="str">
        <f>IFERROR(SUMIFS('caseload data'!R:R,'caseload data'!$C:$C,'divisional &amp; regional caseload%'!$B$43,'caseload data'!$D:$D,"PSO")/SUMIF('caseload data'!$C:$C,'divisional &amp; regional caseload%'!$B$43,'caseload data'!R:R),"")</f>
        <v/>
      </c>
      <c r="Q46" s="167" t="str">
        <f>IFERROR(SUMIFS('caseload data'!S:S,'caseload data'!$C:$C,'divisional &amp; regional caseload%'!$B$43,'caseload data'!$D:$D,"PSO")/SUMIF('caseload data'!$C:$C,'divisional &amp; regional caseload%'!$B$43,'caseload data'!S:S),"")</f>
        <v/>
      </c>
      <c r="R46" s="167" t="str">
        <f>IFERROR(SUMIFS('caseload data'!T:T,'caseload data'!$C:$C,'divisional &amp; regional caseload%'!$B$43,'caseload data'!$D:$D,"PSO")/SUMIF('caseload data'!$C:$C,'divisional &amp; regional caseload%'!$B$43,'caseload data'!T:T),"")</f>
        <v/>
      </c>
      <c r="S46" s="64"/>
      <c r="T46" s="97" t="s">
        <v>1002</v>
      </c>
      <c r="U46" s="167" t="str">
        <f>IFERROR(SUMIFS('caseload data'!E:E,'caseload data'!$C:$C,'divisional &amp; regional caseload%'!$T$43,'caseload data'!$D:$D,"PSO")/SUMIF('caseload data'!$C:$C,'divisional &amp; regional caseload%'!$T$36,'caseload data'!E:E),"")</f>
        <v/>
      </c>
      <c r="V46" s="167" t="str">
        <f>IFERROR(SUMIFS('caseload data'!F:F,'caseload data'!$C:$C,'divisional &amp; regional caseload%'!$T$43,'caseload data'!$D:$D,"PSO")/SUMIF('caseload data'!$C:$C,'divisional &amp; regional caseload%'!$T$36,'caseload data'!F:F),"")</f>
        <v/>
      </c>
      <c r="W46" s="167" t="str">
        <f>IFERROR(SUMIFS('caseload data'!G:G,'caseload data'!$C:$C,'divisional &amp; regional caseload%'!$T$43,'caseload data'!$D:$D,"PSO")/SUMIF('caseload data'!$C:$C,'divisional &amp; regional caseload%'!$T$36,'caseload data'!G:G),"")</f>
        <v/>
      </c>
      <c r="X46" s="167" t="str">
        <f>IFERROR(SUMIFS('caseload data'!H:H,'caseload data'!$C:$C,'divisional &amp; regional caseload%'!$T$43,'caseload data'!$D:$D,"PSO")/SUMIF('caseload data'!$C:$C,'divisional &amp; regional caseload%'!$T$36,'caseload data'!H:H),"")</f>
        <v/>
      </c>
      <c r="Y46" s="167" t="str">
        <f>IFERROR(SUMIFS('caseload data'!I:I,'caseload data'!$C:$C,'divisional &amp; regional caseload%'!$T$43,'caseload data'!$D:$D,"PSO")/SUMIF('caseload data'!$C:$C,'divisional &amp; regional caseload%'!$T$36,'caseload data'!I:I),"")</f>
        <v/>
      </c>
      <c r="Z46" s="167" t="str">
        <f>IFERROR(SUMIFS('caseload data'!J:J,'caseload data'!$C:$C,'divisional &amp; regional caseload%'!$T$43,'caseload data'!$D:$D,"PSO")/SUMIF('caseload data'!$C:$C,'divisional &amp; regional caseload%'!$T$36,'caseload data'!J:J),"")</f>
        <v/>
      </c>
      <c r="AA46" s="167" t="str">
        <f>IFERROR(SUMIFS('caseload data'!K:K,'caseload data'!$C:$C,'divisional &amp; regional caseload%'!$T$43,'caseload data'!$D:$D,"PSO")/SUMIF('caseload data'!$C:$C,'divisional &amp; regional caseload%'!$T$36,'caseload data'!K:K),"")</f>
        <v/>
      </c>
      <c r="AB46" s="167" t="str">
        <f>IFERROR(SUMIFS('caseload data'!L:L,'caseload data'!$C:$C,'divisional &amp; regional caseload%'!$T$43,'caseload data'!$D:$D,"PSO")/SUMIF('caseload data'!$C:$C,'divisional &amp; regional caseload%'!$T$36,'caseload data'!L:L),"")</f>
        <v/>
      </c>
      <c r="AC46" s="167" t="str">
        <f>IFERROR(SUMIFS('caseload data'!M:M,'caseload data'!$C:$C,'divisional &amp; regional caseload%'!$T$43,'caseload data'!$D:$D,"PSO")/SUMIF('caseload data'!$C:$C,'divisional &amp; regional caseload%'!$T$36,'caseload data'!M:M),"")</f>
        <v/>
      </c>
      <c r="AD46" s="167" t="str">
        <f>IFERROR(SUMIFS('caseload data'!N:N,'caseload data'!$C:$C,'divisional &amp; regional caseload%'!$T$43,'caseload data'!$D:$D,"PSO")/SUMIF('caseload data'!$C:$C,'divisional &amp; regional caseload%'!$T$36,'caseload data'!N:N),"")</f>
        <v/>
      </c>
      <c r="AE46" s="167" t="str">
        <f>IFERROR(SUMIFS('caseload data'!O:O,'caseload data'!$C:$C,'divisional &amp; regional caseload%'!$T$43,'caseload data'!$D:$D,"PSO")/SUMIF('caseload data'!$C:$C,'divisional &amp; regional caseload%'!$T$36,'caseload data'!O:O),"")</f>
        <v/>
      </c>
      <c r="AF46" s="167" t="str">
        <f>IFERROR(SUMIFS('caseload data'!P:P,'caseload data'!$C:$C,'divisional &amp; regional caseload%'!$T$43,'caseload data'!$D:$D,"PSO")/SUMIF('caseload data'!$C:$C,'divisional &amp; regional caseload%'!$T$36,'caseload data'!P:P),"")</f>
        <v/>
      </c>
      <c r="AG46" s="167" t="str">
        <f>IFERROR(SUMIFS('caseload data'!Q:Q,'caseload data'!$C:$C,'divisional &amp; regional caseload%'!$T$43,'caseload data'!$D:$D,"PSO")/SUMIF('caseload data'!$C:$C,'divisional &amp; regional caseload%'!$T$36,'caseload data'!Q:Q),"")</f>
        <v/>
      </c>
      <c r="AH46" s="167" t="str">
        <f>IFERROR(SUMIFS('caseload data'!R:R,'caseload data'!$C:$C,'divisional &amp; regional caseload%'!$T$43,'caseload data'!$D:$D,"PSO")/SUMIF('caseload data'!$C:$C,'divisional &amp; regional caseload%'!$T$36,'caseload data'!R:R),"")</f>
        <v/>
      </c>
      <c r="AI46" s="167" t="str">
        <f>IFERROR(SUMIFS('caseload data'!S:S,'caseload data'!$C:$C,'divisional &amp; regional caseload%'!$T$43,'caseload data'!$D:$D,"PSO")/SUMIF('caseload data'!$C:$C,'divisional &amp; regional caseload%'!$T$36,'caseload data'!S:S),"")</f>
        <v/>
      </c>
      <c r="AJ46" s="167" t="str">
        <f>IFERROR(SUMIFS('caseload data'!T:T,'caseload data'!$C:$C,'divisional &amp; regional caseload%'!$T$43,'caseload data'!$D:$D,"PSO")/SUMIF('caseload data'!$C:$C,'divisional &amp; regional caseload%'!$T$36,'caseload data'!T:T),"")</f>
        <v/>
      </c>
    </row>
    <row r="47" spans="2:36" x14ac:dyDescent="0.15">
      <c r="B47" s="97" t="s">
        <v>1003</v>
      </c>
      <c r="C47" s="167" t="str">
        <f>IFERROR(SUMIFS('caseload data'!E:E,'caseload data'!$C:$C,'divisional &amp; regional caseload%'!$B$43,'caseload data'!$D:$D,"TPO")/SUMIF('caseload data'!$C:$C,'divisional &amp; regional caseload%'!$B$43,'caseload data'!E:E),"")</f>
        <v/>
      </c>
      <c r="D47" s="167" t="str">
        <f>IFERROR(SUMIFS('caseload data'!F:F,'caseload data'!$C:$C,'divisional &amp; regional caseload%'!$B$43,'caseload data'!$D:$D,"TPO")/SUMIF('caseload data'!$C:$C,'divisional &amp; regional caseload%'!$B$43,'caseload data'!F:F),"")</f>
        <v/>
      </c>
      <c r="E47" s="167" t="str">
        <f>IFERROR(SUMIFS('caseload data'!G:G,'caseload data'!$C:$C,'divisional &amp; regional caseload%'!$B$43,'caseload data'!$D:$D,"TPO")/SUMIF('caseload data'!$C:$C,'divisional &amp; regional caseload%'!$B$43,'caseload data'!G:G),"")</f>
        <v/>
      </c>
      <c r="F47" s="167" t="str">
        <f>IFERROR(SUMIFS('caseload data'!H:H,'caseload data'!$C:$C,'divisional &amp; regional caseload%'!$B$43,'caseload data'!$D:$D,"TPO")/SUMIF('caseload data'!$C:$C,'divisional &amp; regional caseload%'!$B$43,'caseload data'!H:H),"")</f>
        <v/>
      </c>
      <c r="G47" s="167" t="str">
        <f>IFERROR(SUMIFS('caseload data'!I:I,'caseload data'!$C:$C,'divisional &amp; regional caseload%'!$B$43,'caseload data'!$D:$D,"TPO")/SUMIF('caseload data'!$C:$C,'divisional &amp; regional caseload%'!$B$43,'caseload data'!I:I),"")</f>
        <v/>
      </c>
      <c r="H47" s="167" t="str">
        <f>IFERROR(SUMIFS('caseload data'!J:J,'caseload data'!$C:$C,'divisional &amp; regional caseload%'!$B$43,'caseload data'!$D:$D,"TPO")/SUMIF('caseload data'!$C:$C,'divisional &amp; regional caseload%'!$B$43,'caseload data'!J:J),"")</f>
        <v/>
      </c>
      <c r="I47" s="167" t="str">
        <f>IFERROR(SUMIFS('caseload data'!K:K,'caseload data'!$C:$C,'divisional &amp; regional caseload%'!$B$43,'caseload data'!$D:$D,"TPO")/SUMIF('caseload data'!$C:$C,'divisional &amp; regional caseload%'!$B$43,'caseload data'!K:K),"")</f>
        <v/>
      </c>
      <c r="J47" s="167" t="str">
        <f>IFERROR(SUMIFS('caseload data'!L:L,'caseload data'!$C:$C,'divisional &amp; regional caseload%'!$B$43,'caseload data'!$D:$D,"TPO")/SUMIF('caseload data'!$C:$C,'divisional &amp; regional caseload%'!$B$43,'caseload data'!L:L),"")</f>
        <v/>
      </c>
      <c r="K47" s="167" t="str">
        <f>IFERROR(SUMIFS('caseload data'!M:M,'caseload data'!$C:$C,'divisional &amp; regional caseload%'!$B$43,'caseload data'!$D:$D,"TPO")/SUMIF('caseload data'!$C:$C,'divisional &amp; regional caseload%'!$B$43,'caseload data'!M:M),"")</f>
        <v/>
      </c>
      <c r="L47" s="167" t="str">
        <f>IFERROR(SUMIFS('caseload data'!N:N,'caseload data'!$C:$C,'divisional &amp; regional caseload%'!$B$43,'caseload data'!$D:$D,"TPO")/SUMIF('caseload data'!$C:$C,'divisional &amp; regional caseload%'!$B$43,'caseload data'!N:N),"")</f>
        <v/>
      </c>
      <c r="M47" s="167" t="str">
        <f>IFERROR(SUMIFS('caseload data'!O:O,'caseload data'!$C:$C,'divisional &amp; regional caseload%'!$B$43,'caseload data'!$D:$D,"TPO")/SUMIF('caseload data'!$C:$C,'divisional &amp; regional caseload%'!$B$43,'caseload data'!O:O),"")</f>
        <v/>
      </c>
      <c r="N47" s="167" t="str">
        <f>IFERROR(SUMIFS('caseload data'!P:P,'caseload data'!$C:$C,'divisional &amp; regional caseload%'!$B$43,'caseload data'!$D:$D,"TPO")/SUMIF('caseload data'!$C:$C,'divisional &amp; regional caseload%'!$B$43,'caseload data'!P:P),"")</f>
        <v/>
      </c>
      <c r="O47" s="167" t="str">
        <f>IFERROR(SUMIFS('caseload data'!Q:Q,'caseload data'!$C:$C,'divisional &amp; regional caseload%'!$B$43,'caseload data'!$D:$D,"TPO")/SUMIF('caseload data'!$C:$C,'divisional &amp; regional caseload%'!$B$43,'caseload data'!Q:Q),"")</f>
        <v/>
      </c>
      <c r="P47" s="167" t="str">
        <f>IFERROR(SUMIFS('caseload data'!R:R,'caseload data'!$C:$C,'divisional &amp; regional caseload%'!$B$43,'caseload data'!$D:$D,"TPO")/SUMIF('caseload data'!$C:$C,'divisional &amp; regional caseload%'!$B$43,'caseload data'!R:R),"")</f>
        <v/>
      </c>
      <c r="Q47" s="167" t="str">
        <f>IFERROR(SUMIFS('caseload data'!S:S,'caseload data'!$C:$C,'divisional &amp; regional caseload%'!$B$43,'caseload data'!$D:$D,"TPO")/SUMIF('caseload data'!$C:$C,'divisional &amp; regional caseload%'!$B$43,'caseload data'!S:S),"")</f>
        <v/>
      </c>
      <c r="R47" s="167" t="str">
        <f>IFERROR(SUMIFS('caseload data'!T:T,'caseload data'!$C:$C,'divisional &amp; regional caseload%'!$B$43,'caseload data'!$D:$D,"TPO")/SUMIF('caseload data'!$C:$C,'divisional &amp; regional caseload%'!$B$43,'caseload data'!T:T),"")</f>
        <v/>
      </c>
      <c r="S47" s="64"/>
      <c r="T47" s="97" t="s">
        <v>1003</v>
      </c>
      <c r="U47" s="167" t="str">
        <f>IFERROR(SUMIFS('caseload data'!E:E,'caseload data'!$C:$C,'divisional &amp; regional caseload%'!$T$43,'caseload data'!$D:$D,"TPO")/SUMIF('caseload data'!$C:$C,'divisional &amp; regional caseload%'!$T$36,'caseload data'!E:E),"")</f>
        <v/>
      </c>
      <c r="V47" s="167" t="str">
        <f>IFERROR(SUMIFS('caseload data'!F:F,'caseload data'!$C:$C,'divisional &amp; regional caseload%'!$T$43,'caseload data'!$D:$D,"TPO")/SUMIF('caseload data'!$C:$C,'divisional &amp; regional caseload%'!$T$36,'caseload data'!F:F),"")</f>
        <v/>
      </c>
      <c r="W47" s="167" t="str">
        <f>IFERROR(SUMIFS('caseload data'!G:G,'caseload data'!$C:$C,'divisional &amp; regional caseload%'!$T$43,'caseload data'!$D:$D,"TPO")/SUMIF('caseload data'!$C:$C,'divisional &amp; regional caseload%'!$T$36,'caseload data'!G:G),"")</f>
        <v/>
      </c>
      <c r="X47" s="167" t="str">
        <f>IFERROR(SUMIFS('caseload data'!H:H,'caseload data'!$C:$C,'divisional &amp; regional caseload%'!$T$43,'caseload data'!$D:$D,"TPO")/SUMIF('caseload data'!$C:$C,'divisional &amp; regional caseload%'!$T$36,'caseload data'!H:H),"")</f>
        <v/>
      </c>
      <c r="Y47" s="167" t="str">
        <f>IFERROR(SUMIFS('caseload data'!I:I,'caseload data'!$C:$C,'divisional &amp; regional caseload%'!$T$43,'caseload data'!$D:$D,"TPO")/SUMIF('caseload data'!$C:$C,'divisional &amp; regional caseload%'!$T$36,'caseload data'!I:I),"")</f>
        <v/>
      </c>
      <c r="Z47" s="167" t="str">
        <f>IFERROR(SUMIFS('caseload data'!J:J,'caseload data'!$C:$C,'divisional &amp; regional caseload%'!$T$43,'caseload data'!$D:$D,"TPO")/SUMIF('caseload data'!$C:$C,'divisional &amp; regional caseload%'!$T$36,'caseload data'!J:J),"")</f>
        <v/>
      </c>
      <c r="AA47" s="167" t="str">
        <f>IFERROR(SUMIFS('caseload data'!K:K,'caseload data'!$C:$C,'divisional &amp; regional caseload%'!$T$43,'caseload data'!$D:$D,"TPO")/SUMIF('caseload data'!$C:$C,'divisional &amp; regional caseload%'!$T$36,'caseload data'!K:K),"")</f>
        <v/>
      </c>
      <c r="AB47" s="167" t="str">
        <f>IFERROR(SUMIFS('caseload data'!L:L,'caseload data'!$C:$C,'divisional &amp; regional caseload%'!$T$43,'caseload data'!$D:$D,"TPO")/SUMIF('caseload data'!$C:$C,'divisional &amp; regional caseload%'!$T$36,'caseload data'!L:L),"")</f>
        <v/>
      </c>
      <c r="AC47" s="167" t="str">
        <f>IFERROR(SUMIFS('caseload data'!M:M,'caseload data'!$C:$C,'divisional &amp; regional caseload%'!$T$43,'caseload data'!$D:$D,"TPO")/SUMIF('caseload data'!$C:$C,'divisional &amp; regional caseload%'!$T$36,'caseload data'!M:M),"")</f>
        <v/>
      </c>
      <c r="AD47" s="167" t="str">
        <f>IFERROR(SUMIFS('caseload data'!N:N,'caseload data'!$C:$C,'divisional &amp; regional caseload%'!$T$43,'caseload data'!$D:$D,"TPO")/SUMIF('caseload data'!$C:$C,'divisional &amp; regional caseload%'!$T$36,'caseload data'!N:N),"")</f>
        <v/>
      </c>
      <c r="AE47" s="167" t="str">
        <f>IFERROR(SUMIFS('caseload data'!O:O,'caseload data'!$C:$C,'divisional &amp; regional caseload%'!$T$43,'caseload data'!$D:$D,"TPO")/SUMIF('caseload data'!$C:$C,'divisional &amp; regional caseload%'!$T$36,'caseload data'!O:O),"")</f>
        <v/>
      </c>
      <c r="AF47" s="167" t="str">
        <f>IFERROR(SUMIFS('caseload data'!P:P,'caseload data'!$C:$C,'divisional &amp; regional caseload%'!$T$43,'caseload data'!$D:$D,"TPO")/SUMIF('caseload data'!$C:$C,'divisional &amp; regional caseload%'!$T$36,'caseload data'!P:P),"")</f>
        <v/>
      </c>
      <c r="AG47" s="167" t="str">
        <f>IFERROR(SUMIFS('caseload data'!Q:Q,'caseload data'!$C:$C,'divisional &amp; regional caseload%'!$T$43,'caseload data'!$D:$D,"TPO")/SUMIF('caseload data'!$C:$C,'divisional &amp; regional caseload%'!$T$36,'caseload data'!Q:Q),"")</f>
        <v/>
      </c>
      <c r="AH47" s="167" t="str">
        <f>IFERROR(SUMIFS('caseload data'!R:R,'caseload data'!$C:$C,'divisional &amp; regional caseload%'!$T$43,'caseload data'!$D:$D,"TPO")/SUMIF('caseload data'!$C:$C,'divisional &amp; regional caseload%'!$T$36,'caseload data'!R:R),"")</f>
        <v/>
      </c>
      <c r="AI47" s="167" t="str">
        <f>IFERROR(SUMIFS('caseload data'!S:S,'caseload data'!$C:$C,'divisional &amp; regional caseload%'!$T$43,'caseload data'!$D:$D,"TPO")/SUMIF('caseload data'!$C:$C,'divisional &amp; regional caseload%'!$T$36,'caseload data'!S:S),"")</f>
        <v/>
      </c>
      <c r="AJ47" s="167" t="str">
        <f>IFERROR(SUMIFS('caseload data'!T:T,'caseload data'!$C:$C,'divisional &amp; regional caseload%'!$T$43,'caseload data'!$D:$D,"TPO")/SUMIF('caseload data'!$C:$C,'divisional &amp; regional caseload%'!$T$36,'caseload data'!T:T),"")</f>
        <v/>
      </c>
    </row>
    <row r="48" spans="2:36" x14ac:dyDescent="0.15">
      <c r="B48" s="98" t="s">
        <v>1004</v>
      </c>
      <c r="C48" s="167" t="str">
        <f>IFERROR(SUMIFS('caseload data'!E:E,'caseload data'!$C:$C,'divisional &amp; regional caseload%'!$B$43,'caseload data'!$D:$D,"SPO")/SUMIF('caseload data'!$C:$C,'divisional &amp; regional caseload%'!$B$43,'caseload data'!E:E),"")</f>
        <v/>
      </c>
      <c r="D48" s="167" t="str">
        <f>IFERROR(SUMIFS('caseload data'!F:F,'caseload data'!$C:$C,'divisional &amp; regional caseload%'!$B$43,'caseload data'!$D:$D,"SPO")/SUMIF('caseload data'!$C:$C,'divisional &amp; regional caseload%'!$B$43,'caseload data'!F:F),"")</f>
        <v/>
      </c>
      <c r="E48" s="167" t="str">
        <f>IFERROR(SUMIFS('caseload data'!G:G,'caseload data'!$C:$C,'divisional &amp; regional caseload%'!$B$43,'caseload data'!$D:$D,"SPO")/SUMIF('caseload data'!$C:$C,'divisional &amp; regional caseload%'!$B$43,'caseload data'!G:G),"")</f>
        <v/>
      </c>
      <c r="F48" s="167" t="str">
        <f>IFERROR(SUMIFS('caseload data'!H:H,'caseload data'!$C:$C,'divisional &amp; regional caseload%'!$B$43,'caseload data'!$D:$D,"SPO")/SUMIF('caseload data'!$C:$C,'divisional &amp; regional caseload%'!$B$43,'caseload data'!H:H),"")</f>
        <v/>
      </c>
      <c r="G48" s="167" t="str">
        <f>IFERROR(SUMIFS('caseload data'!I:I,'caseload data'!$C:$C,'divisional &amp; regional caseload%'!$B$43,'caseload data'!$D:$D,"SPO")/SUMIF('caseload data'!$C:$C,'divisional &amp; regional caseload%'!$B$43,'caseload data'!I:I),"")</f>
        <v/>
      </c>
      <c r="H48" s="167" t="str">
        <f>IFERROR(SUMIFS('caseload data'!J:J,'caseload data'!$C:$C,'divisional &amp; regional caseload%'!$B$43,'caseload data'!$D:$D,"SPO")/SUMIF('caseload data'!$C:$C,'divisional &amp; regional caseload%'!$B$43,'caseload data'!J:J),"")</f>
        <v/>
      </c>
      <c r="I48" s="167" t="str">
        <f>IFERROR(SUMIFS('caseload data'!K:K,'caseload data'!$C:$C,'divisional &amp; regional caseload%'!$B$43,'caseload data'!$D:$D,"SPO")/SUMIF('caseload data'!$C:$C,'divisional &amp; regional caseload%'!$B$43,'caseload data'!K:K),"")</f>
        <v/>
      </c>
      <c r="J48" s="167" t="str">
        <f>IFERROR(SUMIFS('caseload data'!L:L,'caseload data'!$C:$C,'divisional &amp; regional caseload%'!$B$43,'caseload data'!$D:$D,"SPO")/SUMIF('caseload data'!$C:$C,'divisional &amp; regional caseload%'!$B$43,'caseload data'!L:L),"")</f>
        <v/>
      </c>
      <c r="K48" s="167" t="str">
        <f>IFERROR(SUMIFS('caseload data'!M:M,'caseload data'!$C:$C,'divisional &amp; regional caseload%'!$B$43,'caseload data'!$D:$D,"SPO")/SUMIF('caseload data'!$C:$C,'divisional &amp; regional caseload%'!$B$43,'caseload data'!M:M),"")</f>
        <v/>
      </c>
      <c r="L48" s="167" t="str">
        <f>IFERROR(SUMIFS('caseload data'!N:N,'caseload data'!$C:$C,'divisional &amp; regional caseload%'!$B$43,'caseload data'!$D:$D,"SPO")/SUMIF('caseload data'!$C:$C,'divisional &amp; regional caseload%'!$B$43,'caseload data'!N:N),"")</f>
        <v/>
      </c>
      <c r="M48" s="167" t="str">
        <f>IFERROR(SUMIFS('caseload data'!O:O,'caseload data'!$C:$C,'divisional &amp; regional caseload%'!$B$43,'caseload data'!$D:$D,"SPO")/SUMIF('caseload data'!$C:$C,'divisional &amp; regional caseload%'!$B$43,'caseload data'!O:O),"")</f>
        <v/>
      </c>
      <c r="N48" s="167" t="str">
        <f>IFERROR(SUMIFS('caseload data'!P:P,'caseload data'!$C:$C,'divisional &amp; regional caseload%'!$B$43,'caseload data'!$D:$D,"SPO")/SUMIF('caseload data'!$C:$C,'divisional &amp; regional caseload%'!$B$43,'caseload data'!P:P),"")</f>
        <v/>
      </c>
      <c r="O48" s="167" t="str">
        <f>IFERROR(SUMIFS('caseload data'!Q:Q,'caseload data'!$C:$C,'divisional &amp; regional caseload%'!$B$43,'caseload data'!$D:$D,"SPO")/SUMIF('caseload data'!$C:$C,'divisional &amp; regional caseload%'!$B$43,'caseload data'!Q:Q),"")</f>
        <v/>
      </c>
      <c r="P48" s="167" t="str">
        <f>IFERROR(SUMIFS('caseload data'!R:R,'caseload data'!$C:$C,'divisional &amp; regional caseload%'!$B$43,'caseload data'!$D:$D,"SPO")/SUMIF('caseload data'!$C:$C,'divisional &amp; regional caseload%'!$B$43,'caseload data'!R:R),"")</f>
        <v/>
      </c>
      <c r="Q48" s="167" t="str">
        <f>IFERROR(SUMIFS('caseload data'!S:S,'caseload data'!$C:$C,'divisional &amp; regional caseload%'!$B$43,'caseload data'!$D:$D,"SPO")/SUMIF('caseload data'!$C:$C,'divisional &amp; regional caseload%'!$B$43,'caseload data'!S:S),"")</f>
        <v/>
      </c>
      <c r="R48" s="167" t="str">
        <f>IFERROR(SUMIFS('caseload data'!T:T,'caseload data'!$C:$C,'divisional &amp; regional caseload%'!$B$43,'caseload data'!$D:$D,"SPO")/SUMIF('caseload data'!$C:$C,'divisional &amp; regional caseload%'!$B$43,'caseload data'!T:T),"")</f>
        <v/>
      </c>
      <c r="S48" s="64"/>
      <c r="T48" s="98" t="s">
        <v>1004</v>
      </c>
      <c r="U48" s="167" t="str">
        <f>IFERROR(SUMIFS('caseload data'!E:E,'caseload data'!$C:$C,'divisional &amp; regional caseload%'!$T$43,'caseload data'!$D:$D,"SPO")/SUMIF('caseload data'!$C:$C,'divisional &amp; regional caseload%'!$T$36,'caseload data'!E:E),"")</f>
        <v/>
      </c>
      <c r="V48" s="167" t="str">
        <f>IFERROR(SUMIFS('caseload data'!F:F,'caseload data'!$C:$C,'divisional &amp; regional caseload%'!$T$43,'caseload data'!$D:$D,"SPO")/SUMIF('caseload data'!$C:$C,'divisional &amp; regional caseload%'!$T$36,'caseload data'!F:F),"")</f>
        <v/>
      </c>
      <c r="W48" s="167" t="str">
        <f>IFERROR(SUMIFS('caseload data'!G:G,'caseload data'!$C:$C,'divisional &amp; regional caseload%'!$T$43,'caseload data'!$D:$D,"SPO")/SUMIF('caseload data'!$C:$C,'divisional &amp; regional caseload%'!$T$36,'caseload data'!G:G),"")</f>
        <v/>
      </c>
      <c r="X48" s="167" t="str">
        <f>IFERROR(SUMIFS('caseload data'!H:H,'caseload data'!$C:$C,'divisional &amp; regional caseload%'!$T$43,'caseload data'!$D:$D,"SPO")/SUMIF('caseload data'!$C:$C,'divisional &amp; regional caseload%'!$T$36,'caseload data'!H:H),"")</f>
        <v/>
      </c>
      <c r="Y48" s="167" t="str">
        <f>IFERROR(SUMIFS('caseload data'!I:I,'caseload data'!$C:$C,'divisional &amp; regional caseload%'!$T$43,'caseload data'!$D:$D,"SPO")/SUMIF('caseload data'!$C:$C,'divisional &amp; regional caseload%'!$T$36,'caseload data'!I:I),"")</f>
        <v/>
      </c>
      <c r="Z48" s="167" t="str">
        <f>IFERROR(SUMIFS('caseload data'!J:J,'caseload data'!$C:$C,'divisional &amp; regional caseload%'!$T$43,'caseload data'!$D:$D,"SPO")/SUMIF('caseload data'!$C:$C,'divisional &amp; regional caseload%'!$T$36,'caseload data'!J:J),"")</f>
        <v/>
      </c>
      <c r="AA48" s="167" t="str">
        <f>IFERROR(SUMIFS('caseload data'!K:K,'caseload data'!$C:$C,'divisional &amp; regional caseload%'!$T$43,'caseload data'!$D:$D,"SPO")/SUMIF('caseload data'!$C:$C,'divisional &amp; regional caseload%'!$T$36,'caseload data'!K:K),"")</f>
        <v/>
      </c>
      <c r="AB48" s="167" t="str">
        <f>IFERROR(SUMIFS('caseload data'!L:L,'caseload data'!$C:$C,'divisional &amp; regional caseload%'!$T$43,'caseload data'!$D:$D,"SPO")/SUMIF('caseload data'!$C:$C,'divisional &amp; regional caseload%'!$T$36,'caseload data'!L:L),"")</f>
        <v/>
      </c>
      <c r="AC48" s="167" t="str">
        <f>IFERROR(SUMIFS('caseload data'!M:M,'caseload data'!$C:$C,'divisional &amp; regional caseload%'!$T$43,'caseload data'!$D:$D,"SPO")/SUMIF('caseload data'!$C:$C,'divisional &amp; regional caseload%'!$T$36,'caseload data'!M:M),"")</f>
        <v/>
      </c>
      <c r="AD48" s="167" t="str">
        <f>IFERROR(SUMIFS('caseload data'!N:N,'caseload data'!$C:$C,'divisional &amp; regional caseload%'!$T$43,'caseload data'!$D:$D,"SPO")/SUMIF('caseload data'!$C:$C,'divisional &amp; regional caseload%'!$T$36,'caseload data'!N:N),"")</f>
        <v/>
      </c>
      <c r="AE48" s="167" t="str">
        <f>IFERROR(SUMIFS('caseload data'!O:O,'caseload data'!$C:$C,'divisional &amp; regional caseload%'!$T$43,'caseload data'!$D:$D,"SPO")/SUMIF('caseload data'!$C:$C,'divisional &amp; regional caseload%'!$T$36,'caseload data'!O:O),"")</f>
        <v/>
      </c>
      <c r="AF48" s="167" t="str">
        <f>IFERROR(SUMIFS('caseload data'!P:P,'caseload data'!$C:$C,'divisional &amp; regional caseload%'!$T$43,'caseload data'!$D:$D,"SPO")/SUMIF('caseload data'!$C:$C,'divisional &amp; regional caseload%'!$T$36,'caseload data'!P:P),"")</f>
        <v/>
      </c>
      <c r="AG48" s="167" t="str">
        <f>IFERROR(SUMIFS('caseload data'!Q:Q,'caseload data'!$C:$C,'divisional &amp; regional caseload%'!$T$43,'caseload data'!$D:$D,"SPO")/SUMIF('caseload data'!$C:$C,'divisional &amp; regional caseload%'!$T$36,'caseload data'!Q:Q),"")</f>
        <v/>
      </c>
      <c r="AH48" s="167" t="str">
        <f>IFERROR(SUMIFS('caseload data'!R:R,'caseload data'!$C:$C,'divisional &amp; regional caseload%'!$T$43,'caseload data'!$D:$D,"SPO")/SUMIF('caseload data'!$C:$C,'divisional &amp; regional caseload%'!$T$36,'caseload data'!R:R),"")</f>
        <v/>
      </c>
      <c r="AI48" s="167" t="str">
        <f>IFERROR(SUMIFS('caseload data'!S:S,'caseload data'!$C:$C,'divisional &amp; regional caseload%'!$T$43,'caseload data'!$D:$D,"SPO")/SUMIF('caseload data'!$C:$C,'divisional &amp; regional caseload%'!$T$36,'caseload data'!S:S),"")</f>
        <v/>
      </c>
      <c r="AJ48" s="167" t="str">
        <f>IFERROR(SUMIFS('caseload data'!T:T,'caseload data'!$C:$C,'divisional &amp; regional caseload%'!$T$43,'caseload data'!$D:$D,"SPO")/SUMIF('caseload data'!$C:$C,'divisional &amp; regional caseload%'!$T$36,'caseload data'!T:T),"")</f>
        <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15">
      <c r="B50" s="289">
        <f>HLOOKUP($B$5,Region_Table,14,0)</f>
        <v>0</v>
      </c>
      <c r="C50" s="525" t="s">
        <v>1096</v>
      </c>
      <c r="D50" s="526"/>
      <c r="E50" s="526"/>
      <c r="F50" s="526"/>
      <c r="G50" s="526"/>
      <c r="H50" s="526"/>
      <c r="I50" s="526"/>
      <c r="J50" s="526"/>
      <c r="K50" s="526"/>
      <c r="L50" s="526"/>
      <c r="M50" s="527"/>
      <c r="N50" s="527"/>
      <c r="O50" s="528"/>
      <c r="P50" s="512">
        <f>SUMIF('caseload data'!$C:$C,'divisional &amp; regional caseload%'!B50,'caseload data'!V:V)</f>
        <v>0</v>
      </c>
      <c r="Q50" s="529"/>
      <c r="R50" s="530"/>
      <c r="S50" s="64"/>
      <c r="T50" s="289">
        <f>HLOOKUP($B$5,Region_Table,15,0)</f>
        <v>0</v>
      </c>
      <c r="U50" s="525" t="s">
        <v>1096</v>
      </c>
      <c r="V50" s="526"/>
      <c r="W50" s="526"/>
      <c r="X50" s="526"/>
      <c r="Y50" s="526"/>
      <c r="Z50" s="526"/>
      <c r="AA50" s="526"/>
      <c r="AB50" s="526"/>
      <c r="AC50" s="526"/>
      <c r="AD50" s="526"/>
      <c r="AE50" s="527"/>
      <c r="AF50" s="527"/>
      <c r="AG50" s="528"/>
      <c r="AH50" s="512">
        <f>SUMIF('caseload data'!$C:$C,'divisional &amp; regional caseload%'!T50,'caseload data'!V:V)</f>
        <v>0</v>
      </c>
      <c r="AI50" s="529"/>
      <c r="AJ50" s="530"/>
    </row>
    <row r="51" spans="2:36" x14ac:dyDescent="0.15">
      <c r="B51" s="95" t="s">
        <v>1001</v>
      </c>
      <c r="C51" s="38" t="s">
        <v>864</v>
      </c>
      <c r="D51" s="38" t="s">
        <v>865</v>
      </c>
      <c r="E51" s="38" t="s">
        <v>866</v>
      </c>
      <c r="F51" s="38" t="s">
        <v>867</v>
      </c>
      <c r="G51" s="38" t="s">
        <v>868</v>
      </c>
      <c r="H51" s="38" t="s">
        <v>869</v>
      </c>
      <c r="I51" s="38" t="s">
        <v>870</v>
      </c>
      <c r="J51" s="38" t="s">
        <v>871</v>
      </c>
      <c r="K51" s="38" t="s">
        <v>872</v>
      </c>
      <c r="L51" s="38" t="s">
        <v>873</v>
      </c>
      <c r="M51" s="38" t="s">
        <v>874</v>
      </c>
      <c r="N51" s="38" t="s">
        <v>875</v>
      </c>
      <c r="O51" s="38" t="s">
        <v>876</v>
      </c>
      <c r="P51" s="38" t="s">
        <v>877</v>
      </c>
      <c r="Q51" s="38" t="s">
        <v>878</v>
      </c>
      <c r="R51" s="38" t="s">
        <v>879</v>
      </c>
      <c r="S51" s="64"/>
      <c r="T51" s="95" t="s">
        <v>1001</v>
      </c>
      <c r="U51" s="38" t="s">
        <v>864</v>
      </c>
      <c r="V51" s="38" t="s">
        <v>865</v>
      </c>
      <c r="W51" s="38" t="s">
        <v>866</v>
      </c>
      <c r="X51" s="38" t="s">
        <v>867</v>
      </c>
      <c r="Y51" s="38" t="s">
        <v>868</v>
      </c>
      <c r="Z51" s="38" t="s">
        <v>869</v>
      </c>
      <c r="AA51" s="38" t="s">
        <v>870</v>
      </c>
      <c r="AB51" s="38" t="s">
        <v>871</v>
      </c>
      <c r="AC51" s="38" t="s">
        <v>872</v>
      </c>
      <c r="AD51" s="38" t="s">
        <v>873</v>
      </c>
      <c r="AE51" s="38" t="s">
        <v>874</v>
      </c>
      <c r="AF51" s="38" t="s">
        <v>875</v>
      </c>
      <c r="AG51" s="38" t="s">
        <v>876</v>
      </c>
      <c r="AH51" s="38" t="s">
        <v>877</v>
      </c>
      <c r="AI51" s="38" t="s">
        <v>878</v>
      </c>
      <c r="AJ51" s="38" t="s">
        <v>879</v>
      </c>
    </row>
    <row r="52" spans="2:36" x14ac:dyDescent="0.15">
      <c r="B52" s="96" t="s">
        <v>997</v>
      </c>
      <c r="C52" s="167" t="str">
        <f>IFERROR(SUMIFS('caseload data'!E:E,'caseload data'!$C:$C,'divisional &amp; regional caseload%'!$B$50,'caseload data'!$D:$D,"PO")/SUMIF('caseload data'!$C:$C,'divisional &amp; regional caseload%'!$B$50,'caseload data'!E:E),"")</f>
        <v/>
      </c>
      <c r="D52" s="167" t="str">
        <f>IFERROR(SUMIFS('caseload data'!F:F,'caseload data'!$C:$C,'divisional &amp; regional caseload%'!$B$50,'caseload data'!$D:$D,"PO")/SUMIF('caseload data'!$C:$C,'divisional &amp; regional caseload%'!$B$50,'caseload data'!F:F),"")</f>
        <v/>
      </c>
      <c r="E52" s="167" t="str">
        <f>IFERROR(SUMIFS('caseload data'!G:G,'caseload data'!$C:$C,'divisional &amp; regional caseload%'!$B$50,'caseload data'!$D:$D,"PO")/SUMIF('caseload data'!$C:$C,'divisional &amp; regional caseload%'!$B$50,'caseload data'!G:G),"")</f>
        <v/>
      </c>
      <c r="F52" s="167" t="str">
        <f>IFERROR(SUMIFS('caseload data'!H:H,'caseload data'!$C:$C,'divisional &amp; regional caseload%'!$B$50,'caseload data'!$D:$D,"PO")/SUMIF('caseload data'!$C:$C,'divisional &amp; regional caseload%'!$B$50,'caseload data'!H:H),"")</f>
        <v/>
      </c>
      <c r="G52" s="167" t="str">
        <f>IFERROR(SUMIFS('caseload data'!I:I,'caseload data'!$C:$C,'divisional &amp; regional caseload%'!$B$50,'caseload data'!$D:$D,"PO")/SUMIF('caseload data'!$C:$C,'divisional &amp; regional caseload%'!$B$50,'caseload data'!I:I),"")</f>
        <v/>
      </c>
      <c r="H52" s="167" t="str">
        <f>IFERROR(SUMIFS('caseload data'!J:J,'caseload data'!$C:$C,'divisional &amp; regional caseload%'!$B$50,'caseload data'!$D:$D,"PO")/SUMIF('caseload data'!$C:$C,'divisional &amp; regional caseload%'!$B$50,'caseload data'!J:J),"")</f>
        <v/>
      </c>
      <c r="I52" s="167" t="str">
        <f>IFERROR(SUMIFS('caseload data'!K:K,'caseload data'!$C:$C,'divisional &amp; regional caseload%'!$B$50,'caseload data'!$D:$D,"PO")/SUMIF('caseload data'!$C:$C,'divisional &amp; regional caseload%'!$B$50,'caseload data'!K:K),"")</f>
        <v/>
      </c>
      <c r="J52" s="167" t="str">
        <f>IFERROR(SUMIFS('caseload data'!L:L,'caseload data'!$C:$C,'divisional &amp; regional caseload%'!$B$50,'caseload data'!$D:$D,"PO")/SUMIF('caseload data'!$C:$C,'divisional &amp; regional caseload%'!$B$50,'caseload data'!L:L),"")</f>
        <v/>
      </c>
      <c r="K52" s="167" t="str">
        <f>IFERROR(SUMIFS('caseload data'!M:M,'caseload data'!$C:$C,'divisional &amp; regional caseload%'!$B$50,'caseload data'!$D:$D,"PO")/SUMIF('caseload data'!$C:$C,'divisional &amp; regional caseload%'!$B$50,'caseload data'!M:M),"")</f>
        <v/>
      </c>
      <c r="L52" s="167" t="str">
        <f>IFERROR(SUMIFS('caseload data'!N:N,'caseload data'!$C:$C,'divisional &amp; regional caseload%'!$B$50,'caseload data'!$D:$D,"PO")/SUMIF('caseload data'!$C:$C,'divisional &amp; regional caseload%'!$B$50,'caseload data'!N:N),"")</f>
        <v/>
      </c>
      <c r="M52" s="167" t="str">
        <f>IFERROR(SUMIFS('caseload data'!O:O,'caseload data'!$C:$C,'divisional &amp; regional caseload%'!$B$50,'caseload data'!$D:$D,"PO")/SUMIF('caseload data'!$C:$C,'divisional &amp; regional caseload%'!$B$50,'caseload data'!O:O),"")</f>
        <v/>
      </c>
      <c r="N52" s="167" t="str">
        <f>IFERROR(SUMIFS('caseload data'!P:P,'caseload data'!$C:$C,'divisional &amp; regional caseload%'!$B$50,'caseload data'!$D:$D,"PO")/SUMIF('caseload data'!$C:$C,'divisional &amp; regional caseload%'!$B$50,'caseload data'!P:P),"")</f>
        <v/>
      </c>
      <c r="O52" s="167" t="str">
        <f>IFERROR(SUMIFS('caseload data'!Q:Q,'caseload data'!$C:$C,'divisional &amp; regional caseload%'!$B$50,'caseload data'!$D:$D,"PO")/SUMIF('caseload data'!$C:$C,'divisional &amp; regional caseload%'!$B$50,'caseload data'!Q:Q),"")</f>
        <v/>
      </c>
      <c r="P52" s="167" t="str">
        <f>IFERROR(SUMIFS('caseload data'!R:R,'caseload data'!$C:$C,'divisional &amp; regional caseload%'!$B$50,'caseload data'!$D:$D,"PO")/SUMIF('caseload data'!$C:$C,'divisional &amp; regional caseload%'!$B$50,'caseload data'!R:R),"")</f>
        <v/>
      </c>
      <c r="Q52" s="167" t="str">
        <f>IFERROR(SUMIFS('caseload data'!S:S,'caseload data'!$C:$C,'divisional &amp; regional caseload%'!$B$50,'caseload data'!$D:$D,"PO")/SUMIF('caseload data'!$C:$C,'divisional &amp; regional caseload%'!$B$50,'caseload data'!S:S),"")</f>
        <v/>
      </c>
      <c r="R52" s="167" t="str">
        <f>IFERROR(SUMIFS('caseload data'!T:T,'caseload data'!$C:$C,'divisional &amp; regional caseload%'!$B$50,'caseload data'!$D:$D,"PO")/SUMIF('caseload data'!$C:$C,'divisional &amp; regional caseload%'!$B$50,'caseload data'!T:T),"")</f>
        <v/>
      </c>
      <c r="S52" s="64"/>
      <c r="T52" s="96" t="s">
        <v>997</v>
      </c>
      <c r="U52" s="167" t="str">
        <f>IFERROR(SUMIFS('caseload data'!E:E,'caseload data'!$C:$C,'divisional &amp; regional caseload%'!$T$50,'caseload data'!$D:$D,"PO")/SUMIF('caseload data'!$C:$C,'divisional &amp; regional caseload%'!$T$50,'caseload data'!E:E),"")</f>
        <v/>
      </c>
      <c r="V52" s="167" t="str">
        <f>IFERROR(SUMIFS('caseload data'!F:F,'caseload data'!$C:$C,'divisional &amp; regional caseload%'!$T$50,'caseload data'!$D:$D,"PO")/SUMIF('caseload data'!$C:$C,'divisional &amp; regional caseload%'!$T$50,'caseload data'!F:F),"")</f>
        <v/>
      </c>
      <c r="W52" s="167" t="str">
        <f>IFERROR(SUMIFS('caseload data'!G:G,'caseload data'!$C:$C,'divisional &amp; regional caseload%'!$T$50,'caseload data'!$D:$D,"PO")/SUMIF('caseload data'!$C:$C,'divisional &amp; regional caseload%'!$T$50,'caseload data'!G:G),"")</f>
        <v/>
      </c>
      <c r="X52" s="167" t="str">
        <f>IFERROR(SUMIFS('caseload data'!H:H,'caseload data'!$C:$C,'divisional &amp; regional caseload%'!$T$50,'caseload data'!$D:$D,"PO")/SUMIF('caseload data'!$C:$C,'divisional &amp; regional caseload%'!$T$50,'caseload data'!H:H),"")</f>
        <v/>
      </c>
      <c r="Y52" s="167" t="str">
        <f>IFERROR(SUMIFS('caseload data'!I:I,'caseload data'!$C:$C,'divisional &amp; regional caseload%'!$T$50,'caseload data'!$D:$D,"PO")/SUMIF('caseload data'!$C:$C,'divisional &amp; regional caseload%'!$T$50,'caseload data'!I:I),"")</f>
        <v/>
      </c>
      <c r="Z52" s="167" t="str">
        <f>IFERROR(SUMIFS('caseload data'!J:J,'caseload data'!$C:$C,'divisional &amp; regional caseload%'!$T$50,'caseload data'!$D:$D,"PO")/SUMIF('caseload data'!$C:$C,'divisional &amp; regional caseload%'!$T$50,'caseload data'!J:J),"")</f>
        <v/>
      </c>
      <c r="AA52" s="167" t="str">
        <f>IFERROR(SUMIFS('caseload data'!K:K,'caseload data'!$C:$C,'divisional &amp; regional caseload%'!$T$50,'caseload data'!$D:$D,"PO")/SUMIF('caseload data'!$C:$C,'divisional &amp; regional caseload%'!$T$50,'caseload data'!K:K),"")</f>
        <v/>
      </c>
      <c r="AB52" s="167" t="str">
        <f>IFERROR(SUMIFS('caseload data'!L:L,'caseload data'!$C:$C,'divisional &amp; regional caseload%'!$T$50,'caseload data'!$D:$D,"PO")/SUMIF('caseload data'!$C:$C,'divisional &amp; regional caseload%'!$T$50,'caseload data'!L:L),"")</f>
        <v/>
      </c>
      <c r="AC52" s="167" t="str">
        <f>IFERROR(SUMIFS('caseload data'!M:M,'caseload data'!$C:$C,'divisional &amp; regional caseload%'!$T$50,'caseload data'!$D:$D,"PO")/SUMIF('caseload data'!$C:$C,'divisional &amp; regional caseload%'!$T$50,'caseload data'!M:M),"")</f>
        <v/>
      </c>
      <c r="AD52" s="167" t="str">
        <f>IFERROR(SUMIFS('caseload data'!N:N,'caseload data'!$C:$C,'divisional &amp; regional caseload%'!$T$50,'caseload data'!$D:$D,"PO")/SUMIF('caseload data'!$C:$C,'divisional &amp; regional caseload%'!$T$50,'caseload data'!N:N),"")</f>
        <v/>
      </c>
      <c r="AE52" s="167" t="str">
        <f>IFERROR(SUMIFS('caseload data'!O:O,'caseload data'!$C:$C,'divisional &amp; regional caseload%'!$T$50,'caseload data'!$D:$D,"PO")/SUMIF('caseload data'!$C:$C,'divisional &amp; regional caseload%'!$T$50,'caseload data'!O:O),"")</f>
        <v/>
      </c>
      <c r="AF52" s="167" t="str">
        <f>IFERROR(SUMIFS('caseload data'!P:P,'caseload data'!$C:$C,'divisional &amp; regional caseload%'!$T$50,'caseload data'!$D:$D,"PO")/SUMIF('caseload data'!$C:$C,'divisional &amp; regional caseload%'!$T$50,'caseload data'!P:P),"")</f>
        <v/>
      </c>
      <c r="AG52" s="167" t="str">
        <f>IFERROR(SUMIFS('caseload data'!Q:Q,'caseload data'!$C:$C,'divisional &amp; regional caseload%'!$T$50,'caseload data'!$D:$D,"PO")/SUMIF('caseload data'!$C:$C,'divisional &amp; regional caseload%'!$T$50,'caseload data'!Q:Q),"")</f>
        <v/>
      </c>
      <c r="AH52" s="167" t="str">
        <f>IFERROR(SUMIFS('caseload data'!R:R,'caseload data'!$C:$C,'divisional &amp; regional caseload%'!$T$50,'caseload data'!$D:$D,"PO")/SUMIF('caseload data'!$C:$C,'divisional &amp; regional caseload%'!$T$50,'caseload data'!R:R),"")</f>
        <v/>
      </c>
      <c r="AI52" s="167" t="str">
        <f>IFERROR(SUMIFS('caseload data'!S:S,'caseload data'!$C:$C,'divisional &amp; regional caseload%'!$T$50,'caseload data'!$D:$D,"PO")/SUMIF('caseload data'!$C:$C,'divisional &amp; regional caseload%'!$T$50,'caseload data'!S:S),"")</f>
        <v/>
      </c>
      <c r="AJ52" s="167" t="str">
        <f>IFERROR(SUMIFS('caseload data'!T:T,'caseload data'!$C:$C,'divisional &amp; regional caseload%'!$T$50,'caseload data'!$D:$D,"PO")/SUMIF('caseload data'!$C:$C,'divisional &amp; regional caseload%'!$T$50,'caseload data'!T:T),"")</f>
        <v/>
      </c>
    </row>
    <row r="53" spans="2:36" x14ac:dyDescent="0.15">
      <c r="B53" s="97" t="s">
        <v>1002</v>
      </c>
      <c r="C53" s="167" t="str">
        <f>IFERROR(SUMIFS('caseload data'!E:E,'caseload data'!$C:$C,'divisional &amp; regional caseload%'!$B$50,'caseload data'!$D:$D,"PSO")/SUMIF('caseload data'!$C:$C,'divisional &amp; regional caseload%'!$B$50,'caseload data'!E:E),"")</f>
        <v/>
      </c>
      <c r="D53" s="167" t="str">
        <f>IFERROR(SUMIFS('caseload data'!F:F,'caseload data'!$C:$C,'divisional &amp; regional caseload%'!$B$50,'caseload data'!$D:$D,"PSO")/SUMIF('caseload data'!$C:$C,'divisional &amp; regional caseload%'!$B$50,'caseload data'!F:F),"")</f>
        <v/>
      </c>
      <c r="E53" s="167" t="str">
        <f>IFERROR(SUMIFS('caseload data'!G:G,'caseload data'!$C:$C,'divisional &amp; regional caseload%'!$B$50,'caseload data'!$D:$D,"PSO")/SUMIF('caseload data'!$C:$C,'divisional &amp; regional caseload%'!$B$50,'caseload data'!G:G),"")</f>
        <v/>
      </c>
      <c r="F53" s="167" t="str">
        <f>IFERROR(SUMIFS('caseload data'!H:H,'caseload data'!$C:$C,'divisional &amp; regional caseload%'!$B$50,'caseload data'!$D:$D,"PSO")/SUMIF('caseload data'!$C:$C,'divisional &amp; regional caseload%'!$B$50,'caseload data'!H:H),"")</f>
        <v/>
      </c>
      <c r="G53" s="167" t="str">
        <f>IFERROR(SUMIFS('caseload data'!I:I,'caseload data'!$C:$C,'divisional &amp; regional caseload%'!$B$50,'caseload data'!$D:$D,"PSO")/SUMIF('caseload data'!$C:$C,'divisional &amp; regional caseload%'!$B$50,'caseload data'!I:I),"")</f>
        <v/>
      </c>
      <c r="H53" s="167" t="str">
        <f>IFERROR(SUMIFS('caseload data'!J:J,'caseload data'!$C:$C,'divisional &amp; regional caseload%'!$B$50,'caseload data'!$D:$D,"PSO")/SUMIF('caseload data'!$C:$C,'divisional &amp; regional caseload%'!$B$50,'caseload data'!J:J),"")</f>
        <v/>
      </c>
      <c r="I53" s="167" t="str">
        <f>IFERROR(SUMIFS('caseload data'!K:K,'caseload data'!$C:$C,'divisional &amp; regional caseload%'!$B$50,'caseload data'!$D:$D,"PSO")/SUMIF('caseload data'!$C:$C,'divisional &amp; regional caseload%'!$B$50,'caseload data'!K:K),"")</f>
        <v/>
      </c>
      <c r="J53" s="167" t="str">
        <f>IFERROR(SUMIFS('caseload data'!L:L,'caseload data'!$C:$C,'divisional &amp; regional caseload%'!$B$50,'caseload data'!$D:$D,"PSO")/SUMIF('caseload data'!$C:$C,'divisional &amp; regional caseload%'!$B$50,'caseload data'!L:L),"")</f>
        <v/>
      </c>
      <c r="K53" s="167" t="str">
        <f>IFERROR(SUMIFS('caseload data'!M:M,'caseload data'!$C:$C,'divisional &amp; regional caseload%'!$B$50,'caseload data'!$D:$D,"PSO")/SUMIF('caseload data'!$C:$C,'divisional &amp; regional caseload%'!$B$50,'caseload data'!M:M),"")</f>
        <v/>
      </c>
      <c r="L53" s="167" t="str">
        <f>IFERROR(SUMIFS('caseload data'!N:N,'caseload data'!$C:$C,'divisional &amp; regional caseload%'!$B$50,'caseload data'!$D:$D,"PSO")/SUMIF('caseload data'!$C:$C,'divisional &amp; regional caseload%'!$B$50,'caseload data'!N:N),"")</f>
        <v/>
      </c>
      <c r="M53" s="167" t="str">
        <f>IFERROR(SUMIFS('caseload data'!O:O,'caseload data'!$C:$C,'divisional &amp; regional caseload%'!$B$50,'caseload data'!$D:$D,"PSO")/SUMIF('caseload data'!$C:$C,'divisional &amp; regional caseload%'!$B$50,'caseload data'!O:O),"")</f>
        <v/>
      </c>
      <c r="N53" s="167" t="str">
        <f>IFERROR(SUMIFS('caseload data'!P:P,'caseload data'!$C:$C,'divisional &amp; regional caseload%'!$B$50,'caseload data'!$D:$D,"PSO")/SUMIF('caseload data'!$C:$C,'divisional &amp; regional caseload%'!$B$50,'caseload data'!P:P),"")</f>
        <v/>
      </c>
      <c r="O53" s="167" t="str">
        <f>IFERROR(SUMIFS('caseload data'!Q:Q,'caseload data'!$C:$C,'divisional &amp; regional caseload%'!$B$50,'caseload data'!$D:$D,"PSO")/SUMIF('caseload data'!$C:$C,'divisional &amp; regional caseload%'!$B$50,'caseload data'!Q:Q),"")</f>
        <v/>
      </c>
      <c r="P53" s="167" t="str">
        <f>IFERROR(SUMIFS('caseload data'!R:R,'caseload data'!$C:$C,'divisional &amp; regional caseload%'!$B$50,'caseload data'!$D:$D,"PSO")/SUMIF('caseload data'!$C:$C,'divisional &amp; regional caseload%'!$B$50,'caseload data'!R:R),"")</f>
        <v/>
      </c>
      <c r="Q53" s="167" t="str">
        <f>IFERROR(SUMIFS('caseload data'!S:S,'caseload data'!$C:$C,'divisional &amp; regional caseload%'!$B$50,'caseload data'!$D:$D,"PSO")/SUMIF('caseload data'!$C:$C,'divisional &amp; regional caseload%'!$B$50,'caseload data'!S:S),"")</f>
        <v/>
      </c>
      <c r="R53" s="167" t="str">
        <f>IFERROR(SUMIFS('caseload data'!T:T,'caseload data'!$C:$C,'divisional &amp; regional caseload%'!$B$50,'caseload data'!$D:$D,"PSO")/SUMIF('caseload data'!$C:$C,'divisional &amp; regional caseload%'!$B$50,'caseload data'!T:T),"")</f>
        <v/>
      </c>
      <c r="S53" s="64"/>
      <c r="T53" s="97" t="s">
        <v>1002</v>
      </c>
      <c r="U53" s="167" t="str">
        <f>IFERROR(SUMIFS('caseload data'!E:E,'caseload data'!$C:$C,'divisional &amp; regional caseload%'!$T$50,'caseload data'!$D:$D,"PSO")/SUMIF('caseload data'!$C:$C,'divisional &amp; regional caseload%'!$T$50,'caseload data'!E:E),"")</f>
        <v/>
      </c>
      <c r="V53" s="167" t="str">
        <f>IFERROR(SUMIFS('caseload data'!F:F,'caseload data'!$C:$C,'divisional &amp; regional caseload%'!$T$50,'caseload data'!$D:$D,"PSO")/SUMIF('caseload data'!$C:$C,'divisional &amp; regional caseload%'!$T$50,'caseload data'!F:F),"")</f>
        <v/>
      </c>
      <c r="W53" s="167" t="str">
        <f>IFERROR(SUMIFS('caseload data'!G:G,'caseload data'!$C:$C,'divisional &amp; regional caseload%'!$T$50,'caseload data'!$D:$D,"PSO")/SUMIF('caseload data'!$C:$C,'divisional &amp; regional caseload%'!$T$50,'caseload data'!G:G),"")</f>
        <v/>
      </c>
      <c r="X53" s="167" t="str">
        <f>IFERROR(SUMIFS('caseload data'!H:H,'caseload data'!$C:$C,'divisional &amp; regional caseload%'!$T$50,'caseload data'!$D:$D,"PSO")/SUMIF('caseload data'!$C:$C,'divisional &amp; regional caseload%'!$T$50,'caseload data'!H:H),"")</f>
        <v/>
      </c>
      <c r="Y53" s="167" t="str">
        <f>IFERROR(SUMIFS('caseload data'!I:I,'caseload data'!$C:$C,'divisional &amp; regional caseload%'!$T$50,'caseload data'!$D:$D,"PSO")/SUMIF('caseload data'!$C:$C,'divisional &amp; regional caseload%'!$T$50,'caseload data'!I:I),"")</f>
        <v/>
      </c>
      <c r="Z53" s="167" t="str">
        <f>IFERROR(SUMIFS('caseload data'!J:J,'caseload data'!$C:$C,'divisional &amp; regional caseload%'!$T$50,'caseload data'!$D:$D,"PSO")/SUMIF('caseload data'!$C:$C,'divisional &amp; regional caseload%'!$T$50,'caseload data'!J:J),"")</f>
        <v/>
      </c>
      <c r="AA53" s="167" t="str">
        <f>IFERROR(SUMIFS('caseload data'!K:K,'caseload data'!$C:$C,'divisional &amp; regional caseload%'!$T$50,'caseload data'!$D:$D,"PSO")/SUMIF('caseload data'!$C:$C,'divisional &amp; regional caseload%'!$T$50,'caseload data'!K:K),"")</f>
        <v/>
      </c>
      <c r="AB53" s="167" t="str">
        <f>IFERROR(SUMIFS('caseload data'!L:L,'caseload data'!$C:$C,'divisional &amp; regional caseload%'!$T$50,'caseload data'!$D:$D,"PSO")/SUMIF('caseload data'!$C:$C,'divisional &amp; regional caseload%'!$T$50,'caseload data'!L:L),"")</f>
        <v/>
      </c>
      <c r="AC53" s="167" t="str">
        <f>IFERROR(SUMIFS('caseload data'!M:M,'caseload data'!$C:$C,'divisional &amp; regional caseload%'!$T$50,'caseload data'!$D:$D,"PSO")/SUMIF('caseload data'!$C:$C,'divisional &amp; regional caseload%'!$T$50,'caseload data'!M:M),"")</f>
        <v/>
      </c>
      <c r="AD53" s="167" t="str">
        <f>IFERROR(SUMIFS('caseload data'!N:N,'caseload data'!$C:$C,'divisional &amp; regional caseload%'!$T$50,'caseload data'!$D:$D,"PSO")/SUMIF('caseload data'!$C:$C,'divisional &amp; regional caseload%'!$T$50,'caseload data'!N:N),"")</f>
        <v/>
      </c>
      <c r="AE53" s="167" t="str">
        <f>IFERROR(SUMIFS('caseload data'!O:O,'caseload data'!$C:$C,'divisional &amp; regional caseload%'!$T$50,'caseload data'!$D:$D,"PSO")/SUMIF('caseload data'!$C:$C,'divisional &amp; regional caseload%'!$T$50,'caseload data'!O:O),"")</f>
        <v/>
      </c>
      <c r="AF53" s="167" t="str">
        <f>IFERROR(SUMIFS('caseload data'!P:P,'caseload data'!$C:$C,'divisional &amp; regional caseload%'!$T$50,'caseload data'!$D:$D,"PSO")/SUMIF('caseload data'!$C:$C,'divisional &amp; regional caseload%'!$T$50,'caseload data'!P:P),"")</f>
        <v/>
      </c>
      <c r="AG53" s="167" t="str">
        <f>IFERROR(SUMIFS('caseload data'!Q:Q,'caseload data'!$C:$C,'divisional &amp; regional caseload%'!$T$50,'caseload data'!$D:$D,"PSO")/SUMIF('caseload data'!$C:$C,'divisional &amp; regional caseload%'!$T$50,'caseload data'!Q:Q),"")</f>
        <v/>
      </c>
      <c r="AH53" s="167" t="str">
        <f>IFERROR(SUMIFS('caseload data'!R:R,'caseload data'!$C:$C,'divisional &amp; regional caseload%'!$T$50,'caseload data'!$D:$D,"PSO")/SUMIF('caseload data'!$C:$C,'divisional &amp; regional caseload%'!$T$50,'caseload data'!R:R),"")</f>
        <v/>
      </c>
      <c r="AI53" s="167" t="str">
        <f>IFERROR(SUMIFS('caseload data'!S:S,'caseload data'!$C:$C,'divisional &amp; regional caseload%'!$T$50,'caseload data'!$D:$D,"PSO")/SUMIF('caseload data'!$C:$C,'divisional &amp; regional caseload%'!$T$50,'caseload data'!S:S),"")</f>
        <v/>
      </c>
      <c r="AJ53" s="167" t="str">
        <f>IFERROR(SUMIFS('caseload data'!T:T,'caseload data'!$C:$C,'divisional &amp; regional caseload%'!$T$50,'caseload data'!$D:$D,"PSO")/SUMIF('caseload data'!$C:$C,'divisional &amp; regional caseload%'!$T$50,'caseload data'!T:T),"")</f>
        <v/>
      </c>
    </row>
    <row r="54" spans="2:36" x14ac:dyDescent="0.15">
      <c r="B54" s="97" t="s">
        <v>1003</v>
      </c>
      <c r="C54" s="167" t="str">
        <f>IFERROR(SUMIFS('caseload data'!E:E,'caseload data'!$C:$C,'divisional &amp; regional caseload%'!$B$50,'caseload data'!$D:$D,"TPO")/SUMIF('caseload data'!$C:$C,'divisional &amp; regional caseload%'!$B$50,'caseload data'!E:E),"")</f>
        <v/>
      </c>
      <c r="D54" s="167" t="str">
        <f>IFERROR(SUMIFS('caseload data'!F:F,'caseload data'!$C:$C,'divisional &amp; regional caseload%'!$B$50,'caseload data'!$D:$D,"TPO")/SUMIF('caseload data'!$C:$C,'divisional &amp; regional caseload%'!$B$50,'caseload data'!F:F),"")</f>
        <v/>
      </c>
      <c r="E54" s="167" t="str">
        <f>IFERROR(SUMIFS('caseload data'!G:G,'caseload data'!$C:$C,'divisional &amp; regional caseload%'!$B$50,'caseload data'!$D:$D,"TPO")/SUMIF('caseload data'!$C:$C,'divisional &amp; regional caseload%'!$B$50,'caseload data'!G:G),"")</f>
        <v/>
      </c>
      <c r="F54" s="167" t="str">
        <f>IFERROR(SUMIFS('caseload data'!H:H,'caseload data'!$C:$C,'divisional &amp; regional caseload%'!$B$50,'caseload data'!$D:$D,"TPO")/SUMIF('caseload data'!$C:$C,'divisional &amp; regional caseload%'!$B$50,'caseload data'!H:H),"")</f>
        <v/>
      </c>
      <c r="G54" s="167" t="str">
        <f>IFERROR(SUMIFS('caseload data'!I:I,'caseload data'!$C:$C,'divisional &amp; regional caseload%'!$B$50,'caseload data'!$D:$D,"TPO")/SUMIF('caseload data'!$C:$C,'divisional &amp; regional caseload%'!$B$50,'caseload data'!I:I),"")</f>
        <v/>
      </c>
      <c r="H54" s="167" t="str">
        <f>IFERROR(SUMIFS('caseload data'!J:J,'caseload data'!$C:$C,'divisional &amp; regional caseload%'!$B$50,'caseload data'!$D:$D,"TPO")/SUMIF('caseload data'!$C:$C,'divisional &amp; regional caseload%'!$B$50,'caseload data'!J:J),"")</f>
        <v/>
      </c>
      <c r="I54" s="167" t="str">
        <f>IFERROR(SUMIFS('caseload data'!K:K,'caseload data'!$C:$C,'divisional &amp; regional caseload%'!$B$50,'caseload data'!$D:$D,"TPO")/SUMIF('caseload data'!$C:$C,'divisional &amp; regional caseload%'!$B$50,'caseload data'!K:K),"")</f>
        <v/>
      </c>
      <c r="J54" s="167" t="str">
        <f>IFERROR(SUMIFS('caseload data'!L:L,'caseload data'!$C:$C,'divisional &amp; regional caseload%'!$B$50,'caseload data'!$D:$D,"TPO")/SUMIF('caseload data'!$C:$C,'divisional &amp; regional caseload%'!$B$50,'caseload data'!L:L),"")</f>
        <v/>
      </c>
      <c r="K54" s="167" t="str">
        <f>IFERROR(SUMIFS('caseload data'!M:M,'caseload data'!$C:$C,'divisional &amp; regional caseload%'!$B$50,'caseload data'!$D:$D,"TPO")/SUMIF('caseload data'!$C:$C,'divisional &amp; regional caseload%'!$B$50,'caseload data'!M:M),"")</f>
        <v/>
      </c>
      <c r="L54" s="167" t="str">
        <f>IFERROR(SUMIFS('caseload data'!N:N,'caseload data'!$C:$C,'divisional &amp; regional caseload%'!$B$50,'caseload data'!$D:$D,"TPO")/SUMIF('caseload data'!$C:$C,'divisional &amp; regional caseload%'!$B$50,'caseload data'!N:N),"")</f>
        <v/>
      </c>
      <c r="M54" s="167" t="str">
        <f>IFERROR(SUMIFS('caseload data'!O:O,'caseload data'!$C:$C,'divisional &amp; regional caseload%'!$B$50,'caseload data'!$D:$D,"TPO")/SUMIF('caseload data'!$C:$C,'divisional &amp; regional caseload%'!$B$50,'caseload data'!O:O),"")</f>
        <v/>
      </c>
      <c r="N54" s="167" t="str">
        <f>IFERROR(SUMIFS('caseload data'!P:P,'caseload data'!$C:$C,'divisional &amp; regional caseload%'!$B$50,'caseload data'!$D:$D,"TPO")/SUMIF('caseload data'!$C:$C,'divisional &amp; regional caseload%'!$B$50,'caseload data'!P:P),"")</f>
        <v/>
      </c>
      <c r="O54" s="167" t="str">
        <f>IFERROR(SUMIFS('caseload data'!Q:Q,'caseload data'!$C:$C,'divisional &amp; regional caseload%'!$B$50,'caseload data'!$D:$D,"TPO")/SUMIF('caseload data'!$C:$C,'divisional &amp; regional caseload%'!$B$50,'caseload data'!Q:Q),"")</f>
        <v/>
      </c>
      <c r="P54" s="167" t="str">
        <f>IFERROR(SUMIFS('caseload data'!R:R,'caseload data'!$C:$C,'divisional &amp; regional caseload%'!$B$50,'caseload data'!$D:$D,"TPO")/SUMIF('caseload data'!$C:$C,'divisional &amp; regional caseload%'!$B$50,'caseload data'!R:R),"")</f>
        <v/>
      </c>
      <c r="Q54" s="167" t="str">
        <f>IFERROR(SUMIFS('caseload data'!S:S,'caseload data'!$C:$C,'divisional &amp; regional caseload%'!$B$50,'caseload data'!$D:$D,"TPO")/SUMIF('caseload data'!$C:$C,'divisional &amp; regional caseload%'!$B$50,'caseload data'!S:S),"")</f>
        <v/>
      </c>
      <c r="R54" s="167" t="str">
        <f>IFERROR(SUMIFS('caseload data'!T:T,'caseload data'!$C:$C,'divisional &amp; regional caseload%'!$B$50,'caseload data'!$D:$D,"TPO")/SUMIF('caseload data'!$C:$C,'divisional &amp; regional caseload%'!$B$50,'caseload data'!T:T),"")</f>
        <v/>
      </c>
      <c r="S54" s="64"/>
      <c r="T54" s="97" t="s">
        <v>1003</v>
      </c>
      <c r="U54" s="167" t="str">
        <f>IFERROR(SUMIFS('caseload data'!E:E,'caseload data'!$C:$C,'divisional &amp; regional caseload%'!$T$50,'caseload data'!$D:$D,"TPO")/SUMIF('caseload data'!$C:$C,'divisional &amp; regional caseload%'!$T$50,'caseload data'!E:E),"")</f>
        <v/>
      </c>
      <c r="V54" s="167" t="str">
        <f>IFERROR(SUMIFS('caseload data'!F:F,'caseload data'!$C:$C,'divisional &amp; regional caseload%'!$T$50,'caseload data'!$D:$D,"TPO")/SUMIF('caseload data'!$C:$C,'divisional &amp; regional caseload%'!$T$50,'caseload data'!F:F),"")</f>
        <v/>
      </c>
      <c r="W54" s="167" t="str">
        <f>IFERROR(SUMIFS('caseload data'!G:G,'caseload data'!$C:$C,'divisional &amp; regional caseload%'!$T$50,'caseload data'!$D:$D,"TPO")/SUMIF('caseload data'!$C:$C,'divisional &amp; regional caseload%'!$T$50,'caseload data'!G:G),"")</f>
        <v/>
      </c>
      <c r="X54" s="167" t="str">
        <f>IFERROR(SUMIFS('caseload data'!H:H,'caseload data'!$C:$C,'divisional &amp; regional caseload%'!$T$50,'caseload data'!$D:$D,"TPO")/SUMIF('caseload data'!$C:$C,'divisional &amp; regional caseload%'!$T$50,'caseload data'!H:H),"")</f>
        <v/>
      </c>
      <c r="Y54" s="167" t="str">
        <f>IFERROR(SUMIFS('caseload data'!I:I,'caseload data'!$C:$C,'divisional &amp; regional caseload%'!$T$50,'caseload data'!$D:$D,"TPO")/SUMIF('caseload data'!$C:$C,'divisional &amp; regional caseload%'!$T$50,'caseload data'!I:I),"")</f>
        <v/>
      </c>
      <c r="Z54" s="167" t="str">
        <f>IFERROR(SUMIFS('caseload data'!J:J,'caseload data'!$C:$C,'divisional &amp; regional caseload%'!$T$50,'caseload data'!$D:$D,"TPO")/SUMIF('caseload data'!$C:$C,'divisional &amp; regional caseload%'!$T$50,'caseload data'!J:J),"")</f>
        <v/>
      </c>
      <c r="AA54" s="167" t="str">
        <f>IFERROR(SUMIFS('caseload data'!K:K,'caseload data'!$C:$C,'divisional &amp; regional caseload%'!$T$50,'caseload data'!$D:$D,"TPO")/SUMIF('caseload data'!$C:$C,'divisional &amp; regional caseload%'!$T$50,'caseload data'!K:K),"")</f>
        <v/>
      </c>
      <c r="AB54" s="167" t="str">
        <f>IFERROR(SUMIFS('caseload data'!L:L,'caseload data'!$C:$C,'divisional &amp; regional caseload%'!$T$50,'caseload data'!$D:$D,"TPO")/SUMIF('caseload data'!$C:$C,'divisional &amp; regional caseload%'!$T$50,'caseload data'!L:L),"")</f>
        <v/>
      </c>
      <c r="AC54" s="167" t="str">
        <f>IFERROR(SUMIFS('caseload data'!M:M,'caseload data'!$C:$C,'divisional &amp; regional caseload%'!$T$50,'caseload data'!$D:$D,"TPO")/SUMIF('caseload data'!$C:$C,'divisional &amp; regional caseload%'!$T$50,'caseload data'!M:M),"")</f>
        <v/>
      </c>
      <c r="AD54" s="167" t="str">
        <f>IFERROR(SUMIFS('caseload data'!N:N,'caseload data'!$C:$C,'divisional &amp; regional caseload%'!$T$50,'caseload data'!$D:$D,"TPO")/SUMIF('caseload data'!$C:$C,'divisional &amp; regional caseload%'!$T$50,'caseload data'!N:N),"")</f>
        <v/>
      </c>
      <c r="AE54" s="167" t="str">
        <f>IFERROR(SUMIFS('caseload data'!O:O,'caseload data'!$C:$C,'divisional &amp; regional caseload%'!$T$50,'caseload data'!$D:$D,"TPO")/SUMIF('caseload data'!$C:$C,'divisional &amp; regional caseload%'!$T$50,'caseload data'!O:O),"")</f>
        <v/>
      </c>
      <c r="AF54" s="167" t="str">
        <f>IFERROR(SUMIFS('caseload data'!P:P,'caseload data'!$C:$C,'divisional &amp; regional caseload%'!$T$50,'caseload data'!$D:$D,"TPO")/SUMIF('caseload data'!$C:$C,'divisional &amp; regional caseload%'!$T$50,'caseload data'!P:P),"")</f>
        <v/>
      </c>
      <c r="AG54" s="167" t="str">
        <f>IFERROR(SUMIFS('caseload data'!Q:Q,'caseload data'!$C:$C,'divisional &amp; regional caseload%'!$T$50,'caseload data'!$D:$D,"TPO")/SUMIF('caseload data'!$C:$C,'divisional &amp; regional caseload%'!$T$50,'caseload data'!Q:Q),"")</f>
        <v/>
      </c>
      <c r="AH54" s="167" t="str">
        <f>IFERROR(SUMIFS('caseload data'!R:R,'caseload data'!$C:$C,'divisional &amp; regional caseload%'!$T$50,'caseload data'!$D:$D,"TPO")/SUMIF('caseload data'!$C:$C,'divisional &amp; regional caseload%'!$T$50,'caseload data'!R:R),"")</f>
        <v/>
      </c>
      <c r="AI54" s="167" t="str">
        <f>IFERROR(SUMIFS('caseload data'!S:S,'caseload data'!$C:$C,'divisional &amp; regional caseload%'!$T$50,'caseload data'!$D:$D,"TPO")/SUMIF('caseload data'!$C:$C,'divisional &amp; regional caseload%'!$T$50,'caseload data'!S:S),"")</f>
        <v/>
      </c>
      <c r="AJ54" s="167" t="str">
        <f>IFERROR(SUMIFS('caseload data'!T:T,'caseload data'!$C:$C,'divisional &amp; regional caseload%'!$T$50,'caseload data'!$D:$D,"TPO")/SUMIF('caseload data'!$C:$C,'divisional &amp; regional caseload%'!$T$50,'caseload data'!T:T),"")</f>
        <v/>
      </c>
    </row>
    <row r="55" spans="2:36" x14ac:dyDescent="0.15">
      <c r="B55" s="98" t="s">
        <v>1004</v>
      </c>
      <c r="C55" s="167" t="str">
        <f>IFERROR(SUMIFS('caseload data'!E:E,'caseload data'!$C:$C,'divisional &amp; regional caseload%'!$B$50,'caseload data'!$D:$D,"SPO")/SUMIF('caseload data'!$C:$C,'divisional &amp; regional caseload%'!$B$50,'caseload data'!E:E),"")</f>
        <v/>
      </c>
      <c r="D55" s="167" t="str">
        <f>IFERROR(SUMIFS('caseload data'!F:F,'caseload data'!$C:$C,'divisional &amp; regional caseload%'!$B$50,'caseload data'!$D:$D,"SPO")/SUMIF('caseload data'!$C:$C,'divisional &amp; regional caseload%'!$B$50,'caseload data'!F:F),"")</f>
        <v/>
      </c>
      <c r="E55" s="167" t="str">
        <f>IFERROR(SUMIFS('caseload data'!G:G,'caseload data'!$C:$C,'divisional &amp; regional caseload%'!$B$50,'caseload data'!$D:$D,"SPO")/SUMIF('caseload data'!$C:$C,'divisional &amp; regional caseload%'!$B$50,'caseload data'!G:G),"")</f>
        <v/>
      </c>
      <c r="F55" s="167" t="str">
        <f>IFERROR(SUMIFS('caseload data'!H:H,'caseload data'!$C:$C,'divisional &amp; regional caseload%'!$B$50,'caseload data'!$D:$D,"SPO")/SUMIF('caseload data'!$C:$C,'divisional &amp; regional caseload%'!$B$50,'caseload data'!H:H),"")</f>
        <v/>
      </c>
      <c r="G55" s="167" t="str">
        <f>IFERROR(SUMIFS('caseload data'!I:I,'caseload data'!$C:$C,'divisional &amp; regional caseload%'!$B$50,'caseload data'!$D:$D,"SPO")/SUMIF('caseload data'!$C:$C,'divisional &amp; regional caseload%'!$B$50,'caseload data'!I:I),"")</f>
        <v/>
      </c>
      <c r="H55" s="167" t="str">
        <f>IFERROR(SUMIFS('caseload data'!J:J,'caseload data'!$C:$C,'divisional &amp; regional caseload%'!$B$50,'caseload data'!$D:$D,"SPO")/SUMIF('caseload data'!$C:$C,'divisional &amp; regional caseload%'!$B$50,'caseload data'!J:J),"")</f>
        <v/>
      </c>
      <c r="I55" s="167" t="str">
        <f>IFERROR(SUMIFS('caseload data'!K:K,'caseload data'!$C:$C,'divisional &amp; regional caseload%'!$B$50,'caseload data'!$D:$D,"SPO")/SUMIF('caseload data'!$C:$C,'divisional &amp; regional caseload%'!$B$50,'caseload data'!K:K),"")</f>
        <v/>
      </c>
      <c r="J55" s="167" t="str">
        <f>IFERROR(SUMIFS('caseload data'!L:L,'caseload data'!$C:$C,'divisional &amp; regional caseload%'!$B$50,'caseload data'!$D:$D,"SPO")/SUMIF('caseload data'!$C:$C,'divisional &amp; regional caseload%'!$B$50,'caseload data'!L:L),"")</f>
        <v/>
      </c>
      <c r="K55" s="167" t="str">
        <f>IFERROR(SUMIFS('caseload data'!M:M,'caseload data'!$C:$C,'divisional &amp; regional caseload%'!$B$50,'caseload data'!$D:$D,"SPO")/SUMIF('caseload data'!$C:$C,'divisional &amp; regional caseload%'!$B$50,'caseload data'!M:M),"")</f>
        <v/>
      </c>
      <c r="L55" s="167" t="str">
        <f>IFERROR(SUMIFS('caseload data'!N:N,'caseload data'!$C:$C,'divisional &amp; regional caseload%'!$B$50,'caseload data'!$D:$D,"SPO")/SUMIF('caseload data'!$C:$C,'divisional &amp; regional caseload%'!$B$50,'caseload data'!N:N),"")</f>
        <v/>
      </c>
      <c r="M55" s="167" t="str">
        <f>IFERROR(SUMIFS('caseload data'!O:O,'caseload data'!$C:$C,'divisional &amp; regional caseload%'!$B$50,'caseload data'!$D:$D,"SPO")/SUMIF('caseload data'!$C:$C,'divisional &amp; regional caseload%'!$B$50,'caseload data'!O:O),"")</f>
        <v/>
      </c>
      <c r="N55" s="167" t="str">
        <f>IFERROR(SUMIFS('caseload data'!P:P,'caseload data'!$C:$C,'divisional &amp; regional caseload%'!$B$50,'caseload data'!$D:$D,"SPO")/SUMIF('caseload data'!$C:$C,'divisional &amp; regional caseload%'!$B$50,'caseload data'!P:P),"")</f>
        <v/>
      </c>
      <c r="O55" s="167" t="str">
        <f>IFERROR(SUMIFS('caseload data'!Q:Q,'caseload data'!$C:$C,'divisional &amp; regional caseload%'!$B$50,'caseload data'!$D:$D,"SPO")/SUMIF('caseload data'!$C:$C,'divisional &amp; regional caseload%'!$B$50,'caseload data'!Q:Q),"")</f>
        <v/>
      </c>
      <c r="P55" s="167" t="str">
        <f>IFERROR(SUMIFS('caseload data'!R:R,'caseload data'!$C:$C,'divisional &amp; regional caseload%'!$B$50,'caseload data'!$D:$D,"SPO")/SUMIF('caseload data'!$C:$C,'divisional &amp; regional caseload%'!$B$50,'caseload data'!R:R),"")</f>
        <v/>
      </c>
      <c r="Q55" s="167" t="str">
        <f>IFERROR(SUMIFS('caseload data'!S:S,'caseload data'!$C:$C,'divisional &amp; regional caseload%'!$B$50,'caseload data'!$D:$D,"SPO")/SUMIF('caseload data'!$C:$C,'divisional &amp; regional caseload%'!$B$50,'caseload data'!S:S),"")</f>
        <v/>
      </c>
      <c r="R55" s="167" t="str">
        <f>IFERROR(SUMIFS('caseload data'!T:T,'caseload data'!$C:$C,'divisional &amp; regional caseload%'!$B$50,'caseload data'!$D:$D,"SPO")/SUMIF('caseload data'!$C:$C,'divisional &amp; regional caseload%'!$B$50,'caseload data'!T:T),"")</f>
        <v/>
      </c>
      <c r="S55" s="64"/>
      <c r="T55" s="98" t="s">
        <v>1004</v>
      </c>
      <c r="U55" s="167" t="str">
        <f>IFERROR(SUMIFS('caseload data'!E:E,'caseload data'!$C:$C,'divisional &amp; regional caseload%'!$T$50,'caseload data'!$D:$D,"SPO")/SUMIF('caseload data'!$C:$C,'divisional &amp; regional caseload%'!$T$50,'caseload data'!E:E),"")</f>
        <v/>
      </c>
      <c r="V55" s="167" t="str">
        <f>IFERROR(SUMIFS('caseload data'!F:F,'caseload data'!$C:$C,'divisional &amp; regional caseload%'!$T$50,'caseload data'!$D:$D,"SPO")/SUMIF('caseload data'!$C:$C,'divisional &amp; regional caseload%'!$T$50,'caseload data'!F:F),"")</f>
        <v/>
      </c>
      <c r="W55" s="167" t="str">
        <f>IFERROR(SUMIFS('caseload data'!G:G,'caseload data'!$C:$C,'divisional &amp; regional caseload%'!$T$50,'caseload data'!$D:$D,"SPO")/SUMIF('caseload data'!$C:$C,'divisional &amp; regional caseload%'!$T$50,'caseload data'!G:G),"")</f>
        <v/>
      </c>
      <c r="X55" s="167" t="str">
        <f>IFERROR(SUMIFS('caseload data'!H:H,'caseload data'!$C:$C,'divisional &amp; regional caseload%'!$T$50,'caseload data'!$D:$D,"SPO")/SUMIF('caseload data'!$C:$C,'divisional &amp; regional caseload%'!$T$50,'caseload data'!H:H),"")</f>
        <v/>
      </c>
      <c r="Y55" s="167" t="str">
        <f>IFERROR(SUMIFS('caseload data'!I:I,'caseload data'!$C:$C,'divisional &amp; regional caseload%'!$T$50,'caseload data'!$D:$D,"SPO")/SUMIF('caseload data'!$C:$C,'divisional &amp; regional caseload%'!$T$50,'caseload data'!I:I),"")</f>
        <v/>
      </c>
      <c r="Z55" s="167" t="str">
        <f>IFERROR(SUMIFS('caseload data'!J:J,'caseload data'!$C:$C,'divisional &amp; regional caseload%'!$T$50,'caseload data'!$D:$D,"SPO")/SUMIF('caseload data'!$C:$C,'divisional &amp; regional caseload%'!$T$50,'caseload data'!J:J),"")</f>
        <v/>
      </c>
      <c r="AA55" s="167" t="str">
        <f>IFERROR(SUMIFS('caseload data'!K:K,'caseload data'!$C:$C,'divisional &amp; regional caseload%'!$T$50,'caseload data'!$D:$D,"SPO")/SUMIF('caseload data'!$C:$C,'divisional &amp; regional caseload%'!$T$50,'caseload data'!K:K),"")</f>
        <v/>
      </c>
      <c r="AB55" s="167" t="str">
        <f>IFERROR(SUMIFS('caseload data'!L:L,'caseload data'!$C:$C,'divisional &amp; regional caseload%'!$T$50,'caseload data'!$D:$D,"SPO")/SUMIF('caseload data'!$C:$C,'divisional &amp; regional caseload%'!$T$50,'caseload data'!L:L),"")</f>
        <v/>
      </c>
      <c r="AC55" s="167" t="str">
        <f>IFERROR(SUMIFS('caseload data'!M:M,'caseload data'!$C:$C,'divisional &amp; regional caseload%'!$T$50,'caseload data'!$D:$D,"SPO")/SUMIF('caseload data'!$C:$C,'divisional &amp; regional caseload%'!$T$50,'caseload data'!M:M),"")</f>
        <v/>
      </c>
      <c r="AD55" s="167" t="str">
        <f>IFERROR(SUMIFS('caseload data'!N:N,'caseload data'!$C:$C,'divisional &amp; regional caseload%'!$T$50,'caseload data'!$D:$D,"SPO")/SUMIF('caseload data'!$C:$C,'divisional &amp; regional caseload%'!$T$50,'caseload data'!N:N),"")</f>
        <v/>
      </c>
      <c r="AE55" s="167" t="str">
        <f>IFERROR(SUMIFS('caseload data'!O:O,'caseload data'!$C:$C,'divisional &amp; regional caseload%'!$T$50,'caseload data'!$D:$D,"SPO")/SUMIF('caseload data'!$C:$C,'divisional &amp; regional caseload%'!$T$50,'caseload data'!O:O),"")</f>
        <v/>
      </c>
      <c r="AF55" s="167" t="str">
        <f>IFERROR(SUMIFS('caseload data'!P:P,'caseload data'!$C:$C,'divisional &amp; regional caseload%'!$T$50,'caseload data'!$D:$D,"SPO")/SUMIF('caseload data'!$C:$C,'divisional &amp; regional caseload%'!$T$50,'caseload data'!P:P),"")</f>
        <v/>
      </c>
      <c r="AG55" s="167" t="str">
        <f>IFERROR(SUMIFS('caseload data'!Q:Q,'caseload data'!$C:$C,'divisional &amp; regional caseload%'!$T$50,'caseload data'!$D:$D,"SPO")/SUMIF('caseload data'!$C:$C,'divisional &amp; regional caseload%'!$T$50,'caseload data'!Q:Q),"")</f>
        <v/>
      </c>
      <c r="AH55" s="167" t="str">
        <f>IFERROR(SUMIFS('caseload data'!R:R,'caseload data'!$C:$C,'divisional &amp; regional caseload%'!$T$50,'caseload data'!$D:$D,"SPO")/SUMIF('caseload data'!$C:$C,'divisional &amp; regional caseload%'!$T$50,'caseload data'!R:R),"")</f>
        <v/>
      </c>
      <c r="AI55" s="167" t="str">
        <f>IFERROR(SUMIFS('caseload data'!S:S,'caseload data'!$C:$C,'divisional &amp; regional caseload%'!$T$50,'caseload data'!$D:$D,"SPO")/SUMIF('caseload data'!$C:$C,'divisional &amp; regional caseload%'!$T$50,'caseload data'!S:S),"")</f>
        <v/>
      </c>
      <c r="AJ55" s="167" t="str">
        <f>IFERROR(SUMIFS('caseload data'!T:T,'caseload data'!$C:$C,'divisional &amp; regional caseload%'!$T$50,'caseload data'!$D:$D,"SPO")/SUMIF('caseload data'!$C:$C,'divisional &amp; regional caseload%'!$T$50,'caseload data'!T:T),"")</f>
        <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15">
      <c r="B57" s="289">
        <f>HLOOKUP($B$5,Region_Table,16,0)</f>
        <v>0</v>
      </c>
      <c r="C57" s="525" t="s">
        <v>1096</v>
      </c>
      <c r="D57" s="526"/>
      <c r="E57" s="526"/>
      <c r="F57" s="526"/>
      <c r="G57" s="526"/>
      <c r="H57" s="526"/>
      <c r="I57" s="526"/>
      <c r="J57" s="526"/>
      <c r="K57" s="526"/>
      <c r="L57" s="526"/>
      <c r="M57" s="527"/>
      <c r="N57" s="527"/>
      <c r="O57" s="528"/>
      <c r="P57" s="512">
        <f>SUMIF('caseload data'!$C:$C,'divisional &amp; regional caseload%'!B57,'caseload data'!V:V)</f>
        <v>0</v>
      </c>
      <c r="Q57" s="529"/>
      <c r="R57" s="530"/>
      <c r="S57" s="64"/>
      <c r="T57" s="289">
        <f>HLOOKUP($B$5,Region_Table,17,0)</f>
        <v>0</v>
      </c>
      <c r="U57" s="525" t="s">
        <v>1092</v>
      </c>
      <c r="V57" s="526"/>
      <c r="W57" s="526"/>
      <c r="X57" s="526"/>
      <c r="Y57" s="526"/>
      <c r="Z57" s="526"/>
      <c r="AA57" s="526"/>
      <c r="AB57" s="526"/>
      <c r="AC57" s="526"/>
      <c r="AD57" s="526"/>
      <c r="AE57" s="527"/>
      <c r="AF57" s="527"/>
      <c r="AG57" s="528"/>
      <c r="AH57" s="512">
        <f>SUMIF('caseload data'!$C:$C,'divisional &amp; regional caseload%'!T57,'caseload data'!V:V)</f>
        <v>0</v>
      </c>
      <c r="AI57" s="529"/>
      <c r="AJ57" s="530"/>
    </row>
    <row r="58" spans="2:36" x14ac:dyDescent="0.15">
      <c r="B58" s="95" t="s">
        <v>1001</v>
      </c>
      <c r="C58" s="38" t="s">
        <v>864</v>
      </c>
      <c r="D58" s="38" t="s">
        <v>865</v>
      </c>
      <c r="E58" s="38" t="s">
        <v>866</v>
      </c>
      <c r="F58" s="38" t="s">
        <v>867</v>
      </c>
      <c r="G58" s="38" t="s">
        <v>868</v>
      </c>
      <c r="H58" s="38" t="s">
        <v>869</v>
      </c>
      <c r="I58" s="38" t="s">
        <v>870</v>
      </c>
      <c r="J58" s="38" t="s">
        <v>871</v>
      </c>
      <c r="K58" s="38" t="s">
        <v>872</v>
      </c>
      <c r="L58" s="38" t="s">
        <v>873</v>
      </c>
      <c r="M58" s="38" t="s">
        <v>874</v>
      </c>
      <c r="N58" s="38" t="s">
        <v>875</v>
      </c>
      <c r="O58" s="38" t="s">
        <v>876</v>
      </c>
      <c r="P58" s="38" t="s">
        <v>877</v>
      </c>
      <c r="Q58" s="38" t="s">
        <v>878</v>
      </c>
      <c r="R58" s="38" t="s">
        <v>879</v>
      </c>
      <c r="S58" s="64"/>
      <c r="T58" s="95" t="s">
        <v>1001</v>
      </c>
      <c r="U58" s="38" t="s">
        <v>864</v>
      </c>
      <c r="V58" s="38" t="s">
        <v>865</v>
      </c>
      <c r="W58" s="38" t="s">
        <v>866</v>
      </c>
      <c r="X58" s="38" t="s">
        <v>867</v>
      </c>
      <c r="Y58" s="38" t="s">
        <v>868</v>
      </c>
      <c r="Z58" s="38" t="s">
        <v>869</v>
      </c>
      <c r="AA58" s="38" t="s">
        <v>870</v>
      </c>
      <c r="AB58" s="38" t="s">
        <v>871</v>
      </c>
      <c r="AC58" s="38" t="s">
        <v>872</v>
      </c>
      <c r="AD58" s="38" t="s">
        <v>873</v>
      </c>
      <c r="AE58" s="38" t="s">
        <v>874</v>
      </c>
      <c r="AF58" s="38" t="s">
        <v>875</v>
      </c>
      <c r="AG58" s="38" t="s">
        <v>876</v>
      </c>
      <c r="AH58" s="38" t="s">
        <v>877</v>
      </c>
      <c r="AI58" s="38" t="s">
        <v>878</v>
      </c>
      <c r="AJ58" s="38" t="s">
        <v>879</v>
      </c>
    </row>
    <row r="59" spans="2:36" x14ac:dyDescent="0.15">
      <c r="B59" s="96" t="s">
        <v>997</v>
      </c>
      <c r="C59" s="167" t="str">
        <f>IFERROR(SUMIFS('caseload data'!E:E,'caseload data'!$C:$C,'divisional &amp; regional caseload%'!$B$57,'caseload data'!$D:$D,"PO")/SUMIF('caseload data'!$C:$C,'divisional &amp; regional caseload%'!$B$57,'caseload data'!E:E),"")</f>
        <v/>
      </c>
      <c r="D59" s="167" t="str">
        <f>IFERROR(SUMIFS('caseload data'!F:F,'caseload data'!$C:$C,'divisional &amp; regional caseload%'!$B$57,'caseload data'!$D:$D,"PO")/SUMIF('caseload data'!$C:$C,'divisional &amp; regional caseload%'!$B$57,'caseload data'!F:F),"")</f>
        <v/>
      </c>
      <c r="E59" s="167" t="str">
        <f>IFERROR(SUMIFS('caseload data'!G:G,'caseload data'!$C:$C,'divisional &amp; regional caseload%'!$B$57,'caseload data'!$D:$D,"PO")/SUMIF('caseload data'!$C:$C,'divisional &amp; regional caseload%'!$B$57,'caseload data'!G:G),"")</f>
        <v/>
      </c>
      <c r="F59" s="167" t="str">
        <f>IFERROR(SUMIFS('caseload data'!H:H,'caseload data'!$C:$C,'divisional &amp; regional caseload%'!$B$57,'caseload data'!$D:$D,"PO")/SUMIF('caseload data'!$C:$C,'divisional &amp; regional caseload%'!$B$57,'caseload data'!H:H),"")</f>
        <v/>
      </c>
      <c r="G59" s="167" t="str">
        <f>IFERROR(SUMIFS('caseload data'!I:I,'caseload data'!$C:$C,'divisional &amp; regional caseload%'!$B$57,'caseload data'!$D:$D,"PO")/SUMIF('caseload data'!$C:$C,'divisional &amp; regional caseload%'!$B$57,'caseload data'!I:I),"")</f>
        <v/>
      </c>
      <c r="H59" s="167" t="str">
        <f>IFERROR(SUMIFS('caseload data'!J:J,'caseload data'!$C:$C,'divisional &amp; regional caseload%'!$B$57,'caseload data'!$D:$D,"PO")/SUMIF('caseload data'!$C:$C,'divisional &amp; regional caseload%'!$B$57,'caseload data'!J:J),"")</f>
        <v/>
      </c>
      <c r="I59" s="167" t="str">
        <f>IFERROR(SUMIFS('caseload data'!K:K,'caseload data'!$C:$C,'divisional &amp; regional caseload%'!$B$57,'caseload data'!$D:$D,"PO")/SUMIF('caseload data'!$C:$C,'divisional &amp; regional caseload%'!$B$57,'caseload data'!K:K),"")</f>
        <v/>
      </c>
      <c r="J59" s="167" t="str">
        <f>IFERROR(SUMIFS('caseload data'!L:L,'caseload data'!$C:$C,'divisional &amp; regional caseload%'!$B$57,'caseload data'!$D:$D,"PO")/SUMIF('caseload data'!$C:$C,'divisional &amp; regional caseload%'!$B$57,'caseload data'!L:L),"")</f>
        <v/>
      </c>
      <c r="K59" s="167" t="str">
        <f>IFERROR(SUMIFS('caseload data'!M:M,'caseload data'!$C:$C,'divisional &amp; regional caseload%'!$B$57,'caseload data'!$D:$D,"PO")/SUMIF('caseload data'!$C:$C,'divisional &amp; regional caseload%'!$B$57,'caseload data'!M:M),"")</f>
        <v/>
      </c>
      <c r="L59" s="167" t="str">
        <f>IFERROR(SUMIFS('caseload data'!N:N,'caseload data'!$C:$C,'divisional &amp; regional caseload%'!$B$57,'caseload data'!$D:$D,"PO")/SUMIF('caseload data'!$C:$C,'divisional &amp; regional caseload%'!$B$57,'caseload data'!N:N),"")</f>
        <v/>
      </c>
      <c r="M59" s="167" t="str">
        <f>IFERROR(SUMIFS('caseload data'!O:O,'caseload data'!$C:$C,'divisional &amp; regional caseload%'!$B$57,'caseload data'!$D:$D,"PO")/SUMIF('caseload data'!$C:$C,'divisional &amp; regional caseload%'!$B$57,'caseload data'!O:O),"")</f>
        <v/>
      </c>
      <c r="N59" s="167" t="str">
        <f>IFERROR(SUMIFS('caseload data'!P:P,'caseload data'!$C:$C,'divisional &amp; regional caseload%'!$B$57,'caseload data'!$D:$D,"PO")/SUMIF('caseload data'!$C:$C,'divisional &amp; regional caseload%'!$B$57,'caseload data'!P:P),"")</f>
        <v/>
      </c>
      <c r="O59" s="167" t="str">
        <f>IFERROR(SUMIFS('caseload data'!Q:Q,'caseload data'!$C:$C,'divisional &amp; regional caseload%'!$B$57,'caseload data'!$D:$D,"PO")/SUMIF('caseload data'!$C:$C,'divisional &amp; regional caseload%'!$B$57,'caseload data'!Q:Q),"")</f>
        <v/>
      </c>
      <c r="P59" s="167" t="str">
        <f>IFERROR(SUMIFS('caseload data'!R:R,'caseload data'!$C:$C,'divisional &amp; regional caseload%'!$B$57,'caseload data'!$D:$D,"PO")/SUMIF('caseload data'!$C:$C,'divisional &amp; regional caseload%'!$B$57,'caseload data'!R:R),"")</f>
        <v/>
      </c>
      <c r="Q59" s="167" t="str">
        <f>IFERROR(SUMIFS('caseload data'!S:S,'caseload data'!$C:$C,'divisional &amp; regional caseload%'!$B$57,'caseload data'!$D:$D,"PO")/SUMIF('caseload data'!$C:$C,'divisional &amp; regional caseload%'!$B$57,'caseload data'!S:S),"")</f>
        <v/>
      </c>
      <c r="R59" s="167" t="str">
        <f>IFERROR(SUMIFS('caseload data'!T:T,'caseload data'!$C:$C,'divisional &amp; regional caseload%'!$B$57,'caseload data'!$D:$D,"PO")/SUMIF('caseload data'!$C:$C,'divisional &amp; regional caseload%'!$B$57,'caseload data'!T:T),"")</f>
        <v/>
      </c>
      <c r="S59" s="64"/>
      <c r="T59" s="96" t="s">
        <v>997</v>
      </c>
      <c r="U59" s="167" t="str">
        <f>IFERROR(SUMIFS('caseload data'!E:E,'caseload data'!$C:$C,'divisional &amp; regional caseload%'!$T$57,'caseload data'!$D:$D,"PO")/SUMIF('caseload data'!$C:$C,'divisional &amp; regional caseload%'!$T$57,'caseload data'!E:E),"")</f>
        <v/>
      </c>
      <c r="V59" s="167" t="str">
        <f>IFERROR(SUMIFS('caseload data'!F:F,'caseload data'!$C:$C,'divisional &amp; regional caseload%'!$T$57,'caseload data'!$D:$D,"PO")/SUMIF('caseload data'!$C:$C,'divisional &amp; regional caseload%'!$T$57,'caseload data'!F:F),"")</f>
        <v/>
      </c>
      <c r="W59" s="167" t="str">
        <f>IFERROR(SUMIFS('caseload data'!G:G,'caseload data'!$C:$C,'divisional &amp; regional caseload%'!$T$57,'caseload data'!$D:$D,"PO")/SUMIF('caseload data'!$C:$C,'divisional &amp; regional caseload%'!$T$57,'caseload data'!G:G),"")</f>
        <v/>
      </c>
      <c r="X59" s="167" t="str">
        <f>IFERROR(SUMIFS('caseload data'!H:H,'caseload data'!$C:$C,'divisional &amp; regional caseload%'!$T$57,'caseload data'!$D:$D,"PO")/SUMIF('caseload data'!$C:$C,'divisional &amp; regional caseload%'!$T$57,'caseload data'!H:H),"")</f>
        <v/>
      </c>
      <c r="Y59" s="167" t="str">
        <f>IFERROR(SUMIFS('caseload data'!I:I,'caseload data'!$C:$C,'divisional &amp; regional caseload%'!$T$57,'caseload data'!$D:$D,"PO")/SUMIF('caseload data'!$C:$C,'divisional &amp; regional caseload%'!$T$57,'caseload data'!I:I),"")</f>
        <v/>
      </c>
      <c r="Z59" s="167" t="str">
        <f>IFERROR(SUMIFS('caseload data'!J:J,'caseload data'!$C:$C,'divisional &amp; regional caseload%'!$T$57,'caseload data'!$D:$D,"PO")/SUMIF('caseload data'!$C:$C,'divisional &amp; regional caseload%'!$T$57,'caseload data'!J:J),"")</f>
        <v/>
      </c>
      <c r="AA59" s="167" t="str">
        <f>IFERROR(SUMIFS('caseload data'!K:K,'caseload data'!$C:$C,'divisional &amp; regional caseload%'!$T$57,'caseload data'!$D:$D,"PO")/SUMIF('caseload data'!$C:$C,'divisional &amp; regional caseload%'!$T$57,'caseload data'!K:K),"")</f>
        <v/>
      </c>
      <c r="AB59" s="167" t="str">
        <f>IFERROR(SUMIFS('caseload data'!L:L,'caseload data'!$C:$C,'divisional &amp; regional caseload%'!$T$57,'caseload data'!$D:$D,"PO")/SUMIF('caseload data'!$C:$C,'divisional &amp; regional caseload%'!$T$57,'caseload data'!L:L),"")</f>
        <v/>
      </c>
      <c r="AC59" s="167" t="str">
        <f>IFERROR(SUMIFS('caseload data'!M:M,'caseload data'!$C:$C,'divisional &amp; regional caseload%'!$T$57,'caseload data'!$D:$D,"PO")/SUMIF('caseload data'!$C:$C,'divisional &amp; regional caseload%'!$T$57,'caseload data'!M:M),"")</f>
        <v/>
      </c>
      <c r="AD59" s="167" t="str">
        <f>IFERROR(SUMIFS('caseload data'!N:N,'caseload data'!$C:$C,'divisional &amp; regional caseload%'!$T$57,'caseload data'!$D:$D,"PO")/SUMIF('caseload data'!$C:$C,'divisional &amp; regional caseload%'!$T$57,'caseload data'!N:N),"")</f>
        <v/>
      </c>
      <c r="AE59" s="167" t="str">
        <f>IFERROR(SUMIFS('caseload data'!O:O,'caseload data'!$C:$C,'divisional &amp; regional caseload%'!$T$57,'caseload data'!$D:$D,"PO")/SUMIF('caseload data'!$C:$C,'divisional &amp; regional caseload%'!$T$57,'caseload data'!O:O),"")</f>
        <v/>
      </c>
      <c r="AF59" s="167" t="str">
        <f>IFERROR(SUMIFS('caseload data'!P:P,'caseload data'!$C:$C,'divisional &amp; regional caseload%'!$T$57,'caseload data'!$D:$D,"PO")/SUMIF('caseload data'!$C:$C,'divisional &amp; regional caseload%'!$T$57,'caseload data'!P:P),"")</f>
        <v/>
      </c>
      <c r="AG59" s="167" t="str">
        <f>IFERROR(SUMIFS('caseload data'!Q:Q,'caseload data'!$C:$C,'divisional &amp; regional caseload%'!$T$57,'caseload data'!$D:$D,"PO")/SUMIF('caseload data'!$C:$C,'divisional &amp; regional caseload%'!$T$57,'caseload data'!Q:Q),"")</f>
        <v/>
      </c>
      <c r="AH59" s="167" t="str">
        <f>IFERROR(SUMIFS('caseload data'!R:R,'caseload data'!$C:$C,'divisional &amp; regional caseload%'!$T$57,'caseload data'!$D:$D,"PO")/SUMIF('caseload data'!$C:$C,'divisional &amp; regional caseload%'!$T$57,'caseload data'!R:R),"")</f>
        <v/>
      </c>
      <c r="AI59" s="167" t="str">
        <f>IFERROR(SUMIFS('caseload data'!S:S,'caseload data'!$C:$C,'divisional &amp; regional caseload%'!$T$57,'caseload data'!$D:$D,"PO")/SUMIF('caseload data'!$C:$C,'divisional &amp; regional caseload%'!$T$57,'caseload data'!S:S),"")</f>
        <v/>
      </c>
      <c r="AJ59" s="167" t="str">
        <f>IFERROR(SUMIFS('caseload data'!T:T,'caseload data'!$C:$C,'divisional &amp; regional caseload%'!$T$57,'caseload data'!$D:$D,"PO")/SUMIF('caseload data'!$C:$C,'divisional &amp; regional caseload%'!$T$57,'caseload data'!T:T),"")</f>
        <v/>
      </c>
    </row>
    <row r="60" spans="2:36" x14ac:dyDescent="0.15">
      <c r="B60" s="97" t="s">
        <v>1002</v>
      </c>
      <c r="C60" s="167" t="str">
        <f>IFERROR(SUMIFS('caseload data'!E:E,'caseload data'!$C:$C,'divisional &amp; regional caseload%'!$B$57,'caseload data'!$D:$D,"PSO")/SUMIF('caseload data'!$C:$C,'divisional &amp; regional caseload%'!$B$57,'caseload data'!E:E),"")</f>
        <v/>
      </c>
      <c r="D60" s="167" t="str">
        <f>IFERROR(SUMIFS('caseload data'!F:F,'caseload data'!$C:$C,'divisional &amp; regional caseload%'!$B$57,'caseload data'!$D:$D,"PSO")/SUMIF('caseload data'!$C:$C,'divisional &amp; regional caseload%'!$B$57,'caseload data'!F:F),"")</f>
        <v/>
      </c>
      <c r="E60" s="167" t="str">
        <f>IFERROR(SUMIFS('caseload data'!G:G,'caseload data'!$C:$C,'divisional &amp; regional caseload%'!$B$57,'caseload data'!$D:$D,"PSO")/SUMIF('caseload data'!$C:$C,'divisional &amp; regional caseload%'!$B$57,'caseload data'!G:G),"")</f>
        <v/>
      </c>
      <c r="F60" s="167" t="str">
        <f>IFERROR(SUMIFS('caseload data'!H:H,'caseload data'!$C:$C,'divisional &amp; regional caseload%'!$B$57,'caseload data'!$D:$D,"PSO")/SUMIF('caseload data'!$C:$C,'divisional &amp; regional caseload%'!$B$57,'caseload data'!H:H),"")</f>
        <v/>
      </c>
      <c r="G60" s="167" t="str">
        <f>IFERROR(SUMIFS('caseload data'!I:I,'caseload data'!$C:$C,'divisional &amp; regional caseload%'!$B$57,'caseload data'!$D:$D,"PSO")/SUMIF('caseload data'!$C:$C,'divisional &amp; regional caseload%'!$B$57,'caseload data'!I:I),"")</f>
        <v/>
      </c>
      <c r="H60" s="167" t="str">
        <f>IFERROR(SUMIFS('caseload data'!J:J,'caseload data'!$C:$C,'divisional &amp; regional caseload%'!$B$57,'caseload data'!$D:$D,"PSO")/SUMIF('caseload data'!$C:$C,'divisional &amp; regional caseload%'!$B$57,'caseload data'!J:J),"")</f>
        <v/>
      </c>
      <c r="I60" s="167" t="str">
        <f>IFERROR(SUMIFS('caseload data'!K:K,'caseload data'!$C:$C,'divisional &amp; regional caseload%'!$B$57,'caseload data'!$D:$D,"PSO")/SUMIF('caseload data'!$C:$C,'divisional &amp; regional caseload%'!$B$57,'caseload data'!K:K),"")</f>
        <v/>
      </c>
      <c r="J60" s="167" t="str">
        <f>IFERROR(SUMIFS('caseload data'!L:L,'caseload data'!$C:$C,'divisional &amp; regional caseload%'!$B$57,'caseload data'!$D:$D,"PSO")/SUMIF('caseload data'!$C:$C,'divisional &amp; regional caseload%'!$B$57,'caseload data'!L:L),"")</f>
        <v/>
      </c>
      <c r="K60" s="167" t="str">
        <f>IFERROR(SUMIFS('caseload data'!M:M,'caseload data'!$C:$C,'divisional &amp; regional caseload%'!$B$57,'caseload data'!$D:$D,"PSO")/SUMIF('caseload data'!$C:$C,'divisional &amp; regional caseload%'!$B$57,'caseload data'!M:M),"")</f>
        <v/>
      </c>
      <c r="L60" s="167" t="str">
        <f>IFERROR(SUMIFS('caseload data'!N:N,'caseload data'!$C:$C,'divisional &amp; regional caseload%'!$B$57,'caseload data'!$D:$D,"PSO")/SUMIF('caseload data'!$C:$C,'divisional &amp; regional caseload%'!$B$57,'caseload data'!N:N),"")</f>
        <v/>
      </c>
      <c r="M60" s="167" t="str">
        <f>IFERROR(SUMIFS('caseload data'!O:O,'caseload data'!$C:$C,'divisional &amp; regional caseload%'!$B$57,'caseload data'!$D:$D,"PSO")/SUMIF('caseload data'!$C:$C,'divisional &amp; regional caseload%'!$B$57,'caseload data'!O:O),"")</f>
        <v/>
      </c>
      <c r="N60" s="167" t="str">
        <f>IFERROR(SUMIFS('caseload data'!P:P,'caseload data'!$C:$C,'divisional &amp; regional caseload%'!$B$57,'caseload data'!$D:$D,"PSO")/SUMIF('caseload data'!$C:$C,'divisional &amp; regional caseload%'!$B$57,'caseload data'!P:P),"")</f>
        <v/>
      </c>
      <c r="O60" s="167" t="str">
        <f>IFERROR(SUMIFS('caseload data'!Q:Q,'caseload data'!$C:$C,'divisional &amp; regional caseload%'!$B$57,'caseload data'!$D:$D,"PSO")/SUMIF('caseload data'!$C:$C,'divisional &amp; regional caseload%'!$B$57,'caseload data'!Q:Q),"")</f>
        <v/>
      </c>
      <c r="P60" s="167" t="str">
        <f>IFERROR(SUMIFS('caseload data'!R:R,'caseload data'!$C:$C,'divisional &amp; regional caseload%'!$B$57,'caseload data'!$D:$D,"PSO")/SUMIF('caseload data'!$C:$C,'divisional &amp; regional caseload%'!$B$57,'caseload data'!R:R),"")</f>
        <v/>
      </c>
      <c r="Q60" s="167" t="str">
        <f>IFERROR(SUMIFS('caseload data'!S:S,'caseload data'!$C:$C,'divisional &amp; regional caseload%'!$B$57,'caseload data'!$D:$D,"PSO")/SUMIF('caseload data'!$C:$C,'divisional &amp; regional caseload%'!$B$57,'caseload data'!S:S),"")</f>
        <v/>
      </c>
      <c r="R60" s="167" t="str">
        <f>IFERROR(SUMIFS('caseload data'!T:T,'caseload data'!$C:$C,'divisional &amp; regional caseload%'!$B$57,'caseload data'!$D:$D,"PSO")/SUMIF('caseload data'!$C:$C,'divisional &amp; regional caseload%'!$B$57,'caseload data'!T:T),"")</f>
        <v/>
      </c>
      <c r="S60" s="64"/>
      <c r="T60" s="97" t="s">
        <v>1002</v>
      </c>
      <c r="U60" s="167" t="str">
        <f>IFERROR(SUMIFS('caseload data'!E:E,'caseload data'!$C:$C,'divisional &amp; regional caseload%'!$T$57,'caseload data'!$D:$D,"PSO")/SUMIF('caseload data'!$C:$C,'divisional &amp; regional caseload%'!$T$57,'caseload data'!E:E),"")</f>
        <v/>
      </c>
      <c r="V60" s="167" t="str">
        <f>IFERROR(SUMIFS('caseload data'!F:F,'caseload data'!$C:$C,'divisional &amp; regional caseload%'!$T$57,'caseload data'!$D:$D,"PSO")/SUMIF('caseload data'!$C:$C,'divisional &amp; regional caseload%'!$T$57,'caseload data'!F:F),"")</f>
        <v/>
      </c>
      <c r="W60" s="167" t="str">
        <f>IFERROR(SUMIFS('caseload data'!G:G,'caseload data'!$C:$C,'divisional &amp; regional caseload%'!$T$57,'caseload data'!$D:$D,"PSO")/SUMIF('caseload data'!$C:$C,'divisional &amp; regional caseload%'!$T$57,'caseload data'!G:G),"")</f>
        <v/>
      </c>
      <c r="X60" s="167" t="str">
        <f>IFERROR(SUMIFS('caseload data'!H:H,'caseload data'!$C:$C,'divisional &amp; regional caseload%'!$T$57,'caseload data'!$D:$D,"PSO")/SUMIF('caseload data'!$C:$C,'divisional &amp; regional caseload%'!$T$57,'caseload data'!H:H),"")</f>
        <v/>
      </c>
      <c r="Y60" s="167" t="str">
        <f>IFERROR(SUMIFS('caseload data'!I:I,'caseload data'!$C:$C,'divisional &amp; regional caseload%'!$T$57,'caseload data'!$D:$D,"PSO")/SUMIF('caseload data'!$C:$C,'divisional &amp; regional caseload%'!$T$57,'caseload data'!I:I),"")</f>
        <v/>
      </c>
      <c r="Z60" s="167" t="str">
        <f>IFERROR(SUMIFS('caseload data'!J:J,'caseload data'!$C:$C,'divisional &amp; regional caseload%'!$T$57,'caseload data'!$D:$D,"PSO")/SUMIF('caseload data'!$C:$C,'divisional &amp; regional caseload%'!$T$57,'caseload data'!J:J),"")</f>
        <v/>
      </c>
      <c r="AA60" s="167" t="str">
        <f>IFERROR(SUMIFS('caseload data'!K:K,'caseload data'!$C:$C,'divisional &amp; regional caseload%'!$T$57,'caseload data'!$D:$D,"PSO")/SUMIF('caseload data'!$C:$C,'divisional &amp; regional caseload%'!$T$57,'caseload data'!K:K),"")</f>
        <v/>
      </c>
      <c r="AB60" s="167" t="str">
        <f>IFERROR(SUMIFS('caseload data'!L:L,'caseload data'!$C:$C,'divisional &amp; regional caseload%'!$T$57,'caseload data'!$D:$D,"PSO")/SUMIF('caseload data'!$C:$C,'divisional &amp; regional caseload%'!$T$57,'caseload data'!L:L),"")</f>
        <v/>
      </c>
      <c r="AC60" s="167" t="str">
        <f>IFERROR(SUMIFS('caseload data'!M:M,'caseload data'!$C:$C,'divisional &amp; regional caseload%'!$T$57,'caseload data'!$D:$D,"PSO")/SUMIF('caseload data'!$C:$C,'divisional &amp; regional caseload%'!$T$57,'caseload data'!M:M),"")</f>
        <v/>
      </c>
      <c r="AD60" s="167" t="str">
        <f>IFERROR(SUMIFS('caseload data'!N:N,'caseload data'!$C:$C,'divisional &amp; regional caseload%'!$T$57,'caseload data'!$D:$D,"PSO")/SUMIF('caseload data'!$C:$C,'divisional &amp; regional caseload%'!$T$57,'caseload data'!N:N),"")</f>
        <v/>
      </c>
      <c r="AE60" s="167" t="str">
        <f>IFERROR(SUMIFS('caseload data'!O:O,'caseload data'!$C:$C,'divisional &amp; regional caseload%'!$T$57,'caseload data'!$D:$D,"PSO")/SUMIF('caseload data'!$C:$C,'divisional &amp; regional caseload%'!$T$57,'caseload data'!O:O),"")</f>
        <v/>
      </c>
      <c r="AF60" s="167" t="str">
        <f>IFERROR(SUMIFS('caseload data'!P:P,'caseload data'!$C:$C,'divisional &amp; regional caseload%'!$T$57,'caseload data'!$D:$D,"PSO")/SUMIF('caseload data'!$C:$C,'divisional &amp; regional caseload%'!$T$57,'caseload data'!P:P),"")</f>
        <v/>
      </c>
      <c r="AG60" s="167" t="str">
        <f>IFERROR(SUMIFS('caseload data'!Q:Q,'caseload data'!$C:$C,'divisional &amp; regional caseload%'!$T$57,'caseload data'!$D:$D,"PSO")/SUMIF('caseload data'!$C:$C,'divisional &amp; regional caseload%'!$T$57,'caseload data'!Q:Q),"")</f>
        <v/>
      </c>
      <c r="AH60" s="167" t="str">
        <f>IFERROR(SUMIFS('caseload data'!R:R,'caseload data'!$C:$C,'divisional &amp; regional caseload%'!$T$57,'caseload data'!$D:$D,"PSO")/SUMIF('caseload data'!$C:$C,'divisional &amp; regional caseload%'!$T$57,'caseload data'!R:R),"")</f>
        <v/>
      </c>
      <c r="AI60" s="167" t="str">
        <f>IFERROR(SUMIFS('caseload data'!S:S,'caseload data'!$C:$C,'divisional &amp; regional caseload%'!$T$57,'caseload data'!$D:$D,"PSO")/SUMIF('caseload data'!$C:$C,'divisional &amp; regional caseload%'!$T$57,'caseload data'!S:S),"")</f>
        <v/>
      </c>
      <c r="AJ60" s="167" t="str">
        <f>IFERROR(SUMIFS('caseload data'!T:T,'caseload data'!$C:$C,'divisional &amp; regional caseload%'!$T$57,'caseload data'!$D:$D,"PSO")/SUMIF('caseload data'!$C:$C,'divisional &amp; regional caseload%'!$T$57,'caseload data'!T:T),"")</f>
        <v/>
      </c>
    </row>
    <row r="61" spans="2:36" x14ac:dyDescent="0.15">
      <c r="B61" s="97" t="s">
        <v>1003</v>
      </c>
      <c r="C61" s="167" t="str">
        <f>IFERROR(SUMIFS('caseload data'!E:E,'caseload data'!$C:$C,'divisional &amp; regional caseload%'!$B$57,'caseload data'!$D:$D,"TPO")/SUMIF('caseload data'!$C:$C,'divisional &amp; regional caseload%'!$B$57,'caseload data'!E:E),"")</f>
        <v/>
      </c>
      <c r="D61" s="167" t="str">
        <f>IFERROR(SUMIFS('caseload data'!F:F,'caseload data'!$C:$C,'divisional &amp; regional caseload%'!$B$57,'caseload data'!$D:$D,"TPO")/SUMIF('caseload data'!$C:$C,'divisional &amp; regional caseload%'!$B$57,'caseload data'!F:F),"")</f>
        <v/>
      </c>
      <c r="E61" s="167" t="str">
        <f>IFERROR(SUMIFS('caseload data'!G:G,'caseload data'!$C:$C,'divisional &amp; regional caseload%'!$B$57,'caseload data'!$D:$D,"TPO")/SUMIF('caseload data'!$C:$C,'divisional &amp; regional caseload%'!$B$57,'caseload data'!G:G),"")</f>
        <v/>
      </c>
      <c r="F61" s="167" t="str">
        <f>IFERROR(SUMIFS('caseload data'!H:H,'caseload data'!$C:$C,'divisional &amp; regional caseload%'!$B$57,'caseload data'!$D:$D,"TPO")/SUMIF('caseload data'!$C:$C,'divisional &amp; regional caseload%'!$B$57,'caseload data'!H:H),"")</f>
        <v/>
      </c>
      <c r="G61" s="167" t="str">
        <f>IFERROR(SUMIFS('caseload data'!I:I,'caseload data'!$C:$C,'divisional &amp; regional caseload%'!$B$57,'caseload data'!$D:$D,"TPO")/SUMIF('caseload data'!$C:$C,'divisional &amp; regional caseload%'!$B$57,'caseload data'!I:I),"")</f>
        <v/>
      </c>
      <c r="H61" s="167" t="str">
        <f>IFERROR(SUMIFS('caseload data'!J:J,'caseload data'!$C:$C,'divisional &amp; regional caseload%'!$B$57,'caseload data'!$D:$D,"TPO")/SUMIF('caseload data'!$C:$C,'divisional &amp; regional caseload%'!$B$57,'caseload data'!J:J),"")</f>
        <v/>
      </c>
      <c r="I61" s="167" t="str">
        <f>IFERROR(SUMIFS('caseload data'!K:K,'caseload data'!$C:$C,'divisional &amp; regional caseload%'!$B$57,'caseload data'!$D:$D,"TPO")/SUMIF('caseload data'!$C:$C,'divisional &amp; regional caseload%'!$B$57,'caseload data'!K:K),"")</f>
        <v/>
      </c>
      <c r="J61" s="167" t="str">
        <f>IFERROR(SUMIFS('caseload data'!L:L,'caseload data'!$C:$C,'divisional &amp; regional caseload%'!$B$57,'caseload data'!$D:$D,"TPO")/SUMIF('caseload data'!$C:$C,'divisional &amp; regional caseload%'!$B$57,'caseload data'!L:L),"")</f>
        <v/>
      </c>
      <c r="K61" s="167" t="str">
        <f>IFERROR(SUMIFS('caseload data'!M:M,'caseload data'!$C:$C,'divisional &amp; regional caseload%'!$B$57,'caseload data'!$D:$D,"TPO")/SUMIF('caseload data'!$C:$C,'divisional &amp; regional caseload%'!$B$57,'caseload data'!M:M),"")</f>
        <v/>
      </c>
      <c r="L61" s="167" t="str">
        <f>IFERROR(SUMIFS('caseload data'!N:N,'caseload data'!$C:$C,'divisional &amp; regional caseload%'!$B$57,'caseload data'!$D:$D,"TPO")/SUMIF('caseload data'!$C:$C,'divisional &amp; regional caseload%'!$B$57,'caseload data'!N:N),"")</f>
        <v/>
      </c>
      <c r="M61" s="167" t="str">
        <f>IFERROR(SUMIFS('caseload data'!O:O,'caseload data'!$C:$C,'divisional &amp; regional caseload%'!$B$57,'caseload data'!$D:$D,"TPO")/SUMIF('caseload data'!$C:$C,'divisional &amp; regional caseload%'!$B$57,'caseload data'!O:O),"")</f>
        <v/>
      </c>
      <c r="N61" s="167" t="str">
        <f>IFERROR(SUMIFS('caseload data'!P:P,'caseload data'!$C:$C,'divisional &amp; regional caseload%'!$B$57,'caseload data'!$D:$D,"TPO")/SUMIF('caseload data'!$C:$C,'divisional &amp; regional caseload%'!$B$57,'caseload data'!P:P),"")</f>
        <v/>
      </c>
      <c r="O61" s="167" t="str">
        <f>IFERROR(SUMIFS('caseload data'!Q:Q,'caseload data'!$C:$C,'divisional &amp; regional caseload%'!$B$57,'caseload data'!$D:$D,"TPO")/SUMIF('caseload data'!$C:$C,'divisional &amp; regional caseload%'!$B$57,'caseload data'!Q:Q),"")</f>
        <v/>
      </c>
      <c r="P61" s="167" t="str">
        <f>IFERROR(SUMIFS('caseload data'!R:R,'caseload data'!$C:$C,'divisional &amp; regional caseload%'!$B$57,'caseload data'!$D:$D,"TPO")/SUMIF('caseload data'!$C:$C,'divisional &amp; regional caseload%'!$B$57,'caseload data'!R:R),"")</f>
        <v/>
      </c>
      <c r="Q61" s="167" t="str">
        <f>IFERROR(SUMIFS('caseload data'!S:S,'caseload data'!$C:$C,'divisional &amp; regional caseload%'!$B$57,'caseload data'!$D:$D,"TPO")/SUMIF('caseload data'!$C:$C,'divisional &amp; regional caseload%'!$B$57,'caseload data'!S:S),"")</f>
        <v/>
      </c>
      <c r="R61" s="167" t="str">
        <f>IFERROR(SUMIFS('caseload data'!T:T,'caseload data'!$C:$C,'divisional &amp; regional caseload%'!$B$57,'caseload data'!$D:$D,"TPO")/SUMIF('caseload data'!$C:$C,'divisional &amp; regional caseload%'!$B$57,'caseload data'!T:T),"")</f>
        <v/>
      </c>
      <c r="S61" s="64"/>
      <c r="T61" s="97" t="s">
        <v>1003</v>
      </c>
      <c r="U61" s="167" t="str">
        <f>IFERROR(SUMIFS('caseload data'!E:E,'caseload data'!$C:$C,'divisional &amp; regional caseload%'!$T$57,'caseload data'!$D:$D,"TPO")/SUMIF('caseload data'!$C:$C,'divisional &amp; regional caseload%'!$T$57,'caseload data'!E:E),"")</f>
        <v/>
      </c>
      <c r="V61" s="167" t="str">
        <f>IFERROR(SUMIFS('caseload data'!F:F,'caseload data'!$C:$C,'divisional &amp; regional caseload%'!$T$57,'caseload data'!$D:$D,"TPO")/SUMIF('caseload data'!$C:$C,'divisional &amp; regional caseload%'!$T$57,'caseload data'!F:F),"")</f>
        <v/>
      </c>
      <c r="W61" s="167" t="str">
        <f>IFERROR(SUMIFS('caseload data'!G:G,'caseload data'!$C:$C,'divisional &amp; regional caseload%'!$T$57,'caseload data'!$D:$D,"TPO")/SUMIF('caseload data'!$C:$C,'divisional &amp; regional caseload%'!$T$57,'caseload data'!G:G),"")</f>
        <v/>
      </c>
      <c r="X61" s="167" t="str">
        <f>IFERROR(SUMIFS('caseload data'!H:H,'caseload data'!$C:$C,'divisional &amp; regional caseload%'!$T$57,'caseload data'!$D:$D,"TPO")/SUMIF('caseload data'!$C:$C,'divisional &amp; regional caseload%'!$T$57,'caseload data'!H:H),"")</f>
        <v/>
      </c>
      <c r="Y61" s="167" t="str">
        <f>IFERROR(SUMIFS('caseload data'!I:I,'caseload data'!$C:$C,'divisional &amp; regional caseload%'!$T$57,'caseload data'!$D:$D,"TPO")/SUMIF('caseload data'!$C:$C,'divisional &amp; regional caseload%'!$T$57,'caseload data'!I:I),"")</f>
        <v/>
      </c>
      <c r="Z61" s="167" t="str">
        <f>IFERROR(SUMIFS('caseload data'!J:J,'caseload data'!$C:$C,'divisional &amp; regional caseload%'!$T$57,'caseload data'!$D:$D,"TPO")/SUMIF('caseload data'!$C:$C,'divisional &amp; regional caseload%'!$T$57,'caseload data'!J:J),"")</f>
        <v/>
      </c>
      <c r="AA61" s="167" t="str">
        <f>IFERROR(SUMIFS('caseload data'!K:K,'caseload data'!$C:$C,'divisional &amp; regional caseload%'!$T$57,'caseload data'!$D:$D,"TPO")/SUMIF('caseload data'!$C:$C,'divisional &amp; regional caseload%'!$T$57,'caseload data'!K:K),"")</f>
        <v/>
      </c>
      <c r="AB61" s="167" t="str">
        <f>IFERROR(SUMIFS('caseload data'!L:L,'caseload data'!$C:$C,'divisional &amp; regional caseload%'!$T$57,'caseload data'!$D:$D,"TPO")/SUMIF('caseload data'!$C:$C,'divisional &amp; regional caseload%'!$T$57,'caseload data'!L:L),"")</f>
        <v/>
      </c>
      <c r="AC61" s="167" t="str">
        <f>IFERROR(SUMIFS('caseload data'!M:M,'caseload data'!$C:$C,'divisional &amp; regional caseload%'!$T$57,'caseload data'!$D:$D,"TPO")/SUMIF('caseload data'!$C:$C,'divisional &amp; regional caseload%'!$T$57,'caseload data'!M:M),"")</f>
        <v/>
      </c>
      <c r="AD61" s="167" t="str">
        <f>IFERROR(SUMIFS('caseload data'!N:N,'caseload data'!$C:$C,'divisional &amp; regional caseload%'!$T$57,'caseload data'!$D:$D,"TPO")/SUMIF('caseload data'!$C:$C,'divisional &amp; regional caseload%'!$T$57,'caseload data'!N:N),"")</f>
        <v/>
      </c>
      <c r="AE61" s="167" t="str">
        <f>IFERROR(SUMIFS('caseload data'!O:O,'caseload data'!$C:$C,'divisional &amp; regional caseload%'!$T$57,'caseload data'!$D:$D,"TPO")/SUMIF('caseload data'!$C:$C,'divisional &amp; regional caseload%'!$T$57,'caseload data'!O:O),"")</f>
        <v/>
      </c>
      <c r="AF61" s="167" t="str">
        <f>IFERROR(SUMIFS('caseload data'!P:P,'caseload data'!$C:$C,'divisional &amp; regional caseload%'!$T$57,'caseload data'!$D:$D,"TPO")/SUMIF('caseload data'!$C:$C,'divisional &amp; regional caseload%'!$T$57,'caseload data'!P:P),"")</f>
        <v/>
      </c>
      <c r="AG61" s="167" t="str">
        <f>IFERROR(SUMIFS('caseload data'!Q:Q,'caseload data'!$C:$C,'divisional &amp; regional caseload%'!$T$57,'caseload data'!$D:$D,"TPO")/SUMIF('caseload data'!$C:$C,'divisional &amp; regional caseload%'!$T$57,'caseload data'!Q:Q),"")</f>
        <v/>
      </c>
      <c r="AH61" s="167" t="str">
        <f>IFERROR(SUMIFS('caseload data'!R:R,'caseload data'!$C:$C,'divisional &amp; regional caseload%'!$T$57,'caseload data'!$D:$D,"TPO")/SUMIF('caseload data'!$C:$C,'divisional &amp; regional caseload%'!$T$57,'caseload data'!R:R),"")</f>
        <v/>
      </c>
      <c r="AI61" s="167" t="str">
        <f>IFERROR(SUMIFS('caseload data'!S:S,'caseload data'!$C:$C,'divisional &amp; regional caseload%'!$T$57,'caseload data'!$D:$D,"TPO")/SUMIF('caseload data'!$C:$C,'divisional &amp; regional caseload%'!$T$57,'caseload data'!S:S),"")</f>
        <v/>
      </c>
      <c r="AJ61" s="167" t="str">
        <f>IFERROR(SUMIFS('caseload data'!T:T,'caseload data'!$C:$C,'divisional &amp; regional caseload%'!$T$57,'caseload data'!$D:$D,"TPO")/SUMIF('caseload data'!$C:$C,'divisional &amp; regional caseload%'!$T$57,'caseload data'!T:T),"")</f>
        <v/>
      </c>
    </row>
    <row r="62" spans="2:36" x14ac:dyDescent="0.15">
      <c r="B62" s="98" t="s">
        <v>1004</v>
      </c>
      <c r="C62" s="167" t="str">
        <f>IFERROR(SUMIFS('caseload data'!E:E,'caseload data'!$C:$C,'divisional &amp; regional caseload%'!$B$57,'caseload data'!$D:$D,"SPO")/SUMIF('caseload data'!$C:$C,'divisional &amp; regional caseload%'!$B$57,'caseload data'!E:E),"")</f>
        <v/>
      </c>
      <c r="D62" s="167" t="str">
        <f>IFERROR(SUMIFS('caseload data'!F:F,'caseload data'!$C:$C,'divisional &amp; regional caseload%'!$B$57,'caseload data'!$D:$D,"SPO")/SUMIF('caseload data'!$C:$C,'divisional &amp; regional caseload%'!$B$57,'caseload data'!F:F),"")</f>
        <v/>
      </c>
      <c r="E62" s="167" t="str">
        <f>IFERROR(SUMIFS('caseload data'!G:G,'caseload data'!$C:$C,'divisional &amp; regional caseload%'!$B$57,'caseload data'!$D:$D,"SPO")/SUMIF('caseload data'!$C:$C,'divisional &amp; regional caseload%'!$B$57,'caseload data'!G:G),"")</f>
        <v/>
      </c>
      <c r="F62" s="167" t="str">
        <f>IFERROR(SUMIFS('caseload data'!H:H,'caseload data'!$C:$C,'divisional &amp; regional caseload%'!$B$57,'caseload data'!$D:$D,"SPO")/SUMIF('caseload data'!$C:$C,'divisional &amp; regional caseload%'!$B$57,'caseload data'!H:H),"")</f>
        <v/>
      </c>
      <c r="G62" s="167" t="str">
        <f>IFERROR(SUMIFS('caseload data'!I:I,'caseload data'!$C:$C,'divisional &amp; regional caseload%'!$B$57,'caseload data'!$D:$D,"SPO")/SUMIF('caseload data'!$C:$C,'divisional &amp; regional caseload%'!$B$57,'caseload data'!I:I),"")</f>
        <v/>
      </c>
      <c r="H62" s="167" t="str">
        <f>IFERROR(SUMIFS('caseload data'!J:J,'caseload data'!$C:$C,'divisional &amp; regional caseload%'!$B$57,'caseload data'!$D:$D,"SPO")/SUMIF('caseload data'!$C:$C,'divisional &amp; regional caseload%'!$B$57,'caseload data'!J:J),"")</f>
        <v/>
      </c>
      <c r="I62" s="167" t="str">
        <f>IFERROR(SUMIFS('caseload data'!K:K,'caseload data'!$C:$C,'divisional &amp; regional caseload%'!$B$57,'caseload data'!$D:$D,"SPO")/SUMIF('caseload data'!$C:$C,'divisional &amp; regional caseload%'!$B$57,'caseload data'!K:K),"")</f>
        <v/>
      </c>
      <c r="J62" s="167" t="str">
        <f>IFERROR(SUMIFS('caseload data'!L:L,'caseload data'!$C:$C,'divisional &amp; regional caseload%'!$B$57,'caseload data'!$D:$D,"SPO")/SUMIF('caseload data'!$C:$C,'divisional &amp; regional caseload%'!$B$57,'caseload data'!L:L),"")</f>
        <v/>
      </c>
      <c r="K62" s="167" t="str">
        <f>IFERROR(SUMIFS('caseload data'!M:M,'caseload data'!$C:$C,'divisional &amp; regional caseload%'!$B$57,'caseload data'!$D:$D,"SPO")/SUMIF('caseload data'!$C:$C,'divisional &amp; regional caseload%'!$B$57,'caseload data'!M:M),"")</f>
        <v/>
      </c>
      <c r="L62" s="167" t="str">
        <f>IFERROR(SUMIFS('caseload data'!N:N,'caseload data'!$C:$C,'divisional &amp; regional caseload%'!$B$57,'caseload data'!$D:$D,"SPO")/SUMIF('caseload data'!$C:$C,'divisional &amp; regional caseload%'!$B$57,'caseload data'!N:N),"")</f>
        <v/>
      </c>
      <c r="M62" s="167" t="str">
        <f>IFERROR(SUMIFS('caseload data'!O:O,'caseload data'!$C:$C,'divisional &amp; regional caseload%'!$B$57,'caseload data'!$D:$D,"SPO")/SUMIF('caseload data'!$C:$C,'divisional &amp; regional caseload%'!$B$57,'caseload data'!O:O),"")</f>
        <v/>
      </c>
      <c r="N62" s="167" t="str">
        <f>IFERROR(SUMIFS('caseload data'!P:P,'caseload data'!$C:$C,'divisional &amp; regional caseload%'!$B$57,'caseload data'!$D:$D,"SPO")/SUMIF('caseload data'!$C:$C,'divisional &amp; regional caseload%'!$B$57,'caseload data'!P:P),"")</f>
        <v/>
      </c>
      <c r="O62" s="167" t="str">
        <f>IFERROR(SUMIFS('caseload data'!Q:Q,'caseload data'!$C:$C,'divisional &amp; regional caseload%'!$B$57,'caseload data'!$D:$D,"SPO")/SUMIF('caseload data'!$C:$C,'divisional &amp; regional caseload%'!$B$57,'caseload data'!Q:Q),"")</f>
        <v/>
      </c>
      <c r="P62" s="167" t="str">
        <f>IFERROR(SUMIFS('caseload data'!R:R,'caseload data'!$C:$C,'divisional &amp; regional caseload%'!$B$57,'caseload data'!$D:$D,"SPO")/SUMIF('caseload data'!$C:$C,'divisional &amp; regional caseload%'!$B$57,'caseload data'!R:R),"")</f>
        <v/>
      </c>
      <c r="Q62" s="167" t="str">
        <f>IFERROR(SUMIFS('caseload data'!S:S,'caseload data'!$C:$C,'divisional &amp; regional caseload%'!$B$57,'caseload data'!$D:$D,"SPO")/SUMIF('caseload data'!$C:$C,'divisional &amp; regional caseload%'!$B$57,'caseload data'!S:S),"")</f>
        <v/>
      </c>
      <c r="R62" s="167" t="str">
        <f>IFERROR(SUMIFS('caseload data'!T:T,'caseload data'!$C:$C,'divisional &amp; regional caseload%'!$B$57,'caseload data'!$D:$D,"SPO")/SUMIF('caseload data'!$C:$C,'divisional &amp; regional caseload%'!$B$57,'caseload data'!T:T),"")</f>
        <v/>
      </c>
      <c r="S62" s="64"/>
      <c r="T62" s="98" t="s">
        <v>1004</v>
      </c>
      <c r="U62" s="167" t="str">
        <f>IFERROR(SUMIFS('caseload data'!E:E,'caseload data'!$C:$C,'divisional &amp; regional caseload%'!$T$57,'caseload data'!$D:$D,"SPO")/SUMIF('caseload data'!$C:$C,'divisional &amp; regional caseload%'!$T$57,'caseload data'!E:E),"")</f>
        <v/>
      </c>
      <c r="V62" s="167" t="str">
        <f>IFERROR(SUMIFS('caseload data'!F:F,'caseload data'!$C:$C,'divisional &amp; regional caseload%'!$T$57,'caseload data'!$D:$D,"SPO")/SUMIF('caseload data'!$C:$C,'divisional &amp; regional caseload%'!$T$57,'caseload data'!F:F),"")</f>
        <v/>
      </c>
      <c r="W62" s="167" t="str">
        <f>IFERROR(SUMIFS('caseload data'!G:G,'caseload data'!$C:$C,'divisional &amp; regional caseload%'!$T$57,'caseload data'!$D:$D,"SPO")/SUMIF('caseload data'!$C:$C,'divisional &amp; regional caseload%'!$T$57,'caseload data'!G:G),"")</f>
        <v/>
      </c>
      <c r="X62" s="167" t="str">
        <f>IFERROR(SUMIFS('caseload data'!H:H,'caseload data'!$C:$C,'divisional &amp; regional caseload%'!$T$57,'caseload data'!$D:$D,"SPO")/SUMIF('caseload data'!$C:$C,'divisional &amp; regional caseload%'!$T$57,'caseload data'!H:H),"")</f>
        <v/>
      </c>
      <c r="Y62" s="167" t="str">
        <f>IFERROR(SUMIFS('caseload data'!I:I,'caseload data'!$C:$C,'divisional &amp; regional caseload%'!$T$57,'caseload data'!$D:$D,"SPO")/SUMIF('caseload data'!$C:$C,'divisional &amp; regional caseload%'!$T$57,'caseload data'!I:I),"")</f>
        <v/>
      </c>
      <c r="Z62" s="167" t="str">
        <f>IFERROR(SUMIFS('caseload data'!J:J,'caseload data'!$C:$C,'divisional &amp; regional caseload%'!$T$57,'caseload data'!$D:$D,"SPO")/SUMIF('caseload data'!$C:$C,'divisional &amp; regional caseload%'!$T$57,'caseload data'!J:J),"")</f>
        <v/>
      </c>
      <c r="AA62" s="167" t="str">
        <f>IFERROR(SUMIFS('caseload data'!K:K,'caseload data'!$C:$C,'divisional &amp; regional caseload%'!$T$57,'caseload data'!$D:$D,"SPO")/SUMIF('caseload data'!$C:$C,'divisional &amp; regional caseload%'!$T$57,'caseload data'!K:K),"")</f>
        <v/>
      </c>
      <c r="AB62" s="167" t="str">
        <f>IFERROR(SUMIFS('caseload data'!L:L,'caseload data'!$C:$C,'divisional &amp; regional caseload%'!$T$57,'caseload data'!$D:$D,"SPO")/SUMIF('caseload data'!$C:$C,'divisional &amp; regional caseload%'!$T$57,'caseload data'!L:L),"")</f>
        <v/>
      </c>
      <c r="AC62" s="167" t="str">
        <f>IFERROR(SUMIFS('caseload data'!M:M,'caseload data'!$C:$C,'divisional &amp; regional caseload%'!$T$57,'caseload data'!$D:$D,"SPO")/SUMIF('caseload data'!$C:$C,'divisional &amp; regional caseload%'!$T$57,'caseload data'!M:M),"")</f>
        <v/>
      </c>
      <c r="AD62" s="167" t="str">
        <f>IFERROR(SUMIFS('caseload data'!N:N,'caseload data'!$C:$C,'divisional &amp; regional caseload%'!$T$57,'caseload data'!$D:$D,"SPO")/SUMIF('caseload data'!$C:$C,'divisional &amp; regional caseload%'!$T$57,'caseload data'!N:N),"")</f>
        <v/>
      </c>
      <c r="AE62" s="167" t="str">
        <f>IFERROR(SUMIFS('caseload data'!O:O,'caseload data'!$C:$C,'divisional &amp; regional caseload%'!$T$57,'caseload data'!$D:$D,"SPO")/SUMIF('caseload data'!$C:$C,'divisional &amp; regional caseload%'!$T$57,'caseload data'!O:O),"")</f>
        <v/>
      </c>
      <c r="AF62" s="167" t="str">
        <f>IFERROR(SUMIFS('caseload data'!P:P,'caseload data'!$C:$C,'divisional &amp; regional caseload%'!$T$57,'caseload data'!$D:$D,"SPO")/SUMIF('caseload data'!$C:$C,'divisional &amp; regional caseload%'!$T$57,'caseload data'!P:P),"")</f>
        <v/>
      </c>
      <c r="AG62" s="167" t="str">
        <f>IFERROR(SUMIFS('caseload data'!Q:Q,'caseload data'!$C:$C,'divisional &amp; regional caseload%'!$T$57,'caseload data'!$D:$D,"SPO")/SUMIF('caseload data'!$C:$C,'divisional &amp; regional caseload%'!$T$57,'caseload data'!Q:Q),"")</f>
        <v/>
      </c>
      <c r="AH62" s="167" t="str">
        <f>IFERROR(SUMIFS('caseload data'!R:R,'caseload data'!$C:$C,'divisional &amp; regional caseload%'!$T$57,'caseload data'!$D:$D,"SPO")/SUMIF('caseload data'!$C:$C,'divisional &amp; regional caseload%'!$T$57,'caseload data'!R:R),"")</f>
        <v/>
      </c>
      <c r="AI62" s="167" t="str">
        <f>IFERROR(SUMIFS('caseload data'!S:S,'caseload data'!$C:$C,'divisional &amp; regional caseload%'!$T$57,'caseload data'!$D:$D,"SPO")/SUMIF('caseload data'!$C:$C,'divisional &amp; regional caseload%'!$T$57,'caseload data'!S:S),"")</f>
        <v/>
      </c>
      <c r="AJ62" s="167" t="str">
        <f>IFERROR(SUMIFS('caseload data'!T:T,'caseload data'!$C:$C,'divisional &amp; regional caseload%'!$T$57,'caseload data'!$D:$D,"SPO")/SUMIF('caseload data'!$C:$C,'divisional &amp; regional caseload%'!$T$57,'caseload data'!T:T),"")</f>
        <v/>
      </c>
    </row>
    <row r="64" spans="2:36" ht="29.5" customHeight="1" x14ac:dyDescent="0.15">
      <c r="B64" s="289">
        <f>HLOOKUP($B$5,Region_Table,18,0)</f>
        <v>0</v>
      </c>
      <c r="C64" s="525" t="s">
        <v>1096</v>
      </c>
      <c r="D64" s="526"/>
      <c r="E64" s="526"/>
      <c r="F64" s="526"/>
      <c r="G64" s="526"/>
      <c r="H64" s="526"/>
      <c r="I64" s="526"/>
      <c r="J64" s="526"/>
      <c r="K64" s="526"/>
      <c r="L64" s="526"/>
      <c r="M64" s="527"/>
      <c r="N64" s="527"/>
      <c r="O64" s="528"/>
      <c r="P64" s="512">
        <f>SUMIF('caseload data'!$C:$C,'divisional &amp; regional caseload%'!B64,'caseload data'!V:V)</f>
        <v>0</v>
      </c>
      <c r="Q64" s="529"/>
      <c r="R64" s="530"/>
      <c r="S64" s="64"/>
      <c r="T64" s="289">
        <f>HLOOKUP($B$5,Region_Table,19,0)</f>
        <v>0</v>
      </c>
      <c r="U64" s="525" t="s">
        <v>1096</v>
      </c>
      <c r="V64" s="526"/>
      <c r="W64" s="526"/>
      <c r="X64" s="526"/>
      <c r="Y64" s="526"/>
      <c r="Z64" s="526"/>
      <c r="AA64" s="526"/>
      <c r="AB64" s="526"/>
      <c r="AC64" s="526"/>
      <c r="AD64" s="526"/>
      <c r="AE64" s="527"/>
      <c r="AF64" s="527"/>
      <c r="AG64" s="528"/>
      <c r="AH64" s="512">
        <f>SUMIF('caseload data'!$C:$C,'divisional &amp; regional caseload%'!T64,'caseload data'!V:V)</f>
        <v>0</v>
      </c>
      <c r="AI64" s="529"/>
      <c r="AJ64" s="530"/>
    </row>
    <row r="65" spans="2:36" x14ac:dyDescent="0.15">
      <c r="B65" s="95" t="s">
        <v>1001</v>
      </c>
      <c r="C65" s="38" t="s">
        <v>864</v>
      </c>
      <c r="D65" s="38" t="s">
        <v>865</v>
      </c>
      <c r="E65" s="38" t="s">
        <v>866</v>
      </c>
      <c r="F65" s="38" t="s">
        <v>867</v>
      </c>
      <c r="G65" s="38" t="s">
        <v>868</v>
      </c>
      <c r="H65" s="38" t="s">
        <v>869</v>
      </c>
      <c r="I65" s="38" t="s">
        <v>870</v>
      </c>
      <c r="J65" s="38" t="s">
        <v>871</v>
      </c>
      <c r="K65" s="38" t="s">
        <v>872</v>
      </c>
      <c r="L65" s="38" t="s">
        <v>873</v>
      </c>
      <c r="M65" s="38" t="s">
        <v>874</v>
      </c>
      <c r="N65" s="38" t="s">
        <v>875</v>
      </c>
      <c r="O65" s="38" t="s">
        <v>876</v>
      </c>
      <c r="P65" s="38" t="s">
        <v>877</v>
      </c>
      <c r="Q65" s="38" t="s">
        <v>878</v>
      </c>
      <c r="R65" s="38" t="s">
        <v>879</v>
      </c>
      <c r="S65" s="64"/>
      <c r="T65" s="95" t="s">
        <v>1001</v>
      </c>
      <c r="U65" s="38" t="s">
        <v>864</v>
      </c>
      <c r="V65" s="38" t="s">
        <v>865</v>
      </c>
      <c r="W65" s="38" t="s">
        <v>866</v>
      </c>
      <c r="X65" s="38" t="s">
        <v>867</v>
      </c>
      <c r="Y65" s="38" t="s">
        <v>868</v>
      </c>
      <c r="Z65" s="38" t="s">
        <v>869</v>
      </c>
      <c r="AA65" s="38" t="s">
        <v>870</v>
      </c>
      <c r="AB65" s="38" t="s">
        <v>871</v>
      </c>
      <c r="AC65" s="38" t="s">
        <v>872</v>
      </c>
      <c r="AD65" s="38" t="s">
        <v>873</v>
      </c>
      <c r="AE65" s="38" t="s">
        <v>874</v>
      </c>
      <c r="AF65" s="38" t="s">
        <v>875</v>
      </c>
      <c r="AG65" s="38" t="s">
        <v>876</v>
      </c>
      <c r="AH65" s="38" t="s">
        <v>877</v>
      </c>
      <c r="AI65" s="38" t="s">
        <v>878</v>
      </c>
      <c r="AJ65" s="38" t="s">
        <v>879</v>
      </c>
    </row>
    <row r="66" spans="2:36" x14ac:dyDescent="0.15">
      <c r="B66" s="96" t="s">
        <v>997</v>
      </c>
      <c r="C66" s="167" t="str">
        <f>IFERROR(SUMIFS('caseload data'!E:E,'caseload data'!$C:$C,'divisional &amp; regional caseload%'!$B$64,'caseload data'!$D:$D,"PO")/SUMIF('caseload data'!$C:$C,'divisional &amp; regional caseload%'!$B$64,'caseload data'!E:E),"")</f>
        <v/>
      </c>
      <c r="D66" s="167" t="str">
        <f>IFERROR(SUMIFS('caseload data'!F:F,'caseload data'!$C:$C,'divisional &amp; regional caseload%'!$B$64,'caseload data'!$D:$D,"PO")/SUMIF('caseload data'!$C:$C,'divisional &amp; regional caseload%'!$B$64,'caseload data'!F:F),"")</f>
        <v/>
      </c>
      <c r="E66" s="167" t="str">
        <f>IFERROR(SUMIFS('caseload data'!G:G,'caseload data'!$C:$C,'divisional &amp; regional caseload%'!$B$64,'caseload data'!$D:$D,"PO")/SUMIF('caseload data'!$C:$C,'divisional &amp; regional caseload%'!$B$64,'caseload data'!G:G),"")</f>
        <v/>
      </c>
      <c r="F66" s="167" t="str">
        <f>IFERROR(SUMIFS('caseload data'!H:H,'caseload data'!$C:$C,'divisional &amp; regional caseload%'!$B$64,'caseload data'!$D:$D,"PO")/SUMIF('caseload data'!$C:$C,'divisional &amp; regional caseload%'!$B$64,'caseload data'!H:H),"")</f>
        <v/>
      </c>
      <c r="G66" s="167" t="str">
        <f>IFERROR(SUMIFS('caseload data'!I:I,'caseload data'!$C:$C,'divisional &amp; regional caseload%'!$B$64,'caseload data'!$D:$D,"PO")/SUMIF('caseload data'!$C:$C,'divisional &amp; regional caseload%'!$B$64,'caseload data'!I:I),"")</f>
        <v/>
      </c>
      <c r="H66" s="167" t="str">
        <f>IFERROR(SUMIFS('caseload data'!J:J,'caseload data'!$C:$C,'divisional &amp; regional caseload%'!$B$64,'caseload data'!$D:$D,"PO")/SUMIF('caseload data'!$C:$C,'divisional &amp; regional caseload%'!$B$64,'caseload data'!J:J),"")</f>
        <v/>
      </c>
      <c r="I66" s="167" t="str">
        <f>IFERROR(SUMIFS('caseload data'!K:K,'caseload data'!$C:$C,'divisional &amp; regional caseload%'!$B$64,'caseload data'!$D:$D,"PO")/SUMIF('caseload data'!$C:$C,'divisional &amp; regional caseload%'!$B$64,'caseload data'!K:K),"")</f>
        <v/>
      </c>
      <c r="J66" s="167" t="str">
        <f>IFERROR(SUMIFS('caseload data'!L:L,'caseload data'!$C:$C,'divisional &amp; regional caseload%'!$B$64,'caseload data'!$D:$D,"PO")/SUMIF('caseload data'!$C:$C,'divisional &amp; regional caseload%'!$B$64,'caseload data'!L:L),"")</f>
        <v/>
      </c>
      <c r="K66" s="167" t="str">
        <f>IFERROR(SUMIFS('caseload data'!M:M,'caseload data'!$C:$C,'divisional &amp; regional caseload%'!$B$64,'caseload data'!$D:$D,"PO")/SUMIF('caseload data'!$C:$C,'divisional &amp; regional caseload%'!$B$64,'caseload data'!M:M),"")</f>
        <v/>
      </c>
      <c r="L66" s="167" t="str">
        <f>IFERROR(SUMIFS('caseload data'!N:N,'caseload data'!$C:$C,'divisional &amp; regional caseload%'!$B$64,'caseload data'!$D:$D,"PO")/SUMIF('caseload data'!$C:$C,'divisional &amp; regional caseload%'!$B$64,'caseload data'!N:N),"")</f>
        <v/>
      </c>
      <c r="M66" s="167" t="str">
        <f>IFERROR(SUMIFS('caseload data'!O:O,'caseload data'!$C:$C,'divisional &amp; regional caseload%'!$B$64,'caseload data'!$D:$D,"PO")/SUMIF('caseload data'!$C:$C,'divisional &amp; regional caseload%'!$B$64,'caseload data'!O:O),"")</f>
        <v/>
      </c>
      <c r="N66" s="167" t="str">
        <f>IFERROR(SUMIFS('caseload data'!P:P,'caseload data'!$C:$C,'divisional &amp; regional caseload%'!$B$64,'caseload data'!$D:$D,"PO")/SUMIF('caseload data'!$C:$C,'divisional &amp; regional caseload%'!$B$64,'caseload data'!P:P),"")</f>
        <v/>
      </c>
      <c r="O66" s="167" t="str">
        <f>IFERROR(SUMIFS('caseload data'!Q:Q,'caseload data'!$C:$C,'divisional &amp; regional caseload%'!$B$64,'caseload data'!$D:$D,"PO")/SUMIF('caseload data'!$C:$C,'divisional &amp; regional caseload%'!$B$64,'caseload data'!Q:Q),"")</f>
        <v/>
      </c>
      <c r="P66" s="167" t="str">
        <f>IFERROR(SUMIFS('caseload data'!R:R,'caseload data'!$C:$C,'divisional &amp; regional caseload%'!$B$64,'caseload data'!$D:$D,"PO")/SUMIF('caseload data'!$C:$C,'divisional &amp; regional caseload%'!$B$64,'caseload data'!R:R),"")</f>
        <v/>
      </c>
      <c r="Q66" s="167" t="str">
        <f>IFERROR(SUMIFS('caseload data'!S:S,'caseload data'!$C:$C,'divisional &amp; regional caseload%'!$B$64,'caseload data'!$D:$D,"PO")/SUMIF('caseload data'!$C:$C,'divisional &amp; regional caseload%'!$B$64,'caseload data'!S:S),"")</f>
        <v/>
      </c>
      <c r="R66" s="167" t="str">
        <f>IFERROR(SUMIFS('caseload data'!T:T,'caseload data'!$C:$C,'divisional &amp; regional caseload%'!$B$64,'caseload data'!$D:$D,"PO")/SUMIF('caseload data'!$C:$C,'divisional &amp; regional caseload%'!$B$64,'caseload data'!T:T),"")</f>
        <v/>
      </c>
      <c r="S66" s="64"/>
      <c r="T66" s="96" t="s">
        <v>997</v>
      </c>
      <c r="U66" s="167" t="str">
        <f>IFERROR(SUMIFS('caseload data'!E:E,'caseload data'!$C:$C,'divisional &amp; regional caseload%'!$T$64,'caseload data'!$D:$D,"PO")/SUMIF('caseload data'!$C:$C,'divisional &amp; regional caseload%'!$T$64,'caseload data'!E:E),"")</f>
        <v/>
      </c>
      <c r="V66" s="167" t="str">
        <f>IFERROR(SUMIFS('caseload data'!F:F,'caseload data'!$C:$C,'divisional &amp; regional caseload%'!$T$64,'caseload data'!$D:$D,"PO")/SUMIF('caseload data'!$C:$C,'divisional &amp; regional caseload%'!$T$64,'caseload data'!F:F),"")</f>
        <v/>
      </c>
      <c r="W66" s="167" t="str">
        <f>IFERROR(SUMIFS('caseload data'!G:G,'caseload data'!$C:$C,'divisional &amp; regional caseload%'!$T$64,'caseload data'!$D:$D,"PO")/SUMIF('caseload data'!$C:$C,'divisional &amp; regional caseload%'!$T$64,'caseload data'!G:G),"")</f>
        <v/>
      </c>
      <c r="X66" s="167" t="str">
        <f>IFERROR(SUMIFS('caseload data'!H:H,'caseload data'!$C:$C,'divisional &amp; regional caseload%'!$T$64,'caseload data'!$D:$D,"PO")/SUMIF('caseload data'!$C:$C,'divisional &amp; regional caseload%'!$T$64,'caseload data'!H:H),"")</f>
        <v/>
      </c>
      <c r="Y66" s="167" t="str">
        <f>IFERROR(SUMIFS('caseload data'!I:I,'caseload data'!$C:$C,'divisional &amp; regional caseload%'!$T$64,'caseload data'!$D:$D,"PO")/SUMIF('caseload data'!$C:$C,'divisional &amp; regional caseload%'!$T$64,'caseload data'!I:I),"")</f>
        <v/>
      </c>
      <c r="Z66" s="167" t="str">
        <f>IFERROR(SUMIFS('caseload data'!J:J,'caseload data'!$C:$C,'divisional &amp; regional caseload%'!$T$64,'caseload data'!$D:$D,"PO")/SUMIF('caseload data'!$C:$C,'divisional &amp; regional caseload%'!$T$64,'caseload data'!J:J),"")</f>
        <v/>
      </c>
      <c r="AA66" s="167" t="str">
        <f>IFERROR(SUMIFS('caseload data'!K:K,'caseload data'!$C:$C,'divisional &amp; regional caseload%'!$T$64,'caseload data'!$D:$D,"PO")/SUMIF('caseload data'!$C:$C,'divisional &amp; regional caseload%'!$T$64,'caseload data'!K:K),"")</f>
        <v/>
      </c>
      <c r="AB66" s="167" t="str">
        <f>IFERROR(SUMIFS('caseload data'!L:L,'caseload data'!$C:$C,'divisional &amp; regional caseload%'!$T$64,'caseload data'!$D:$D,"PO")/SUMIF('caseload data'!$C:$C,'divisional &amp; regional caseload%'!$T$64,'caseload data'!L:L),"")</f>
        <v/>
      </c>
      <c r="AC66" s="167" t="str">
        <f>IFERROR(SUMIFS('caseload data'!M:M,'caseload data'!$C:$C,'divisional &amp; regional caseload%'!$T$64,'caseload data'!$D:$D,"PO")/SUMIF('caseload data'!$C:$C,'divisional &amp; regional caseload%'!$T$64,'caseload data'!M:M),"")</f>
        <v/>
      </c>
      <c r="AD66" s="167" t="str">
        <f>IFERROR(SUMIFS('caseload data'!N:N,'caseload data'!$C:$C,'divisional &amp; regional caseload%'!$T$64,'caseload data'!$D:$D,"PO")/SUMIF('caseload data'!$C:$C,'divisional &amp; regional caseload%'!$T$64,'caseload data'!N:N),"")</f>
        <v/>
      </c>
      <c r="AE66" s="167" t="str">
        <f>IFERROR(SUMIFS('caseload data'!O:O,'caseload data'!$C:$C,'divisional &amp; regional caseload%'!$T$64,'caseload data'!$D:$D,"PO")/SUMIF('caseload data'!$C:$C,'divisional &amp; regional caseload%'!$T$64,'caseload data'!O:O),"")</f>
        <v/>
      </c>
      <c r="AF66" s="167" t="str">
        <f>IFERROR(SUMIFS('caseload data'!P:P,'caseload data'!$C:$C,'divisional &amp; regional caseload%'!$T$64,'caseload data'!$D:$D,"PO")/SUMIF('caseload data'!$C:$C,'divisional &amp; regional caseload%'!$T$64,'caseload data'!P:P),"")</f>
        <v/>
      </c>
      <c r="AG66" s="167" t="str">
        <f>IFERROR(SUMIFS('caseload data'!Q:Q,'caseload data'!$C:$C,'divisional &amp; regional caseload%'!$T$64,'caseload data'!$D:$D,"PO")/SUMIF('caseload data'!$C:$C,'divisional &amp; regional caseload%'!$T$64,'caseload data'!Q:Q),"")</f>
        <v/>
      </c>
      <c r="AH66" s="167" t="str">
        <f>IFERROR(SUMIFS('caseload data'!R:R,'caseload data'!$C:$C,'divisional &amp; regional caseload%'!$T$64,'caseload data'!$D:$D,"PO")/SUMIF('caseload data'!$C:$C,'divisional &amp; regional caseload%'!$T$64,'caseload data'!R:R),"")</f>
        <v/>
      </c>
      <c r="AI66" s="167" t="str">
        <f>IFERROR(SUMIFS('caseload data'!S:S,'caseload data'!$C:$C,'divisional &amp; regional caseload%'!$T$64,'caseload data'!$D:$D,"PO")/SUMIF('caseload data'!$C:$C,'divisional &amp; regional caseload%'!$T$64,'caseload data'!S:S),"")</f>
        <v/>
      </c>
      <c r="AJ66" s="167" t="str">
        <f>IFERROR(SUMIFS('caseload data'!T:T,'caseload data'!$C:$C,'divisional &amp; regional caseload%'!$T$64,'caseload data'!$D:$D,"PO")/SUMIF('caseload data'!$C:$C,'divisional &amp; regional caseload%'!$T$64,'caseload data'!T:T),"")</f>
        <v/>
      </c>
    </row>
    <row r="67" spans="2:36" x14ac:dyDescent="0.15">
      <c r="B67" s="97" t="s">
        <v>1002</v>
      </c>
      <c r="C67" s="167" t="str">
        <f>IFERROR(SUMIFS('caseload data'!E:E,'caseload data'!$C:$C,'divisional &amp; regional caseload%'!$B$64,'caseload data'!$D:$D,"PSO")/SUMIF('caseload data'!$C:$C,'divisional &amp; regional caseload%'!$B$64,'caseload data'!E:E),"")</f>
        <v/>
      </c>
      <c r="D67" s="167" t="str">
        <f>IFERROR(SUMIFS('caseload data'!F:F,'caseload data'!$C:$C,'divisional &amp; regional caseload%'!$B$64,'caseload data'!$D:$D,"PSO")/SUMIF('caseload data'!$C:$C,'divisional &amp; regional caseload%'!$B$64,'caseload data'!F:F),"")</f>
        <v/>
      </c>
      <c r="E67" s="167" t="str">
        <f>IFERROR(SUMIFS('caseload data'!G:G,'caseload data'!$C:$C,'divisional &amp; regional caseload%'!$B$64,'caseload data'!$D:$D,"PSO")/SUMIF('caseload data'!$C:$C,'divisional &amp; regional caseload%'!$B$64,'caseload data'!G:G),"")</f>
        <v/>
      </c>
      <c r="F67" s="167" t="str">
        <f>IFERROR(SUMIFS('caseload data'!H:H,'caseload data'!$C:$C,'divisional &amp; regional caseload%'!$B$64,'caseload data'!$D:$D,"PSO")/SUMIF('caseload data'!$C:$C,'divisional &amp; regional caseload%'!$B$64,'caseload data'!H:H),"")</f>
        <v/>
      </c>
      <c r="G67" s="167" t="str">
        <f>IFERROR(SUMIFS('caseload data'!I:I,'caseload data'!$C:$C,'divisional &amp; regional caseload%'!$B$64,'caseload data'!$D:$D,"PSO")/SUMIF('caseload data'!$C:$C,'divisional &amp; regional caseload%'!$B$64,'caseload data'!I:I),"")</f>
        <v/>
      </c>
      <c r="H67" s="167" t="str">
        <f>IFERROR(SUMIFS('caseload data'!J:J,'caseload data'!$C:$C,'divisional &amp; regional caseload%'!$B$64,'caseload data'!$D:$D,"PSO")/SUMIF('caseload data'!$C:$C,'divisional &amp; regional caseload%'!$B$64,'caseload data'!J:J),"")</f>
        <v/>
      </c>
      <c r="I67" s="167" t="str">
        <f>IFERROR(SUMIFS('caseload data'!K:K,'caseload data'!$C:$C,'divisional &amp; regional caseload%'!$B$64,'caseload data'!$D:$D,"PSO")/SUMIF('caseload data'!$C:$C,'divisional &amp; regional caseload%'!$B$64,'caseload data'!K:K),"")</f>
        <v/>
      </c>
      <c r="J67" s="167" t="str">
        <f>IFERROR(SUMIFS('caseload data'!L:L,'caseload data'!$C:$C,'divisional &amp; regional caseload%'!$B$64,'caseload data'!$D:$D,"PSO")/SUMIF('caseload data'!$C:$C,'divisional &amp; regional caseload%'!$B$64,'caseload data'!L:L),"")</f>
        <v/>
      </c>
      <c r="K67" s="167" t="str">
        <f>IFERROR(SUMIFS('caseload data'!M:M,'caseload data'!$C:$C,'divisional &amp; regional caseload%'!$B$64,'caseload data'!$D:$D,"PSO")/SUMIF('caseload data'!$C:$C,'divisional &amp; regional caseload%'!$B$64,'caseload data'!M:M),"")</f>
        <v/>
      </c>
      <c r="L67" s="167" t="str">
        <f>IFERROR(SUMIFS('caseload data'!N:N,'caseload data'!$C:$C,'divisional &amp; regional caseload%'!$B$64,'caseload data'!$D:$D,"PSO")/SUMIF('caseload data'!$C:$C,'divisional &amp; regional caseload%'!$B$64,'caseload data'!N:N),"")</f>
        <v/>
      </c>
      <c r="M67" s="167" t="str">
        <f>IFERROR(SUMIFS('caseload data'!O:O,'caseload data'!$C:$C,'divisional &amp; regional caseload%'!$B$64,'caseload data'!$D:$D,"PSO")/SUMIF('caseload data'!$C:$C,'divisional &amp; regional caseload%'!$B$64,'caseload data'!O:O),"")</f>
        <v/>
      </c>
      <c r="N67" s="167" t="str">
        <f>IFERROR(SUMIFS('caseload data'!P:P,'caseload data'!$C:$C,'divisional &amp; regional caseload%'!$B$64,'caseload data'!$D:$D,"PSO")/SUMIF('caseload data'!$C:$C,'divisional &amp; regional caseload%'!$B$64,'caseload data'!P:P),"")</f>
        <v/>
      </c>
      <c r="O67" s="167" t="str">
        <f>IFERROR(SUMIFS('caseload data'!Q:Q,'caseload data'!$C:$C,'divisional &amp; regional caseload%'!$B$64,'caseload data'!$D:$D,"PSO")/SUMIF('caseload data'!$C:$C,'divisional &amp; regional caseload%'!$B$64,'caseload data'!Q:Q),"")</f>
        <v/>
      </c>
      <c r="P67" s="167" t="str">
        <f>IFERROR(SUMIFS('caseload data'!R:R,'caseload data'!$C:$C,'divisional &amp; regional caseload%'!$B$64,'caseload data'!$D:$D,"PSO")/SUMIF('caseload data'!$C:$C,'divisional &amp; regional caseload%'!$B$64,'caseload data'!R:R),"")</f>
        <v/>
      </c>
      <c r="Q67" s="167" t="str">
        <f>IFERROR(SUMIFS('caseload data'!S:S,'caseload data'!$C:$C,'divisional &amp; regional caseload%'!$B$64,'caseload data'!$D:$D,"PSO")/SUMIF('caseload data'!$C:$C,'divisional &amp; regional caseload%'!$B$64,'caseload data'!S:S),"")</f>
        <v/>
      </c>
      <c r="R67" s="167" t="str">
        <f>IFERROR(SUMIFS('caseload data'!T:T,'caseload data'!$C:$C,'divisional &amp; regional caseload%'!$B$64,'caseload data'!$D:$D,"PSO")/SUMIF('caseload data'!$C:$C,'divisional &amp; regional caseload%'!$B$64,'caseload data'!T:T),"")</f>
        <v/>
      </c>
      <c r="S67" s="64"/>
      <c r="T67" s="97" t="s">
        <v>1002</v>
      </c>
      <c r="U67" s="167" t="str">
        <f>IFERROR(SUMIFS('caseload data'!E:E,'caseload data'!$C:$C,'divisional &amp; regional caseload%'!$T$64,'caseload data'!$D:$D,"PSO")/SUMIF('caseload data'!$C:$C,'divisional &amp; regional caseload%'!$T$64,'caseload data'!E:E),"")</f>
        <v/>
      </c>
      <c r="V67" s="167" t="str">
        <f>IFERROR(SUMIFS('caseload data'!F:F,'caseload data'!$C:$C,'divisional &amp; regional caseload%'!$T$64,'caseload data'!$D:$D,"PSO")/SUMIF('caseload data'!$C:$C,'divisional &amp; regional caseload%'!$T$64,'caseload data'!F:F),"")</f>
        <v/>
      </c>
      <c r="W67" s="167" t="str">
        <f>IFERROR(SUMIFS('caseload data'!G:G,'caseload data'!$C:$C,'divisional &amp; regional caseload%'!$T$64,'caseload data'!$D:$D,"PSO")/SUMIF('caseload data'!$C:$C,'divisional &amp; regional caseload%'!$T$64,'caseload data'!G:G),"")</f>
        <v/>
      </c>
      <c r="X67" s="167" t="str">
        <f>IFERROR(SUMIFS('caseload data'!H:H,'caseload data'!$C:$C,'divisional &amp; regional caseload%'!$T$64,'caseload data'!$D:$D,"PSO")/SUMIF('caseload data'!$C:$C,'divisional &amp; regional caseload%'!$T$64,'caseload data'!H:H),"")</f>
        <v/>
      </c>
      <c r="Y67" s="167" t="str">
        <f>IFERROR(SUMIFS('caseload data'!I:I,'caseload data'!$C:$C,'divisional &amp; regional caseload%'!$T$64,'caseload data'!$D:$D,"PSO")/SUMIF('caseload data'!$C:$C,'divisional &amp; regional caseload%'!$T$64,'caseload data'!I:I),"")</f>
        <v/>
      </c>
      <c r="Z67" s="167" t="str">
        <f>IFERROR(SUMIFS('caseload data'!J:J,'caseload data'!$C:$C,'divisional &amp; regional caseload%'!$T$64,'caseload data'!$D:$D,"PSO")/SUMIF('caseload data'!$C:$C,'divisional &amp; regional caseload%'!$T$64,'caseload data'!J:J),"")</f>
        <v/>
      </c>
      <c r="AA67" s="167" t="str">
        <f>IFERROR(SUMIFS('caseload data'!K:K,'caseload data'!$C:$C,'divisional &amp; regional caseload%'!$T$64,'caseload data'!$D:$D,"PSO")/SUMIF('caseload data'!$C:$C,'divisional &amp; regional caseload%'!$T$64,'caseload data'!K:K),"")</f>
        <v/>
      </c>
      <c r="AB67" s="167" t="str">
        <f>IFERROR(SUMIFS('caseload data'!L:L,'caseload data'!$C:$C,'divisional &amp; regional caseload%'!$T$64,'caseload data'!$D:$D,"PSO")/SUMIF('caseload data'!$C:$C,'divisional &amp; regional caseload%'!$T$64,'caseload data'!L:L),"")</f>
        <v/>
      </c>
      <c r="AC67" s="167" t="str">
        <f>IFERROR(SUMIFS('caseload data'!M:M,'caseload data'!$C:$C,'divisional &amp; regional caseload%'!$T$64,'caseload data'!$D:$D,"PSO")/SUMIF('caseload data'!$C:$C,'divisional &amp; regional caseload%'!$T$64,'caseload data'!M:M),"")</f>
        <v/>
      </c>
      <c r="AD67" s="167" t="str">
        <f>IFERROR(SUMIFS('caseload data'!N:N,'caseload data'!$C:$C,'divisional &amp; regional caseload%'!$T$64,'caseload data'!$D:$D,"PSO")/SUMIF('caseload data'!$C:$C,'divisional &amp; regional caseload%'!$T$64,'caseload data'!N:N),"")</f>
        <v/>
      </c>
      <c r="AE67" s="167" t="str">
        <f>IFERROR(SUMIFS('caseload data'!O:O,'caseload data'!$C:$C,'divisional &amp; regional caseload%'!$T$64,'caseload data'!$D:$D,"PSO")/SUMIF('caseload data'!$C:$C,'divisional &amp; regional caseload%'!$T$64,'caseload data'!O:O),"")</f>
        <v/>
      </c>
      <c r="AF67" s="167" t="str">
        <f>IFERROR(SUMIFS('caseload data'!P:P,'caseload data'!$C:$C,'divisional &amp; regional caseload%'!$T$64,'caseload data'!$D:$D,"PSO")/SUMIF('caseload data'!$C:$C,'divisional &amp; regional caseload%'!$T$64,'caseload data'!P:P),"")</f>
        <v/>
      </c>
      <c r="AG67" s="167" t="str">
        <f>IFERROR(SUMIFS('caseload data'!Q:Q,'caseload data'!$C:$C,'divisional &amp; regional caseload%'!$T$64,'caseload data'!$D:$D,"PSO")/SUMIF('caseload data'!$C:$C,'divisional &amp; regional caseload%'!$T$64,'caseload data'!Q:Q),"")</f>
        <v/>
      </c>
      <c r="AH67" s="167" t="str">
        <f>IFERROR(SUMIFS('caseload data'!R:R,'caseload data'!$C:$C,'divisional &amp; regional caseload%'!$T$64,'caseload data'!$D:$D,"PSO")/SUMIF('caseload data'!$C:$C,'divisional &amp; regional caseload%'!$T$64,'caseload data'!R:R),"")</f>
        <v/>
      </c>
      <c r="AI67" s="167" t="str">
        <f>IFERROR(SUMIFS('caseload data'!S:S,'caseload data'!$C:$C,'divisional &amp; regional caseload%'!$T$64,'caseload data'!$D:$D,"PSO")/SUMIF('caseload data'!$C:$C,'divisional &amp; regional caseload%'!$T$64,'caseload data'!S:S),"")</f>
        <v/>
      </c>
      <c r="AJ67" s="167" t="str">
        <f>IFERROR(SUMIFS('caseload data'!T:T,'caseload data'!$C:$C,'divisional &amp; regional caseload%'!$T$64,'caseload data'!$D:$D,"PSO")/SUMIF('caseload data'!$C:$C,'divisional &amp; regional caseload%'!$T$64,'caseload data'!T:T),"")</f>
        <v/>
      </c>
    </row>
    <row r="68" spans="2:36" x14ac:dyDescent="0.15">
      <c r="B68" s="97" t="s">
        <v>1003</v>
      </c>
      <c r="C68" s="167" t="str">
        <f>IFERROR(SUMIFS('caseload data'!E:E,'caseload data'!$C:$C,'divisional &amp; regional caseload%'!$B$64,'caseload data'!$D:$D,"TPO")/SUMIF('caseload data'!$C:$C,'divisional &amp; regional caseload%'!$B$64,'caseload data'!E:E),"")</f>
        <v/>
      </c>
      <c r="D68" s="167" t="str">
        <f>IFERROR(SUMIFS('caseload data'!F:F,'caseload data'!$C:$C,'divisional &amp; regional caseload%'!$B$64,'caseload data'!$D:$D,"TPO")/SUMIF('caseload data'!$C:$C,'divisional &amp; regional caseload%'!$B$64,'caseload data'!F:F),"")</f>
        <v/>
      </c>
      <c r="E68" s="167" t="str">
        <f>IFERROR(SUMIFS('caseload data'!G:G,'caseload data'!$C:$C,'divisional &amp; regional caseload%'!$B$64,'caseload data'!$D:$D,"TPO")/SUMIF('caseload data'!$C:$C,'divisional &amp; regional caseload%'!$B$64,'caseload data'!G:G),"")</f>
        <v/>
      </c>
      <c r="F68" s="167" t="str">
        <f>IFERROR(SUMIFS('caseload data'!H:H,'caseload data'!$C:$C,'divisional &amp; regional caseload%'!$B$64,'caseload data'!$D:$D,"TPO")/SUMIF('caseload data'!$C:$C,'divisional &amp; regional caseload%'!$B$64,'caseload data'!H:H),"")</f>
        <v/>
      </c>
      <c r="G68" s="167" t="str">
        <f>IFERROR(SUMIFS('caseload data'!I:I,'caseload data'!$C:$C,'divisional &amp; regional caseload%'!$B$64,'caseload data'!$D:$D,"TPO")/SUMIF('caseload data'!$C:$C,'divisional &amp; regional caseload%'!$B$64,'caseload data'!I:I),"")</f>
        <v/>
      </c>
      <c r="H68" s="167" t="str">
        <f>IFERROR(SUMIFS('caseload data'!J:J,'caseload data'!$C:$C,'divisional &amp; regional caseload%'!$B$64,'caseload data'!$D:$D,"TPO")/SUMIF('caseload data'!$C:$C,'divisional &amp; regional caseload%'!$B$64,'caseload data'!J:J),"")</f>
        <v/>
      </c>
      <c r="I68" s="167" t="str">
        <f>IFERROR(SUMIFS('caseload data'!K:K,'caseload data'!$C:$C,'divisional &amp; regional caseload%'!$B$64,'caseload data'!$D:$D,"TPO")/SUMIF('caseload data'!$C:$C,'divisional &amp; regional caseload%'!$B$64,'caseload data'!K:K),"")</f>
        <v/>
      </c>
      <c r="J68" s="167" t="str">
        <f>IFERROR(SUMIFS('caseload data'!L:L,'caseload data'!$C:$C,'divisional &amp; regional caseload%'!$B$64,'caseload data'!$D:$D,"TPO")/SUMIF('caseload data'!$C:$C,'divisional &amp; regional caseload%'!$B$64,'caseload data'!L:L),"")</f>
        <v/>
      </c>
      <c r="K68" s="167" t="str">
        <f>IFERROR(SUMIFS('caseload data'!M:M,'caseload data'!$C:$C,'divisional &amp; regional caseload%'!$B$64,'caseload data'!$D:$D,"TPO")/SUMIF('caseload data'!$C:$C,'divisional &amp; regional caseload%'!$B$64,'caseload data'!M:M),"")</f>
        <v/>
      </c>
      <c r="L68" s="167" t="str">
        <f>IFERROR(SUMIFS('caseload data'!N:N,'caseload data'!$C:$C,'divisional &amp; regional caseload%'!$B$64,'caseload data'!$D:$D,"TPO")/SUMIF('caseload data'!$C:$C,'divisional &amp; regional caseload%'!$B$64,'caseload data'!N:N),"")</f>
        <v/>
      </c>
      <c r="M68" s="167" t="str">
        <f>IFERROR(SUMIFS('caseload data'!O:O,'caseload data'!$C:$C,'divisional &amp; regional caseload%'!$B$64,'caseload data'!$D:$D,"TPO")/SUMIF('caseload data'!$C:$C,'divisional &amp; regional caseload%'!$B$64,'caseload data'!O:O),"")</f>
        <v/>
      </c>
      <c r="N68" s="167" t="str">
        <f>IFERROR(SUMIFS('caseload data'!P:P,'caseload data'!$C:$C,'divisional &amp; regional caseload%'!$B$64,'caseload data'!$D:$D,"TPO")/SUMIF('caseload data'!$C:$C,'divisional &amp; regional caseload%'!$B$64,'caseload data'!P:P),"")</f>
        <v/>
      </c>
      <c r="O68" s="167" t="str">
        <f>IFERROR(SUMIFS('caseload data'!Q:Q,'caseload data'!$C:$C,'divisional &amp; regional caseload%'!$B$64,'caseload data'!$D:$D,"TPO")/SUMIF('caseload data'!$C:$C,'divisional &amp; regional caseload%'!$B$64,'caseload data'!Q:Q),"")</f>
        <v/>
      </c>
      <c r="P68" s="167" t="str">
        <f>IFERROR(SUMIFS('caseload data'!R:R,'caseload data'!$C:$C,'divisional &amp; regional caseload%'!$B$64,'caseload data'!$D:$D,"TPO")/SUMIF('caseload data'!$C:$C,'divisional &amp; regional caseload%'!$B$64,'caseload data'!R:R),"")</f>
        <v/>
      </c>
      <c r="Q68" s="167" t="str">
        <f>IFERROR(SUMIFS('caseload data'!S:S,'caseload data'!$C:$C,'divisional &amp; regional caseload%'!$B$64,'caseload data'!$D:$D,"TPO")/SUMIF('caseload data'!$C:$C,'divisional &amp; regional caseload%'!$B$64,'caseload data'!S:S),"")</f>
        <v/>
      </c>
      <c r="R68" s="167" t="str">
        <f>IFERROR(SUMIFS('caseload data'!T:T,'caseload data'!$C:$C,'divisional &amp; regional caseload%'!$B$64,'caseload data'!$D:$D,"TPO")/SUMIF('caseload data'!$C:$C,'divisional &amp; regional caseload%'!$B$64,'caseload data'!T:T),"")</f>
        <v/>
      </c>
      <c r="S68" s="64"/>
      <c r="T68" s="97" t="s">
        <v>1003</v>
      </c>
      <c r="U68" s="167" t="str">
        <f>IFERROR(SUMIFS('caseload data'!E:E,'caseload data'!$C:$C,'divisional &amp; regional caseload%'!$T$64,'caseload data'!$D:$D,"TPO")/SUMIF('caseload data'!$C:$C,'divisional &amp; regional caseload%'!$T$64,'caseload data'!E:E),"")</f>
        <v/>
      </c>
      <c r="V68" s="167" t="str">
        <f>IFERROR(SUMIFS('caseload data'!F:F,'caseload data'!$C:$C,'divisional &amp; regional caseload%'!$T$64,'caseload data'!$D:$D,"TPO")/SUMIF('caseload data'!$C:$C,'divisional &amp; regional caseload%'!$T$64,'caseload data'!F:F),"")</f>
        <v/>
      </c>
      <c r="W68" s="167" t="str">
        <f>IFERROR(SUMIFS('caseload data'!G:G,'caseload data'!$C:$C,'divisional &amp; regional caseload%'!$T$64,'caseload data'!$D:$D,"TPO")/SUMIF('caseload data'!$C:$C,'divisional &amp; regional caseload%'!$T$64,'caseload data'!G:G),"")</f>
        <v/>
      </c>
      <c r="X68" s="167" t="str">
        <f>IFERROR(SUMIFS('caseload data'!H:H,'caseload data'!$C:$C,'divisional &amp; regional caseload%'!$T$64,'caseload data'!$D:$D,"TPO")/SUMIF('caseload data'!$C:$C,'divisional &amp; regional caseload%'!$T$64,'caseload data'!H:H),"")</f>
        <v/>
      </c>
      <c r="Y68" s="167" t="str">
        <f>IFERROR(SUMIFS('caseload data'!I:I,'caseload data'!$C:$C,'divisional &amp; regional caseload%'!$T$64,'caseload data'!$D:$D,"TPO")/SUMIF('caseload data'!$C:$C,'divisional &amp; regional caseload%'!$T$64,'caseload data'!I:I),"")</f>
        <v/>
      </c>
      <c r="Z68" s="167" t="str">
        <f>IFERROR(SUMIFS('caseload data'!J:J,'caseload data'!$C:$C,'divisional &amp; regional caseload%'!$T$64,'caseload data'!$D:$D,"TPO")/SUMIF('caseload data'!$C:$C,'divisional &amp; regional caseload%'!$T$64,'caseload data'!J:J),"")</f>
        <v/>
      </c>
      <c r="AA68" s="167" t="str">
        <f>IFERROR(SUMIFS('caseload data'!K:K,'caseload data'!$C:$C,'divisional &amp; regional caseload%'!$T$64,'caseload data'!$D:$D,"TPO")/SUMIF('caseload data'!$C:$C,'divisional &amp; regional caseload%'!$T$64,'caseload data'!K:K),"")</f>
        <v/>
      </c>
      <c r="AB68" s="167" t="str">
        <f>IFERROR(SUMIFS('caseload data'!L:L,'caseload data'!$C:$C,'divisional &amp; regional caseload%'!$T$64,'caseload data'!$D:$D,"TPO")/SUMIF('caseload data'!$C:$C,'divisional &amp; regional caseload%'!$T$64,'caseload data'!L:L),"")</f>
        <v/>
      </c>
      <c r="AC68" s="167" t="str">
        <f>IFERROR(SUMIFS('caseload data'!M:M,'caseload data'!$C:$C,'divisional &amp; regional caseload%'!$T$64,'caseload data'!$D:$D,"TPO")/SUMIF('caseload data'!$C:$C,'divisional &amp; regional caseload%'!$T$64,'caseload data'!M:M),"")</f>
        <v/>
      </c>
      <c r="AD68" s="167" t="str">
        <f>IFERROR(SUMIFS('caseload data'!N:N,'caseload data'!$C:$C,'divisional &amp; regional caseload%'!$T$64,'caseload data'!$D:$D,"TPO")/SUMIF('caseload data'!$C:$C,'divisional &amp; regional caseload%'!$T$64,'caseload data'!N:N),"")</f>
        <v/>
      </c>
      <c r="AE68" s="167" t="str">
        <f>IFERROR(SUMIFS('caseload data'!O:O,'caseload data'!$C:$C,'divisional &amp; regional caseload%'!$T$64,'caseload data'!$D:$D,"TPO")/SUMIF('caseload data'!$C:$C,'divisional &amp; regional caseload%'!$T$64,'caseload data'!O:O),"")</f>
        <v/>
      </c>
      <c r="AF68" s="167" t="str">
        <f>IFERROR(SUMIFS('caseload data'!P:P,'caseload data'!$C:$C,'divisional &amp; regional caseload%'!$T$64,'caseload data'!$D:$D,"TPO")/SUMIF('caseload data'!$C:$C,'divisional &amp; regional caseload%'!$T$64,'caseload data'!P:P),"")</f>
        <v/>
      </c>
      <c r="AG68" s="167" t="str">
        <f>IFERROR(SUMIFS('caseload data'!Q:Q,'caseload data'!$C:$C,'divisional &amp; regional caseload%'!$T$64,'caseload data'!$D:$D,"TPO")/SUMIF('caseload data'!$C:$C,'divisional &amp; regional caseload%'!$T$64,'caseload data'!Q:Q),"")</f>
        <v/>
      </c>
      <c r="AH68" s="167" t="str">
        <f>IFERROR(SUMIFS('caseload data'!R:R,'caseload data'!$C:$C,'divisional &amp; regional caseload%'!$T$64,'caseload data'!$D:$D,"TPO")/SUMIF('caseload data'!$C:$C,'divisional &amp; regional caseload%'!$T$64,'caseload data'!R:R),"")</f>
        <v/>
      </c>
      <c r="AI68" s="167" t="str">
        <f>IFERROR(SUMIFS('caseload data'!S:S,'caseload data'!$C:$C,'divisional &amp; regional caseload%'!$T$64,'caseload data'!$D:$D,"TPO")/SUMIF('caseload data'!$C:$C,'divisional &amp; regional caseload%'!$T$64,'caseload data'!S:S),"")</f>
        <v/>
      </c>
      <c r="AJ68" s="167" t="str">
        <f>IFERROR(SUMIFS('caseload data'!T:T,'caseload data'!$C:$C,'divisional &amp; regional caseload%'!$T$64,'caseload data'!$D:$D,"TPO")/SUMIF('caseload data'!$C:$C,'divisional &amp; regional caseload%'!$T$64,'caseload data'!T:T),"")</f>
        <v/>
      </c>
    </row>
    <row r="69" spans="2:36" x14ac:dyDescent="0.15">
      <c r="B69" s="98" t="s">
        <v>1004</v>
      </c>
      <c r="C69" s="167" t="str">
        <f>IFERROR(SUMIFS('caseload data'!E:E,'caseload data'!$C:$C,'divisional &amp; regional caseload%'!$B$64,'caseload data'!$D:$D,"SPO")/SUMIF('caseload data'!$C:$C,'divisional &amp; regional caseload%'!$B$64,'caseload data'!E:E),"")</f>
        <v/>
      </c>
      <c r="D69" s="167" t="str">
        <f>IFERROR(SUMIFS('caseload data'!F:F,'caseload data'!$C:$C,'divisional &amp; regional caseload%'!$B$64,'caseload data'!$D:$D,"SPO")/SUMIF('caseload data'!$C:$C,'divisional &amp; regional caseload%'!$B$64,'caseload data'!F:F),"")</f>
        <v/>
      </c>
      <c r="E69" s="167" t="str">
        <f>IFERROR(SUMIFS('caseload data'!G:G,'caseload data'!$C:$C,'divisional &amp; regional caseload%'!$B$64,'caseload data'!$D:$D,"SPO")/SUMIF('caseload data'!$C:$C,'divisional &amp; regional caseload%'!$B$64,'caseload data'!G:G),"")</f>
        <v/>
      </c>
      <c r="F69" s="167" t="str">
        <f>IFERROR(SUMIFS('caseload data'!H:H,'caseload data'!$C:$C,'divisional &amp; regional caseload%'!$B$64,'caseload data'!$D:$D,"SPO")/SUMIF('caseload data'!$C:$C,'divisional &amp; regional caseload%'!$B$64,'caseload data'!H:H),"")</f>
        <v/>
      </c>
      <c r="G69" s="167" t="str">
        <f>IFERROR(SUMIFS('caseload data'!I:I,'caseload data'!$C:$C,'divisional &amp; regional caseload%'!$B$64,'caseload data'!$D:$D,"SPO")/SUMIF('caseload data'!$C:$C,'divisional &amp; regional caseload%'!$B$64,'caseload data'!I:I),"")</f>
        <v/>
      </c>
      <c r="H69" s="167" t="str">
        <f>IFERROR(SUMIFS('caseload data'!J:J,'caseload data'!$C:$C,'divisional &amp; regional caseload%'!$B$64,'caseload data'!$D:$D,"SPO")/SUMIF('caseload data'!$C:$C,'divisional &amp; regional caseload%'!$B$64,'caseload data'!J:J),"")</f>
        <v/>
      </c>
      <c r="I69" s="167" t="str">
        <f>IFERROR(SUMIFS('caseload data'!K:K,'caseload data'!$C:$C,'divisional &amp; regional caseload%'!$B$64,'caseload data'!$D:$D,"SPO")/SUMIF('caseload data'!$C:$C,'divisional &amp; regional caseload%'!$B$64,'caseload data'!K:K),"")</f>
        <v/>
      </c>
      <c r="J69" s="167" t="str">
        <f>IFERROR(SUMIFS('caseload data'!L:L,'caseload data'!$C:$C,'divisional &amp; regional caseload%'!$B$64,'caseload data'!$D:$D,"SPO")/SUMIF('caseload data'!$C:$C,'divisional &amp; regional caseload%'!$B$64,'caseload data'!L:L),"")</f>
        <v/>
      </c>
      <c r="K69" s="167" t="str">
        <f>IFERROR(SUMIFS('caseload data'!M:M,'caseload data'!$C:$C,'divisional &amp; regional caseload%'!$B$64,'caseload data'!$D:$D,"SPO")/SUMIF('caseload data'!$C:$C,'divisional &amp; regional caseload%'!$B$64,'caseload data'!M:M),"")</f>
        <v/>
      </c>
      <c r="L69" s="167" t="str">
        <f>IFERROR(SUMIFS('caseload data'!N:N,'caseload data'!$C:$C,'divisional &amp; regional caseload%'!$B$64,'caseload data'!$D:$D,"SPO")/SUMIF('caseload data'!$C:$C,'divisional &amp; regional caseload%'!$B$64,'caseload data'!N:N),"")</f>
        <v/>
      </c>
      <c r="M69" s="167" t="str">
        <f>IFERROR(SUMIFS('caseload data'!O:O,'caseload data'!$C:$C,'divisional &amp; regional caseload%'!$B$64,'caseload data'!$D:$D,"SPO")/SUMIF('caseload data'!$C:$C,'divisional &amp; regional caseload%'!$B$64,'caseload data'!O:O),"")</f>
        <v/>
      </c>
      <c r="N69" s="167" t="str">
        <f>IFERROR(SUMIFS('caseload data'!P:P,'caseload data'!$C:$C,'divisional &amp; regional caseload%'!$B$64,'caseload data'!$D:$D,"SPO")/SUMIF('caseload data'!$C:$C,'divisional &amp; regional caseload%'!$B$64,'caseload data'!P:P),"")</f>
        <v/>
      </c>
      <c r="O69" s="167" t="str">
        <f>IFERROR(SUMIFS('caseload data'!Q:Q,'caseload data'!$C:$C,'divisional &amp; regional caseload%'!$B$64,'caseload data'!$D:$D,"SPO")/SUMIF('caseload data'!$C:$C,'divisional &amp; regional caseload%'!$B$64,'caseload data'!Q:Q),"")</f>
        <v/>
      </c>
      <c r="P69" s="167" t="str">
        <f>IFERROR(SUMIFS('caseload data'!R:R,'caseload data'!$C:$C,'divisional &amp; regional caseload%'!$B$64,'caseload data'!$D:$D,"SPO")/SUMIF('caseload data'!$C:$C,'divisional &amp; regional caseload%'!$B$64,'caseload data'!R:R),"")</f>
        <v/>
      </c>
      <c r="Q69" s="167" t="str">
        <f>IFERROR(SUMIFS('caseload data'!S:S,'caseload data'!$C:$C,'divisional &amp; regional caseload%'!$B$64,'caseload data'!$D:$D,"SPO")/SUMIF('caseload data'!$C:$C,'divisional &amp; regional caseload%'!$B$64,'caseload data'!S:S),"")</f>
        <v/>
      </c>
      <c r="R69" s="167" t="str">
        <f>IFERROR(SUMIFS('caseload data'!T:T,'caseload data'!$C:$C,'divisional &amp; regional caseload%'!$B$64,'caseload data'!$D:$D,"SPO")/SUMIF('caseload data'!$C:$C,'divisional &amp; regional caseload%'!$B$64,'caseload data'!T:T),"")</f>
        <v/>
      </c>
      <c r="S69" s="64"/>
      <c r="T69" s="98" t="s">
        <v>1004</v>
      </c>
      <c r="U69" s="167" t="str">
        <f>IFERROR(SUMIFS('caseload data'!E:E,'caseload data'!$C:$C,'divisional &amp; regional caseload%'!$T$64,'caseload data'!$D:$D,"SPO")/SUMIF('caseload data'!$C:$C,'divisional &amp; regional caseload%'!$T$64,'caseload data'!E:E),"")</f>
        <v/>
      </c>
      <c r="V69" s="167" t="str">
        <f>IFERROR(SUMIFS('caseload data'!F:F,'caseload data'!$C:$C,'divisional &amp; regional caseload%'!$T$64,'caseload data'!$D:$D,"SPO")/SUMIF('caseload data'!$C:$C,'divisional &amp; regional caseload%'!$T$64,'caseload data'!F:F),"")</f>
        <v/>
      </c>
      <c r="W69" s="167" t="str">
        <f>IFERROR(SUMIFS('caseload data'!G:G,'caseload data'!$C:$C,'divisional &amp; regional caseload%'!$T$64,'caseload data'!$D:$D,"SPO")/SUMIF('caseload data'!$C:$C,'divisional &amp; regional caseload%'!$T$64,'caseload data'!G:G),"")</f>
        <v/>
      </c>
      <c r="X69" s="167" t="str">
        <f>IFERROR(SUMIFS('caseload data'!H:H,'caseload data'!$C:$C,'divisional &amp; regional caseload%'!$T$64,'caseload data'!$D:$D,"SPO")/SUMIF('caseload data'!$C:$C,'divisional &amp; regional caseload%'!$T$64,'caseload data'!H:H),"")</f>
        <v/>
      </c>
      <c r="Y69" s="167" t="str">
        <f>IFERROR(SUMIFS('caseload data'!I:I,'caseload data'!$C:$C,'divisional &amp; regional caseload%'!$T$64,'caseload data'!$D:$D,"SPO")/SUMIF('caseload data'!$C:$C,'divisional &amp; regional caseload%'!$T$64,'caseload data'!I:I),"")</f>
        <v/>
      </c>
      <c r="Z69" s="167" t="str">
        <f>IFERROR(SUMIFS('caseload data'!J:J,'caseload data'!$C:$C,'divisional &amp; regional caseload%'!$T$64,'caseload data'!$D:$D,"SPO")/SUMIF('caseload data'!$C:$C,'divisional &amp; regional caseload%'!$T$64,'caseload data'!J:J),"")</f>
        <v/>
      </c>
      <c r="AA69" s="167" t="str">
        <f>IFERROR(SUMIFS('caseload data'!K:K,'caseload data'!$C:$C,'divisional &amp; regional caseload%'!$T$64,'caseload data'!$D:$D,"SPO")/SUMIF('caseload data'!$C:$C,'divisional &amp; regional caseload%'!$T$64,'caseload data'!K:K),"")</f>
        <v/>
      </c>
      <c r="AB69" s="167" t="str">
        <f>IFERROR(SUMIFS('caseload data'!L:L,'caseload data'!$C:$C,'divisional &amp; regional caseload%'!$T$64,'caseload data'!$D:$D,"SPO")/SUMIF('caseload data'!$C:$C,'divisional &amp; regional caseload%'!$T$64,'caseload data'!L:L),"")</f>
        <v/>
      </c>
      <c r="AC69" s="167" t="str">
        <f>IFERROR(SUMIFS('caseload data'!M:M,'caseload data'!$C:$C,'divisional &amp; regional caseload%'!$T$64,'caseload data'!$D:$D,"SPO")/SUMIF('caseload data'!$C:$C,'divisional &amp; regional caseload%'!$T$64,'caseload data'!M:M),"")</f>
        <v/>
      </c>
      <c r="AD69" s="167" t="str">
        <f>IFERROR(SUMIFS('caseload data'!N:N,'caseload data'!$C:$C,'divisional &amp; regional caseload%'!$T$64,'caseload data'!$D:$D,"SPO")/SUMIF('caseload data'!$C:$C,'divisional &amp; regional caseload%'!$T$64,'caseload data'!N:N),"")</f>
        <v/>
      </c>
      <c r="AE69" s="167" t="str">
        <f>IFERROR(SUMIFS('caseload data'!O:O,'caseload data'!$C:$C,'divisional &amp; regional caseload%'!$T$64,'caseload data'!$D:$D,"SPO")/SUMIF('caseload data'!$C:$C,'divisional &amp; regional caseload%'!$T$64,'caseload data'!O:O),"")</f>
        <v/>
      </c>
      <c r="AF69" s="167" t="str">
        <f>IFERROR(SUMIFS('caseload data'!P:P,'caseload data'!$C:$C,'divisional &amp; regional caseload%'!$T$64,'caseload data'!$D:$D,"SPO")/SUMIF('caseload data'!$C:$C,'divisional &amp; regional caseload%'!$T$64,'caseload data'!P:P),"")</f>
        <v/>
      </c>
      <c r="AG69" s="167" t="str">
        <f>IFERROR(SUMIFS('caseload data'!Q:Q,'caseload data'!$C:$C,'divisional &amp; regional caseload%'!$T$64,'caseload data'!$D:$D,"SPO")/SUMIF('caseload data'!$C:$C,'divisional &amp; regional caseload%'!$T$64,'caseload data'!Q:Q),"")</f>
        <v/>
      </c>
      <c r="AH69" s="167" t="str">
        <f>IFERROR(SUMIFS('caseload data'!R:R,'caseload data'!$C:$C,'divisional &amp; regional caseload%'!$T$64,'caseload data'!$D:$D,"SPO")/SUMIF('caseload data'!$C:$C,'divisional &amp; regional caseload%'!$T$64,'caseload data'!R:R),"")</f>
        <v/>
      </c>
      <c r="AI69" s="167" t="str">
        <f>IFERROR(SUMIFS('caseload data'!S:S,'caseload data'!$C:$C,'divisional &amp; regional caseload%'!$T$64,'caseload data'!$D:$D,"SPO")/SUMIF('caseload data'!$C:$C,'divisional &amp; regional caseload%'!$T$64,'caseload data'!S:S),"")</f>
        <v/>
      </c>
      <c r="AJ69" s="167" t="str">
        <f>IFERROR(SUMIFS('caseload data'!T:T,'caseload data'!$C:$C,'divisional &amp; regional caseload%'!$T$64,'caseload data'!$D:$D,"SPO")/SUMIF('caseload data'!$C:$C,'divisional &amp; regional caseload%'!$T$64,'caseload data'!T:T),"")</f>
        <v/>
      </c>
    </row>
    <row r="71" spans="2:36" ht="27.75" customHeight="1" x14ac:dyDescent="0.15">
      <c r="B71" s="289">
        <f>HLOOKUP($B$5,Region_Table,20,0)</f>
        <v>0</v>
      </c>
      <c r="C71" s="525" t="s">
        <v>1096</v>
      </c>
      <c r="D71" s="526"/>
      <c r="E71" s="526"/>
      <c r="F71" s="526"/>
      <c r="G71" s="526"/>
      <c r="H71" s="526"/>
      <c r="I71" s="526"/>
      <c r="J71" s="526"/>
      <c r="K71" s="526"/>
      <c r="L71" s="526"/>
      <c r="M71" s="527"/>
      <c r="N71" s="527"/>
      <c r="O71" s="528"/>
      <c r="P71" s="512">
        <f>SUMIF('caseload data'!$C:$C,'divisional &amp; regional caseload%'!B71,'caseload data'!V:V)</f>
        <v>0</v>
      </c>
      <c r="Q71" s="529"/>
      <c r="R71" s="530"/>
      <c r="T71" s="289">
        <f>HLOOKUP($B$5,Region_Table,21,0)</f>
        <v>0</v>
      </c>
      <c r="U71" s="525" t="s">
        <v>1096</v>
      </c>
      <c r="V71" s="526"/>
      <c r="W71" s="526"/>
      <c r="X71" s="526"/>
      <c r="Y71" s="526"/>
      <c r="Z71" s="526"/>
      <c r="AA71" s="526"/>
      <c r="AB71" s="526"/>
      <c r="AC71" s="526"/>
      <c r="AD71" s="526"/>
      <c r="AE71" s="527"/>
      <c r="AF71" s="527"/>
      <c r="AG71" s="528"/>
      <c r="AH71" s="512">
        <f>SUMIF('caseload data'!$C:$C,'divisional &amp; regional caseload%'!T71,'caseload data'!V:V)</f>
        <v>0</v>
      </c>
      <c r="AI71" s="529"/>
      <c r="AJ71" s="530"/>
    </row>
    <row r="72" spans="2:36" x14ac:dyDescent="0.15">
      <c r="B72" s="95" t="s">
        <v>1001</v>
      </c>
      <c r="C72" s="38" t="s">
        <v>864</v>
      </c>
      <c r="D72" s="38" t="s">
        <v>865</v>
      </c>
      <c r="E72" s="38" t="s">
        <v>866</v>
      </c>
      <c r="F72" s="38" t="s">
        <v>867</v>
      </c>
      <c r="G72" s="38" t="s">
        <v>868</v>
      </c>
      <c r="H72" s="38" t="s">
        <v>869</v>
      </c>
      <c r="I72" s="38" t="s">
        <v>870</v>
      </c>
      <c r="J72" s="38" t="s">
        <v>871</v>
      </c>
      <c r="K72" s="38" t="s">
        <v>872</v>
      </c>
      <c r="L72" s="38" t="s">
        <v>873</v>
      </c>
      <c r="M72" s="38" t="s">
        <v>874</v>
      </c>
      <c r="N72" s="38" t="s">
        <v>875</v>
      </c>
      <c r="O72" s="38" t="s">
        <v>876</v>
      </c>
      <c r="P72" s="38" t="s">
        <v>877</v>
      </c>
      <c r="Q72" s="38" t="s">
        <v>878</v>
      </c>
      <c r="R72" s="38" t="s">
        <v>879</v>
      </c>
      <c r="T72" s="95" t="s">
        <v>1001</v>
      </c>
      <c r="U72" s="38" t="s">
        <v>864</v>
      </c>
      <c r="V72" s="38" t="s">
        <v>865</v>
      </c>
      <c r="W72" s="38" t="s">
        <v>866</v>
      </c>
      <c r="X72" s="38" t="s">
        <v>867</v>
      </c>
      <c r="Y72" s="38" t="s">
        <v>868</v>
      </c>
      <c r="Z72" s="38" t="s">
        <v>869</v>
      </c>
      <c r="AA72" s="38" t="s">
        <v>870</v>
      </c>
      <c r="AB72" s="38" t="s">
        <v>871</v>
      </c>
      <c r="AC72" s="38" t="s">
        <v>872</v>
      </c>
      <c r="AD72" s="38" t="s">
        <v>873</v>
      </c>
      <c r="AE72" s="38" t="s">
        <v>874</v>
      </c>
      <c r="AF72" s="38" t="s">
        <v>875</v>
      </c>
      <c r="AG72" s="38" t="s">
        <v>876</v>
      </c>
      <c r="AH72" s="38" t="s">
        <v>877</v>
      </c>
      <c r="AI72" s="38" t="s">
        <v>878</v>
      </c>
      <c r="AJ72" s="38" t="s">
        <v>879</v>
      </c>
    </row>
    <row r="73" spans="2:36" x14ac:dyDescent="0.15">
      <c r="B73" s="96" t="s">
        <v>997</v>
      </c>
      <c r="C73" s="167" t="str">
        <f>IFERROR(SUMIFS('caseload data'!E:E,'caseload data'!$C:$C,'divisional &amp; regional caseload%'!$B$71,'caseload data'!$D:$D,"PO")/SUMIF('caseload data'!$C:$C,'divisional &amp; regional caseload%'!$B$71,'caseload data'!E:E),"")</f>
        <v/>
      </c>
      <c r="D73" s="167" t="str">
        <f>IFERROR(SUMIFS('caseload data'!F:F,'caseload data'!$C:$C,'divisional &amp; regional caseload%'!$B$71,'caseload data'!$D:$D,"PO")/SUMIF('caseload data'!$C:$C,'divisional &amp; regional caseload%'!$B$71,'caseload data'!F:F),"")</f>
        <v/>
      </c>
      <c r="E73" s="167" t="str">
        <f>IFERROR(SUMIFS('caseload data'!G:G,'caseload data'!$C:$C,'divisional &amp; regional caseload%'!$B$71,'caseload data'!$D:$D,"PO")/SUMIF('caseload data'!$C:$C,'divisional &amp; regional caseload%'!$B$71,'caseload data'!G:G),"")</f>
        <v/>
      </c>
      <c r="F73" s="167" t="str">
        <f>IFERROR(SUMIFS('caseload data'!H:H,'caseload data'!$C:$C,'divisional &amp; regional caseload%'!$B$71,'caseload data'!$D:$D,"PO")/SUMIF('caseload data'!$C:$C,'divisional &amp; regional caseload%'!$B$71,'caseload data'!H:H),"")</f>
        <v/>
      </c>
      <c r="G73" s="167" t="str">
        <f>IFERROR(SUMIFS('caseload data'!I:I,'caseload data'!$C:$C,'divisional &amp; regional caseload%'!$B$71,'caseload data'!$D:$D,"PO")/SUMIF('caseload data'!$C:$C,'divisional &amp; regional caseload%'!$B$71,'caseload data'!I:I),"")</f>
        <v/>
      </c>
      <c r="H73" s="167" t="str">
        <f>IFERROR(SUMIFS('caseload data'!J:J,'caseload data'!$C:$C,'divisional &amp; regional caseload%'!$B$71,'caseload data'!$D:$D,"PO")/SUMIF('caseload data'!$C:$C,'divisional &amp; regional caseload%'!$B$71,'caseload data'!J:J),"")</f>
        <v/>
      </c>
      <c r="I73" s="167" t="str">
        <f>IFERROR(SUMIFS('caseload data'!K:K,'caseload data'!$C:$C,'divisional &amp; regional caseload%'!$B$71,'caseload data'!$D:$D,"PO")/SUMIF('caseload data'!$C:$C,'divisional &amp; regional caseload%'!$B$71,'caseload data'!K:K),"")</f>
        <v/>
      </c>
      <c r="J73" s="167" t="str">
        <f>IFERROR(SUMIFS('caseload data'!L:L,'caseload data'!$C:$C,'divisional &amp; regional caseload%'!$B$71,'caseload data'!$D:$D,"PO")/SUMIF('caseload data'!$C:$C,'divisional &amp; regional caseload%'!$B$71,'caseload data'!L:L),"")</f>
        <v/>
      </c>
      <c r="K73" s="167" t="str">
        <f>IFERROR(SUMIFS('caseload data'!M:M,'caseload data'!$C:$C,'divisional &amp; regional caseload%'!$B$71,'caseload data'!$D:$D,"PO")/SUMIF('caseload data'!$C:$C,'divisional &amp; regional caseload%'!$B$71,'caseload data'!M:M),"")</f>
        <v/>
      </c>
      <c r="L73" s="167" t="str">
        <f>IFERROR(SUMIFS('caseload data'!N:N,'caseload data'!$C:$C,'divisional &amp; regional caseload%'!$B$71,'caseload data'!$D:$D,"PO")/SUMIF('caseload data'!$C:$C,'divisional &amp; regional caseload%'!$B$71,'caseload data'!N:N),"")</f>
        <v/>
      </c>
      <c r="M73" s="167" t="str">
        <f>IFERROR(SUMIFS('caseload data'!O:O,'caseload data'!$C:$C,'divisional &amp; regional caseload%'!$B$71,'caseload data'!$D:$D,"PO")/SUMIF('caseload data'!$C:$C,'divisional &amp; regional caseload%'!$B$71,'caseload data'!O:O),"")</f>
        <v/>
      </c>
      <c r="N73" s="167" t="str">
        <f>IFERROR(SUMIFS('caseload data'!P:P,'caseload data'!$C:$C,'divisional &amp; regional caseload%'!$B$71,'caseload data'!$D:$D,"PO")/SUMIF('caseload data'!$C:$C,'divisional &amp; regional caseload%'!$B$71,'caseload data'!P:P),"")</f>
        <v/>
      </c>
      <c r="O73" s="167" t="str">
        <f>IFERROR(SUMIFS('caseload data'!Q:Q,'caseload data'!$C:$C,'divisional &amp; regional caseload%'!$B$71,'caseload data'!$D:$D,"PO")/SUMIF('caseload data'!$C:$C,'divisional &amp; regional caseload%'!$B$71,'caseload data'!Q:Q),"")</f>
        <v/>
      </c>
      <c r="P73" s="167" t="str">
        <f>IFERROR(SUMIFS('caseload data'!R:R,'caseload data'!$C:$C,'divisional &amp; regional caseload%'!$B$71,'caseload data'!$D:$D,"PO")/SUMIF('caseload data'!$C:$C,'divisional &amp; regional caseload%'!$B$71,'caseload data'!R:R),"")</f>
        <v/>
      </c>
      <c r="Q73" s="167" t="str">
        <f>IFERROR(SUMIFS('caseload data'!S:S,'caseload data'!$C:$C,'divisional &amp; regional caseload%'!$B$71,'caseload data'!$D:$D,"PO")/SUMIF('caseload data'!$C:$C,'divisional &amp; regional caseload%'!$B$71,'caseload data'!S:S),"")</f>
        <v/>
      </c>
      <c r="R73" s="167" t="str">
        <f>IFERROR(SUMIFS('caseload data'!T:T,'caseload data'!$C:$C,'divisional &amp; regional caseload%'!$B$71,'caseload data'!$D:$D,"PO")/SUMIF('caseload data'!$C:$C,'divisional &amp; regional caseload%'!$B$71,'caseload data'!T:T),"")</f>
        <v/>
      </c>
      <c r="T73" s="96" t="s">
        <v>997</v>
      </c>
      <c r="U73" s="167" t="str">
        <f>IFERROR(SUMIFS('caseload data'!E:E,'caseload data'!$C:$C,'divisional &amp; regional caseload%'!$T$71,'caseload data'!$D:$D,"PO")/SUMIF('caseload data'!$C:$C,'divisional &amp; regional caseload%'!$T$71,'caseload data'!E:E),"")</f>
        <v/>
      </c>
      <c r="V73" s="167" t="str">
        <f>IFERROR(SUMIFS('caseload data'!F:F,'caseload data'!$C:$C,'divisional &amp; regional caseload%'!$T$71,'caseload data'!$D:$D,"PO")/SUMIF('caseload data'!$C:$C,'divisional &amp; regional caseload%'!$T$71,'caseload data'!F:F),"")</f>
        <v/>
      </c>
      <c r="W73" s="167" t="str">
        <f>IFERROR(SUMIFS('caseload data'!G:G,'caseload data'!$C:$C,'divisional &amp; regional caseload%'!$T$71,'caseload data'!$D:$D,"PO")/SUMIF('caseload data'!$C:$C,'divisional &amp; regional caseload%'!$T$71,'caseload data'!G:G),"")</f>
        <v/>
      </c>
      <c r="X73" s="167" t="str">
        <f>IFERROR(SUMIFS('caseload data'!H:H,'caseload data'!$C:$C,'divisional &amp; regional caseload%'!$T$71,'caseload data'!$D:$D,"PO")/SUMIF('caseload data'!$C:$C,'divisional &amp; regional caseload%'!$T$71,'caseload data'!H:H),"")</f>
        <v/>
      </c>
      <c r="Y73" s="167" t="str">
        <f>IFERROR(SUMIFS('caseload data'!I:I,'caseload data'!$C:$C,'divisional &amp; regional caseload%'!$T$71,'caseload data'!$D:$D,"PO")/SUMIF('caseload data'!$C:$C,'divisional &amp; regional caseload%'!$T$71,'caseload data'!I:I),"")</f>
        <v/>
      </c>
      <c r="Z73" s="167" t="str">
        <f>IFERROR(SUMIFS('caseload data'!J:J,'caseload data'!$C:$C,'divisional &amp; regional caseload%'!$T$71,'caseload data'!$D:$D,"PO")/SUMIF('caseload data'!$C:$C,'divisional &amp; regional caseload%'!$T$71,'caseload data'!J:J),"")</f>
        <v/>
      </c>
      <c r="AA73" s="167" t="str">
        <f>IFERROR(SUMIFS('caseload data'!K:K,'caseload data'!$C:$C,'divisional &amp; regional caseload%'!$T$71,'caseload data'!$D:$D,"PO")/SUMIF('caseload data'!$C:$C,'divisional &amp; regional caseload%'!$T$71,'caseload data'!K:K),"")</f>
        <v/>
      </c>
      <c r="AB73" s="167" t="str">
        <f>IFERROR(SUMIFS('caseload data'!L:L,'caseload data'!$C:$C,'divisional &amp; regional caseload%'!$T$71,'caseload data'!$D:$D,"PO")/SUMIF('caseload data'!$C:$C,'divisional &amp; regional caseload%'!$T$71,'caseload data'!L:L),"")</f>
        <v/>
      </c>
      <c r="AC73" s="167" t="str">
        <f>IFERROR(SUMIFS('caseload data'!M:M,'caseload data'!$C:$C,'divisional &amp; regional caseload%'!$T$71,'caseload data'!$D:$D,"PO")/SUMIF('caseload data'!$C:$C,'divisional &amp; regional caseload%'!$T$71,'caseload data'!M:M),"")</f>
        <v/>
      </c>
      <c r="AD73" s="167" t="str">
        <f>IFERROR(SUMIFS('caseload data'!N:N,'caseload data'!$C:$C,'divisional &amp; regional caseload%'!$T$71,'caseload data'!$D:$D,"PO")/SUMIF('caseload data'!$C:$C,'divisional &amp; regional caseload%'!$T$71,'caseload data'!N:N),"")</f>
        <v/>
      </c>
      <c r="AE73" s="167" t="str">
        <f>IFERROR(SUMIFS('caseload data'!O:O,'caseload data'!$C:$C,'divisional &amp; regional caseload%'!$T$71,'caseload data'!$D:$D,"PO")/SUMIF('caseload data'!$C:$C,'divisional &amp; regional caseload%'!$T$71,'caseload data'!O:O),"")</f>
        <v/>
      </c>
      <c r="AF73" s="167" t="str">
        <f>IFERROR(SUMIFS('caseload data'!P:P,'caseload data'!$C:$C,'divisional &amp; regional caseload%'!$T$71,'caseload data'!$D:$D,"PO")/SUMIF('caseload data'!$C:$C,'divisional &amp; regional caseload%'!$T$71,'caseload data'!P:P),"")</f>
        <v/>
      </c>
      <c r="AG73" s="167" t="str">
        <f>IFERROR(SUMIFS('caseload data'!Q:Q,'caseload data'!$C:$C,'divisional &amp; regional caseload%'!$T$71,'caseload data'!$D:$D,"PO")/SUMIF('caseload data'!$C:$C,'divisional &amp; regional caseload%'!$T$71,'caseload data'!Q:Q),"")</f>
        <v/>
      </c>
      <c r="AH73" s="167" t="str">
        <f>IFERROR(SUMIFS('caseload data'!R:R,'caseload data'!$C:$C,'divisional &amp; regional caseload%'!$T$71,'caseload data'!$D:$D,"PO")/SUMIF('caseload data'!$C:$C,'divisional &amp; regional caseload%'!$T$71,'caseload data'!R:R),"")</f>
        <v/>
      </c>
      <c r="AI73" s="167" t="str">
        <f>IFERROR(SUMIFS('caseload data'!S:S,'caseload data'!$C:$C,'divisional &amp; regional caseload%'!$T$71,'caseload data'!$D:$D,"PO")/SUMIF('caseload data'!$C:$C,'divisional &amp; regional caseload%'!$T$71,'caseload data'!S:S),"")</f>
        <v/>
      </c>
      <c r="AJ73" s="167" t="str">
        <f>IFERROR(SUMIFS('caseload data'!T:T,'caseload data'!$C:$C,'divisional &amp; regional caseload%'!$T$71,'caseload data'!$D:$D,"PO")/SUMIF('caseload data'!$C:$C,'divisional &amp; regional caseload%'!$T$71,'caseload data'!T:T),"")</f>
        <v/>
      </c>
    </row>
    <row r="74" spans="2:36" x14ac:dyDescent="0.15">
      <c r="B74" s="97" t="s">
        <v>1002</v>
      </c>
      <c r="C74" s="167" t="str">
        <f>IFERROR(SUMIFS('caseload data'!E:E,'caseload data'!$C:$C,'divisional &amp; regional caseload%'!$B$71,'caseload data'!$D:$D,"PSO")/SUMIF('caseload data'!$C:$C,'divisional &amp; regional caseload%'!$B$71,'caseload data'!E:E),"")</f>
        <v/>
      </c>
      <c r="D74" s="167" t="str">
        <f>IFERROR(SUMIFS('caseload data'!F:F,'caseload data'!$C:$C,'divisional &amp; regional caseload%'!$B$71,'caseload data'!$D:$D,"PSO")/SUMIF('caseload data'!$C:$C,'divisional &amp; regional caseload%'!$B$71,'caseload data'!F:F),"")</f>
        <v/>
      </c>
      <c r="E74" s="167" t="str">
        <f>IFERROR(SUMIFS('caseload data'!G:G,'caseload data'!$C:$C,'divisional &amp; regional caseload%'!$B$71,'caseload data'!$D:$D,"PSO")/SUMIF('caseload data'!$C:$C,'divisional &amp; regional caseload%'!$B$71,'caseload data'!G:G),"")</f>
        <v/>
      </c>
      <c r="F74" s="167" t="str">
        <f>IFERROR(SUMIFS('caseload data'!H:H,'caseload data'!$C:$C,'divisional &amp; regional caseload%'!$B$71,'caseload data'!$D:$D,"PSO")/SUMIF('caseload data'!$C:$C,'divisional &amp; regional caseload%'!$B$71,'caseload data'!H:H),"")</f>
        <v/>
      </c>
      <c r="G74" s="167" t="str">
        <f>IFERROR(SUMIFS('caseload data'!I:I,'caseload data'!$C:$C,'divisional &amp; regional caseload%'!$B$71,'caseload data'!$D:$D,"PSO")/SUMIF('caseload data'!$C:$C,'divisional &amp; regional caseload%'!$B$71,'caseload data'!I:I),"")</f>
        <v/>
      </c>
      <c r="H74" s="167" t="str">
        <f>IFERROR(SUMIFS('caseload data'!J:J,'caseload data'!$C:$C,'divisional &amp; regional caseload%'!$B$71,'caseload data'!$D:$D,"PSO")/SUMIF('caseload data'!$C:$C,'divisional &amp; regional caseload%'!$B$71,'caseload data'!J:J),"")</f>
        <v/>
      </c>
      <c r="I74" s="167" t="str">
        <f>IFERROR(SUMIFS('caseload data'!K:K,'caseload data'!$C:$C,'divisional &amp; regional caseload%'!$B$71,'caseload data'!$D:$D,"PSO")/SUMIF('caseload data'!$C:$C,'divisional &amp; regional caseload%'!$B$71,'caseload data'!K:K),"")</f>
        <v/>
      </c>
      <c r="J74" s="167" t="str">
        <f>IFERROR(SUMIFS('caseload data'!L:L,'caseload data'!$C:$C,'divisional &amp; regional caseload%'!$B$71,'caseload data'!$D:$D,"PSO")/SUMIF('caseload data'!$C:$C,'divisional &amp; regional caseload%'!$B$71,'caseload data'!L:L),"")</f>
        <v/>
      </c>
      <c r="K74" s="167" t="str">
        <f>IFERROR(SUMIFS('caseload data'!M:M,'caseload data'!$C:$C,'divisional &amp; regional caseload%'!$B$71,'caseload data'!$D:$D,"PSO")/SUMIF('caseload data'!$C:$C,'divisional &amp; regional caseload%'!$B$71,'caseload data'!M:M),"")</f>
        <v/>
      </c>
      <c r="L74" s="167" t="str">
        <f>IFERROR(SUMIFS('caseload data'!N:N,'caseload data'!$C:$C,'divisional &amp; regional caseload%'!$B$71,'caseload data'!$D:$D,"PSO")/SUMIF('caseload data'!$C:$C,'divisional &amp; regional caseload%'!$B$71,'caseload data'!N:N),"")</f>
        <v/>
      </c>
      <c r="M74" s="167" t="str">
        <f>IFERROR(SUMIFS('caseload data'!O:O,'caseload data'!$C:$C,'divisional &amp; regional caseload%'!$B$71,'caseload data'!$D:$D,"PSO")/SUMIF('caseload data'!$C:$C,'divisional &amp; regional caseload%'!$B$71,'caseload data'!O:O),"")</f>
        <v/>
      </c>
      <c r="N74" s="167" t="str">
        <f>IFERROR(SUMIFS('caseload data'!P:P,'caseload data'!$C:$C,'divisional &amp; regional caseload%'!$B$71,'caseload data'!$D:$D,"PSO")/SUMIF('caseload data'!$C:$C,'divisional &amp; regional caseload%'!$B$71,'caseload data'!P:P),"")</f>
        <v/>
      </c>
      <c r="O74" s="167" t="str">
        <f>IFERROR(SUMIFS('caseload data'!Q:Q,'caseload data'!$C:$C,'divisional &amp; regional caseload%'!$B$71,'caseload data'!$D:$D,"PSO")/SUMIF('caseload data'!$C:$C,'divisional &amp; regional caseload%'!$B$71,'caseload data'!Q:Q),"")</f>
        <v/>
      </c>
      <c r="P74" s="167" t="str">
        <f>IFERROR(SUMIFS('caseload data'!R:R,'caseload data'!$C:$C,'divisional &amp; regional caseload%'!$B$71,'caseload data'!$D:$D,"PSO")/SUMIF('caseload data'!$C:$C,'divisional &amp; regional caseload%'!$B$71,'caseload data'!R:R),"")</f>
        <v/>
      </c>
      <c r="Q74" s="167" t="str">
        <f>IFERROR(SUMIFS('caseload data'!S:S,'caseload data'!$C:$C,'divisional &amp; regional caseload%'!$B$71,'caseload data'!$D:$D,"PSO")/SUMIF('caseload data'!$C:$C,'divisional &amp; regional caseload%'!$B$71,'caseload data'!S:S),"")</f>
        <v/>
      </c>
      <c r="R74" s="167" t="str">
        <f>IFERROR(SUMIFS('caseload data'!T:T,'caseload data'!$C:$C,'divisional &amp; regional caseload%'!$B$71,'caseload data'!$D:$D,"PSO")/SUMIF('caseload data'!$C:$C,'divisional &amp; regional caseload%'!$B$71,'caseload data'!T:T),"")</f>
        <v/>
      </c>
      <c r="T74" s="97" t="s">
        <v>1002</v>
      </c>
      <c r="U74" s="167" t="str">
        <f>IFERROR(SUMIFS('caseload data'!E:E,'caseload data'!$C:$C,'divisional &amp; regional caseload%'!$T$71,'caseload data'!$D:$D,"PSO")/SUMIF('caseload data'!$C:$C,'divisional &amp; regional caseload%'!$T$71,'caseload data'!E:E),"")</f>
        <v/>
      </c>
      <c r="V74" s="167" t="str">
        <f>IFERROR(SUMIFS('caseload data'!F:F,'caseload data'!$C:$C,'divisional &amp; regional caseload%'!$T$71,'caseload data'!$D:$D,"PSO")/SUMIF('caseload data'!$C:$C,'divisional &amp; regional caseload%'!$T$71,'caseload data'!F:F),"")</f>
        <v/>
      </c>
      <c r="W74" s="167" t="str">
        <f>IFERROR(SUMIFS('caseload data'!G:G,'caseload data'!$C:$C,'divisional &amp; regional caseload%'!$T$71,'caseload data'!$D:$D,"PSO")/SUMIF('caseload data'!$C:$C,'divisional &amp; regional caseload%'!$T$71,'caseload data'!G:G),"")</f>
        <v/>
      </c>
      <c r="X74" s="167" t="str">
        <f>IFERROR(SUMIFS('caseload data'!H:H,'caseload data'!$C:$C,'divisional &amp; regional caseload%'!$T$71,'caseload data'!$D:$D,"PSO")/SUMIF('caseload data'!$C:$C,'divisional &amp; regional caseload%'!$T$71,'caseload data'!H:H),"")</f>
        <v/>
      </c>
      <c r="Y74" s="167" t="str">
        <f>IFERROR(SUMIFS('caseload data'!I:I,'caseload data'!$C:$C,'divisional &amp; regional caseload%'!$T$71,'caseload data'!$D:$D,"PSO")/SUMIF('caseload data'!$C:$C,'divisional &amp; regional caseload%'!$T$71,'caseload data'!I:I),"")</f>
        <v/>
      </c>
      <c r="Z74" s="167" t="str">
        <f>IFERROR(SUMIFS('caseload data'!J:J,'caseload data'!$C:$C,'divisional &amp; regional caseload%'!$T$71,'caseload data'!$D:$D,"PSO")/SUMIF('caseload data'!$C:$C,'divisional &amp; regional caseload%'!$T$71,'caseload data'!J:J),"")</f>
        <v/>
      </c>
      <c r="AA74" s="167" t="str">
        <f>IFERROR(SUMIFS('caseload data'!K:K,'caseload data'!$C:$C,'divisional &amp; regional caseload%'!$T$71,'caseload data'!$D:$D,"PSO")/SUMIF('caseload data'!$C:$C,'divisional &amp; regional caseload%'!$T$71,'caseload data'!K:K),"")</f>
        <v/>
      </c>
      <c r="AB74" s="167" t="str">
        <f>IFERROR(SUMIFS('caseload data'!L:L,'caseload data'!$C:$C,'divisional &amp; regional caseload%'!$T$71,'caseload data'!$D:$D,"PSO")/SUMIF('caseload data'!$C:$C,'divisional &amp; regional caseload%'!$T$71,'caseload data'!L:L),"")</f>
        <v/>
      </c>
      <c r="AC74" s="167" t="str">
        <f>IFERROR(SUMIFS('caseload data'!M:M,'caseload data'!$C:$C,'divisional &amp; regional caseload%'!$T$71,'caseload data'!$D:$D,"PSO")/SUMIF('caseload data'!$C:$C,'divisional &amp; regional caseload%'!$T$71,'caseload data'!M:M),"")</f>
        <v/>
      </c>
      <c r="AD74" s="167" t="str">
        <f>IFERROR(SUMIFS('caseload data'!N:N,'caseload data'!$C:$C,'divisional &amp; regional caseload%'!$T$71,'caseload data'!$D:$D,"PSO")/SUMIF('caseload data'!$C:$C,'divisional &amp; regional caseload%'!$T$71,'caseload data'!N:N),"")</f>
        <v/>
      </c>
      <c r="AE74" s="167" t="str">
        <f>IFERROR(SUMIFS('caseload data'!O:O,'caseload data'!$C:$C,'divisional &amp; regional caseload%'!$T$71,'caseload data'!$D:$D,"PSO")/SUMIF('caseload data'!$C:$C,'divisional &amp; regional caseload%'!$T$71,'caseload data'!O:O),"")</f>
        <v/>
      </c>
      <c r="AF74" s="167" t="str">
        <f>IFERROR(SUMIFS('caseload data'!P:P,'caseload data'!$C:$C,'divisional &amp; regional caseload%'!$T$71,'caseload data'!$D:$D,"PSO")/SUMIF('caseload data'!$C:$C,'divisional &amp; regional caseload%'!$T$71,'caseload data'!P:P),"")</f>
        <v/>
      </c>
      <c r="AG74" s="167" t="str">
        <f>IFERROR(SUMIFS('caseload data'!Q:Q,'caseload data'!$C:$C,'divisional &amp; regional caseload%'!$T$71,'caseload data'!$D:$D,"PSO")/SUMIF('caseload data'!$C:$C,'divisional &amp; regional caseload%'!$T$71,'caseload data'!Q:Q),"")</f>
        <v/>
      </c>
      <c r="AH74" s="167" t="str">
        <f>IFERROR(SUMIFS('caseload data'!R:R,'caseload data'!$C:$C,'divisional &amp; regional caseload%'!$T$71,'caseload data'!$D:$D,"PSO")/SUMIF('caseload data'!$C:$C,'divisional &amp; regional caseload%'!$T$71,'caseload data'!R:R),"")</f>
        <v/>
      </c>
      <c r="AI74" s="167" t="str">
        <f>IFERROR(SUMIFS('caseload data'!S:S,'caseload data'!$C:$C,'divisional &amp; regional caseload%'!$T$71,'caseload data'!$D:$D,"PSO")/SUMIF('caseload data'!$C:$C,'divisional &amp; regional caseload%'!$T$71,'caseload data'!S:S),"")</f>
        <v/>
      </c>
      <c r="AJ74" s="167" t="str">
        <f>IFERROR(SUMIFS('caseload data'!T:T,'caseload data'!$C:$C,'divisional &amp; regional caseload%'!$T$71,'caseload data'!$D:$D,"PSO")/SUMIF('caseload data'!$C:$C,'divisional &amp; regional caseload%'!$T$71,'caseload data'!T:T),"")</f>
        <v/>
      </c>
    </row>
    <row r="75" spans="2:36" x14ac:dyDescent="0.15">
      <c r="B75" s="97" t="s">
        <v>1003</v>
      </c>
      <c r="C75" s="167" t="str">
        <f>IFERROR(SUMIFS('caseload data'!E:E,'caseload data'!$C:$C,'divisional &amp; regional caseload%'!$B$71,'caseload data'!$D:$D,"TPO")/SUMIF('caseload data'!$C:$C,'divisional &amp; regional caseload%'!$B$71,'caseload data'!E:E),"")</f>
        <v/>
      </c>
      <c r="D75" s="167" t="str">
        <f>IFERROR(SUMIFS('caseload data'!F:F,'caseload data'!$C:$C,'divisional &amp; regional caseload%'!$B$71,'caseload data'!$D:$D,"TPO")/SUMIF('caseload data'!$C:$C,'divisional &amp; regional caseload%'!$B$71,'caseload data'!F:F),"")</f>
        <v/>
      </c>
      <c r="E75" s="167" t="str">
        <f>IFERROR(SUMIFS('caseload data'!G:G,'caseload data'!$C:$C,'divisional &amp; regional caseload%'!$B$71,'caseload data'!$D:$D,"TPO")/SUMIF('caseload data'!$C:$C,'divisional &amp; regional caseload%'!$B$71,'caseload data'!G:G),"")</f>
        <v/>
      </c>
      <c r="F75" s="167" t="str">
        <f>IFERROR(SUMIFS('caseload data'!H:H,'caseload data'!$C:$C,'divisional &amp; regional caseload%'!$B$71,'caseload data'!$D:$D,"TPO")/SUMIF('caseload data'!$C:$C,'divisional &amp; regional caseload%'!$B$71,'caseload data'!H:H),"")</f>
        <v/>
      </c>
      <c r="G75" s="167" t="str">
        <f>IFERROR(SUMIFS('caseload data'!I:I,'caseload data'!$C:$C,'divisional &amp; regional caseload%'!$B$71,'caseload data'!$D:$D,"TPO")/SUMIF('caseload data'!$C:$C,'divisional &amp; regional caseload%'!$B$71,'caseload data'!I:I),"")</f>
        <v/>
      </c>
      <c r="H75" s="167" t="str">
        <f>IFERROR(SUMIFS('caseload data'!J:J,'caseload data'!$C:$C,'divisional &amp; regional caseload%'!$B$71,'caseload data'!$D:$D,"TPO")/SUMIF('caseload data'!$C:$C,'divisional &amp; regional caseload%'!$B$71,'caseload data'!J:J),"")</f>
        <v/>
      </c>
      <c r="I75" s="167" t="str">
        <f>IFERROR(SUMIFS('caseload data'!K:K,'caseload data'!$C:$C,'divisional &amp; regional caseload%'!$B$71,'caseload data'!$D:$D,"TPO")/SUMIF('caseload data'!$C:$C,'divisional &amp; regional caseload%'!$B$71,'caseload data'!K:K),"")</f>
        <v/>
      </c>
      <c r="J75" s="167" t="str">
        <f>IFERROR(SUMIFS('caseload data'!L:L,'caseload data'!$C:$C,'divisional &amp; regional caseload%'!$B$71,'caseload data'!$D:$D,"TPO")/SUMIF('caseload data'!$C:$C,'divisional &amp; regional caseload%'!$B$71,'caseload data'!L:L),"")</f>
        <v/>
      </c>
      <c r="K75" s="167" t="str">
        <f>IFERROR(SUMIFS('caseload data'!M:M,'caseload data'!$C:$C,'divisional &amp; regional caseload%'!$B$71,'caseload data'!$D:$D,"TPO")/SUMIF('caseload data'!$C:$C,'divisional &amp; regional caseload%'!$B$71,'caseload data'!M:M),"")</f>
        <v/>
      </c>
      <c r="L75" s="167" t="str">
        <f>IFERROR(SUMIFS('caseload data'!N:N,'caseload data'!$C:$C,'divisional &amp; regional caseload%'!$B$71,'caseload data'!$D:$D,"TPO")/SUMIF('caseload data'!$C:$C,'divisional &amp; regional caseload%'!$B$71,'caseload data'!N:N),"")</f>
        <v/>
      </c>
      <c r="M75" s="167" t="str">
        <f>IFERROR(SUMIFS('caseload data'!O:O,'caseload data'!$C:$C,'divisional &amp; regional caseload%'!$B$71,'caseload data'!$D:$D,"TPO")/SUMIF('caseload data'!$C:$C,'divisional &amp; regional caseload%'!$B$71,'caseload data'!O:O),"")</f>
        <v/>
      </c>
      <c r="N75" s="167" t="str">
        <f>IFERROR(SUMIFS('caseload data'!P:P,'caseload data'!$C:$C,'divisional &amp; regional caseload%'!$B$71,'caseload data'!$D:$D,"TPO")/SUMIF('caseload data'!$C:$C,'divisional &amp; regional caseload%'!$B$71,'caseload data'!P:P),"")</f>
        <v/>
      </c>
      <c r="O75" s="167" t="str">
        <f>IFERROR(SUMIFS('caseload data'!Q:Q,'caseload data'!$C:$C,'divisional &amp; regional caseload%'!$B$71,'caseload data'!$D:$D,"TPO")/SUMIF('caseload data'!$C:$C,'divisional &amp; regional caseload%'!$B$71,'caseload data'!Q:Q),"")</f>
        <v/>
      </c>
      <c r="P75" s="167" t="str">
        <f>IFERROR(SUMIFS('caseload data'!R:R,'caseload data'!$C:$C,'divisional &amp; regional caseload%'!$B$71,'caseload data'!$D:$D,"TPO")/SUMIF('caseload data'!$C:$C,'divisional &amp; regional caseload%'!$B$71,'caseload data'!R:R),"")</f>
        <v/>
      </c>
      <c r="Q75" s="167" t="str">
        <f>IFERROR(SUMIFS('caseload data'!S:S,'caseload data'!$C:$C,'divisional &amp; regional caseload%'!$B$71,'caseload data'!$D:$D,"TPO")/SUMIF('caseload data'!$C:$C,'divisional &amp; regional caseload%'!$B$71,'caseload data'!S:S),"")</f>
        <v/>
      </c>
      <c r="R75" s="167" t="str">
        <f>IFERROR(SUMIFS('caseload data'!T:T,'caseload data'!$C:$C,'divisional &amp; regional caseload%'!$B$71,'caseload data'!$D:$D,"TPO")/SUMIF('caseload data'!$C:$C,'divisional &amp; regional caseload%'!$B$71,'caseload data'!T:T),"")</f>
        <v/>
      </c>
      <c r="T75" s="97" t="s">
        <v>1003</v>
      </c>
      <c r="U75" s="167" t="str">
        <f>IFERROR(SUMIFS('caseload data'!E:E,'caseload data'!$C:$C,'divisional &amp; regional caseload%'!$T$71,'caseload data'!$D:$D,"TPO")/SUMIF('caseload data'!$C:$C,'divisional &amp; regional caseload%'!$T$71,'caseload data'!E:E),"")</f>
        <v/>
      </c>
      <c r="V75" s="167" t="str">
        <f>IFERROR(SUMIFS('caseload data'!F:F,'caseload data'!$C:$C,'divisional &amp; regional caseload%'!$T$71,'caseload data'!$D:$D,"TPO")/SUMIF('caseload data'!$C:$C,'divisional &amp; regional caseload%'!$T$71,'caseload data'!F:F),"")</f>
        <v/>
      </c>
      <c r="W75" s="167" t="str">
        <f>IFERROR(SUMIFS('caseload data'!G:G,'caseload data'!$C:$C,'divisional &amp; regional caseload%'!$T$71,'caseload data'!$D:$D,"TPO")/SUMIF('caseload data'!$C:$C,'divisional &amp; regional caseload%'!$T$71,'caseload data'!G:G),"")</f>
        <v/>
      </c>
      <c r="X75" s="167" t="str">
        <f>IFERROR(SUMIFS('caseload data'!H:H,'caseload data'!$C:$C,'divisional &amp; regional caseload%'!$T$71,'caseload data'!$D:$D,"TPO")/SUMIF('caseload data'!$C:$C,'divisional &amp; regional caseload%'!$T$71,'caseload data'!H:H),"")</f>
        <v/>
      </c>
      <c r="Y75" s="167" t="str">
        <f>IFERROR(SUMIFS('caseload data'!I:I,'caseload data'!$C:$C,'divisional &amp; regional caseload%'!$T$71,'caseload data'!$D:$D,"TPO")/SUMIF('caseload data'!$C:$C,'divisional &amp; regional caseload%'!$T$71,'caseload data'!I:I),"")</f>
        <v/>
      </c>
      <c r="Z75" s="167" t="str">
        <f>IFERROR(SUMIFS('caseload data'!J:J,'caseload data'!$C:$C,'divisional &amp; regional caseload%'!$T$71,'caseload data'!$D:$D,"TPO")/SUMIF('caseload data'!$C:$C,'divisional &amp; regional caseload%'!$T$71,'caseload data'!J:J),"")</f>
        <v/>
      </c>
      <c r="AA75" s="167" t="str">
        <f>IFERROR(SUMIFS('caseload data'!K:K,'caseload data'!$C:$C,'divisional &amp; regional caseload%'!$T$71,'caseload data'!$D:$D,"TPO")/SUMIF('caseload data'!$C:$C,'divisional &amp; regional caseload%'!$T$71,'caseload data'!K:K),"")</f>
        <v/>
      </c>
      <c r="AB75" s="167" t="str">
        <f>IFERROR(SUMIFS('caseload data'!L:L,'caseload data'!$C:$C,'divisional &amp; regional caseload%'!$T$71,'caseload data'!$D:$D,"TPO")/SUMIF('caseload data'!$C:$C,'divisional &amp; regional caseload%'!$T$71,'caseload data'!L:L),"")</f>
        <v/>
      </c>
      <c r="AC75" s="167" t="str">
        <f>IFERROR(SUMIFS('caseload data'!M:M,'caseload data'!$C:$C,'divisional &amp; regional caseload%'!$T$71,'caseload data'!$D:$D,"TPO")/SUMIF('caseload data'!$C:$C,'divisional &amp; regional caseload%'!$T$71,'caseload data'!M:M),"")</f>
        <v/>
      </c>
      <c r="AD75" s="167" t="str">
        <f>IFERROR(SUMIFS('caseload data'!N:N,'caseload data'!$C:$C,'divisional &amp; regional caseload%'!$T$71,'caseload data'!$D:$D,"TPO")/SUMIF('caseload data'!$C:$C,'divisional &amp; regional caseload%'!$T$71,'caseload data'!N:N),"")</f>
        <v/>
      </c>
      <c r="AE75" s="167" t="str">
        <f>IFERROR(SUMIFS('caseload data'!O:O,'caseload data'!$C:$C,'divisional &amp; regional caseload%'!$T$71,'caseload data'!$D:$D,"TPO")/SUMIF('caseload data'!$C:$C,'divisional &amp; regional caseload%'!$T$71,'caseload data'!O:O),"")</f>
        <v/>
      </c>
      <c r="AF75" s="167" t="str">
        <f>IFERROR(SUMIFS('caseload data'!P:P,'caseload data'!$C:$C,'divisional &amp; regional caseload%'!$T$71,'caseload data'!$D:$D,"TPO")/SUMIF('caseload data'!$C:$C,'divisional &amp; regional caseload%'!$T$71,'caseload data'!P:P),"")</f>
        <v/>
      </c>
      <c r="AG75" s="167" t="str">
        <f>IFERROR(SUMIFS('caseload data'!Q:Q,'caseload data'!$C:$C,'divisional &amp; regional caseload%'!$T$71,'caseload data'!$D:$D,"TPO")/SUMIF('caseload data'!$C:$C,'divisional &amp; regional caseload%'!$T$71,'caseload data'!Q:Q),"")</f>
        <v/>
      </c>
      <c r="AH75" s="167" t="str">
        <f>IFERROR(SUMIFS('caseload data'!R:R,'caseload data'!$C:$C,'divisional &amp; regional caseload%'!$T$71,'caseload data'!$D:$D,"TPO")/SUMIF('caseload data'!$C:$C,'divisional &amp; regional caseload%'!$T$71,'caseload data'!R:R),"")</f>
        <v/>
      </c>
      <c r="AI75" s="167" t="str">
        <f>IFERROR(SUMIFS('caseload data'!S:S,'caseload data'!$C:$C,'divisional &amp; regional caseload%'!$T$71,'caseload data'!$D:$D,"TPO")/SUMIF('caseload data'!$C:$C,'divisional &amp; regional caseload%'!$T$71,'caseload data'!S:S),"")</f>
        <v/>
      </c>
      <c r="AJ75" s="167" t="str">
        <f>IFERROR(SUMIFS('caseload data'!T:T,'caseload data'!$C:$C,'divisional &amp; regional caseload%'!$T$71,'caseload data'!$D:$D,"TPO")/SUMIF('caseload data'!$C:$C,'divisional &amp; regional caseload%'!$T$71,'caseload data'!T:T),"")</f>
        <v/>
      </c>
    </row>
    <row r="76" spans="2:36" x14ac:dyDescent="0.15">
      <c r="B76" s="98" t="s">
        <v>1004</v>
      </c>
      <c r="C76" s="167" t="str">
        <f>IFERROR(SUMIFS('caseload data'!E:E,'caseload data'!$C:$C,'divisional &amp; regional caseload%'!$B$71,'caseload data'!$D:$D,"SPO")/SUMIF('caseload data'!$C:$C,'divisional &amp; regional caseload%'!$B$71,'caseload data'!E:E),"")</f>
        <v/>
      </c>
      <c r="D76" s="167" t="str">
        <f>IFERROR(SUMIFS('caseload data'!F:F,'caseload data'!$C:$C,'divisional &amp; regional caseload%'!$B$71,'caseload data'!$D:$D,"SPO")/SUMIF('caseload data'!$C:$C,'divisional &amp; regional caseload%'!$B$71,'caseload data'!F:F),"")</f>
        <v/>
      </c>
      <c r="E76" s="167" t="str">
        <f>IFERROR(SUMIFS('caseload data'!G:G,'caseload data'!$C:$C,'divisional &amp; regional caseload%'!$B$71,'caseload data'!$D:$D,"SPO")/SUMIF('caseload data'!$C:$C,'divisional &amp; regional caseload%'!$B$71,'caseload data'!G:G),"")</f>
        <v/>
      </c>
      <c r="F76" s="167" t="str">
        <f>IFERROR(SUMIFS('caseload data'!H:H,'caseload data'!$C:$C,'divisional &amp; regional caseload%'!$B$71,'caseload data'!$D:$D,"SPO")/SUMIF('caseload data'!$C:$C,'divisional &amp; regional caseload%'!$B$71,'caseload data'!H:H),"")</f>
        <v/>
      </c>
      <c r="G76" s="167" t="str">
        <f>IFERROR(SUMIFS('caseload data'!I:I,'caseload data'!$C:$C,'divisional &amp; regional caseload%'!$B$71,'caseload data'!$D:$D,"SPO")/SUMIF('caseload data'!$C:$C,'divisional &amp; regional caseload%'!$B$71,'caseload data'!I:I),"")</f>
        <v/>
      </c>
      <c r="H76" s="167" t="str">
        <f>IFERROR(SUMIFS('caseload data'!J:J,'caseload data'!$C:$C,'divisional &amp; regional caseload%'!$B$71,'caseload data'!$D:$D,"SPO")/SUMIF('caseload data'!$C:$C,'divisional &amp; regional caseload%'!$B$71,'caseload data'!J:J),"")</f>
        <v/>
      </c>
      <c r="I76" s="167" t="str">
        <f>IFERROR(SUMIFS('caseload data'!K:K,'caseload data'!$C:$C,'divisional &amp; regional caseload%'!$B$71,'caseload data'!$D:$D,"SPO")/SUMIF('caseload data'!$C:$C,'divisional &amp; regional caseload%'!$B$71,'caseload data'!K:K),"")</f>
        <v/>
      </c>
      <c r="J76" s="167" t="str">
        <f>IFERROR(SUMIFS('caseload data'!L:L,'caseload data'!$C:$C,'divisional &amp; regional caseload%'!$B$71,'caseload data'!$D:$D,"SPO")/SUMIF('caseload data'!$C:$C,'divisional &amp; regional caseload%'!$B$71,'caseload data'!L:L),"")</f>
        <v/>
      </c>
      <c r="K76" s="167" t="str">
        <f>IFERROR(SUMIFS('caseload data'!M:M,'caseload data'!$C:$C,'divisional &amp; regional caseload%'!$B$71,'caseload data'!$D:$D,"SPO")/SUMIF('caseload data'!$C:$C,'divisional &amp; regional caseload%'!$B$71,'caseload data'!M:M),"")</f>
        <v/>
      </c>
      <c r="L76" s="167" t="str">
        <f>IFERROR(SUMIFS('caseload data'!N:N,'caseload data'!$C:$C,'divisional &amp; regional caseload%'!$B$71,'caseload data'!$D:$D,"SPO")/SUMIF('caseload data'!$C:$C,'divisional &amp; regional caseload%'!$B$71,'caseload data'!N:N),"")</f>
        <v/>
      </c>
      <c r="M76" s="167" t="str">
        <f>IFERROR(SUMIFS('caseload data'!O:O,'caseload data'!$C:$C,'divisional &amp; regional caseload%'!$B$71,'caseload data'!$D:$D,"SPO")/SUMIF('caseload data'!$C:$C,'divisional &amp; regional caseload%'!$B$71,'caseload data'!O:O),"")</f>
        <v/>
      </c>
      <c r="N76" s="167" t="str">
        <f>IFERROR(SUMIFS('caseload data'!P:P,'caseload data'!$C:$C,'divisional &amp; regional caseload%'!$B$71,'caseload data'!$D:$D,"SPO")/SUMIF('caseload data'!$C:$C,'divisional &amp; regional caseload%'!$B$71,'caseload data'!P:P),"")</f>
        <v/>
      </c>
      <c r="O76" s="167" t="str">
        <f>IFERROR(SUMIFS('caseload data'!Q:Q,'caseload data'!$C:$C,'divisional &amp; regional caseload%'!$B$71,'caseload data'!$D:$D,"SPO")/SUMIF('caseload data'!$C:$C,'divisional &amp; regional caseload%'!$B$71,'caseload data'!Q:Q),"")</f>
        <v/>
      </c>
      <c r="P76" s="167" t="str">
        <f>IFERROR(SUMIFS('caseload data'!R:R,'caseload data'!$C:$C,'divisional &amp; regional caseload%'!$B$71,'caseload data'!$D:$D,"SPO")/SUMIF('caseload data'!$C:$C,'divisional &amp; regional caseload%'!$B$71,'caseload data'!R:R),"")</f>
        <v/>
      </c>
      <c r="Q76" s="167" t="str">
        <f>IFERROR(SUMIFS('caseload data'!S:S,'caseload data'!$C:$C,'divisional &amp; regional caseload%'!$B$71,'caseload data'!$D:$D,"SPO")/SUMIF('caseload data'!$C:$C,'divisional &amp; regional caseload%'!$B$71,'caseload data'!S:S),"")</f>
        <v/>
      </c>
      <c r="R76" s="167" t="str">
        <f>IFERROR(SUMIFS('caseload data'!T:T,'caseload data'!$C:$C,'divisional &amp; regional caseload%'!$B$71,'caseload data'!$D:$D,"SPO")/SUMIF('caseload data'!$C:$C,'divisional &amp; regional caseload%'!$B$71,'caseload data'!T:T),"")</f>
        <v/>
      </c>
      <c r="T76" s="98" t="s">
        <v>1004</v>
      </c>
      <c r="U76" s="167" t="str">
        <f>IFERROR(SUMIFS('caseload data'!E:E,'caseload data'!$C:$C,'divisional &amp; regional caseload%'!$T$71,'caseload data'!$D:$D,"SPO")/SUMIF('caseload data'!$C:$C,'divisional &amp; regional caseload%'!$T$71,'caseload data'!E:E),"")</f>
        <v/>
      </c>
      <c r="V76" s="167" t="str">
        <f>IFERROR(SUMIFS('caseload data'!F:F,'caseload data'!$C:$C,'divisional &amp; regional caseload%'!$T$71,'caseload data'!$D:$D,"SPO")/SUMIF('caseload data'!$C:$C,'divisional &amp; regional caseload%'!$T$71,'caseload data'!F:F),"")</f>
        <v/>
      </c>
      <c r="W76" s="167" t="str">
        <f>IFERROR(SUMIFS('caseload data'!G:G,'caseload data'!$C:$C,'divisional &amp; regional caseload%'!$T$71,'caseload data'!$D:$D,"SPO")/SUMIF('caseload data'!$C:$C,'divisional &amp; regional caseload%'!$T$71,'caseload data'!G:G),"")</f>
        <v/>
      </c>
      <c r="X76" s="167" t="str">
        <f>IFERROR(SUMIFS('caseload data'!H:H,'caseload data'!$C:$C,'divisional &amp; regional caseload%'!$T$71,'caseload data'!$D:$D,"SPO")/SUMIF('caseload data'!$C:$C,'divisional &amp; regional caseload%'!$T$71,'caseload data'!H:H),"")</f>
        <v/>
      </c>
      <c r="Y76" s="167" t="str">
        <f>IFERROR(SUMIFS('caseload data'!I:I,'caseload data'!$C:$C,'divisional &amp; regional caseload%'!$T$71,'caseload data'!$D:$D,"SPO")/SUMIF('caseload data'!$C:$C,'divisional &amp; regional caseload%'!$T$71,'caseload data'!I:I),"")</f>
        <v/>
      </c>
      <c r="Z76" s="167" t="str">
        <f>IFERROR(SUMIFS('caseload data'!J:J,'caseload data'!$C:$C,'divisional &amp; regional caseload%'!$T$71,'caseload data'!$D:$D,"SPO")/SUMIF('caseload data'!$C:$C,'divisional &amp; regional caseload%'!$T$71,'caseload data'!J:J),"")</f>
        <v/>
      </c>
      <c r="AA76" s="167" t="str">
        <f>IFERROR(SUMIFS('caseload data'!K:K,'caseload data'!$C:$C,'divisional &amp; regional caseload%'!$T$71,'caseload data'!$D:$D,"SPO")/SUMIF('caseload data'!$C:$C,'divisional &amp; regional caseload%'!$T$71,'caseload data'!K:K),"")</f>
        <v/>
      </c>
      <c r="AB76" s="167" t="str">
        <f>IFERROR(SUMIFS('caseload data'!L:L,'caseload data'!$C:$C,'divisional &amp; regional caseload%'!$T$71,'caseload data'!$D:$D,"SPO")/SUMIF('caseload data'!$C:$C,'divisional &amp; regional caseload%'!$T$71,'caseload data'!L:L),"")</f>
        <v/>
      </c>
      <c r="AC76" s="167" t="str">
        <f>IFERROR(SUMIFS('caseload data'!M:M,'caseload data'!$C:$C,'divisional &amp; regional caseload%'!$T$71,'caseload data'!$D:$D,"SPO")/SUMIF('caseload data'!$C:$C,'divisional &amp; regional caseload%'!$T$71,'caseload data'!M:M),"")</f>
        <v/>
      </c>
      <c r="AD76" s="167" t="str">
        <f>IFERROR(SUMIFS('caseload data'!N:N,'caseload data'!$C:$C,'divisional &amp; regional caseload%'!$T$71,'caseload data'!$D:$D,"SPO")/SUMIF('caseload data'!$C:$C,'divisional &amp; regional caseload%'!$T$71,'caseload data'!N:N),"")</f>
        <v/>
      </c>
      <c r="AE76" s="167" t="str">
        <f>IFERROR(SUMIFS('caseload data'!O:O,'caseload data'!$C:$C,'divisional &amp; regional caseload%'!$T$71,'caseload data'!$D:$D,"SPO")/SUMIF('caseload data'!$C:$C,'divisional &amp; regional caseload%'!$T$71,'caseload data'!O:O),"")</f>
        <v/>
      </c>
      <c r="AF76" s="167" t="str">
        <f>IFERROR(SUMIFS('caseload data'!P:P,'caseload data'!$C:$C,'divisional &amp; regional caseload%'!$T$71,'caseload data'!$D:$D,"SPO")/SUMIF('caseload data'!$C:$C,'divisional &amp; regional caseload%'!$T$71,'caseload data'!P:P),"")</f>
        <v/>
      </c>
      <c r="AG76" s="167" t="str">
        <f>IFERROR(SUMIFS('caseload data'!Q:Q,'caseload data'!$C:$C,'divisional &amp; regional caseload%'!$T$71,'caseload data'!$D:$D,"SPO")/SUMIF('caseload data'!$C:$C,'divisional &amp; regional caseload%'!$T$71,'caseload data'!Q:Q),"")</f>
        <v/>
      </c>
      <c r="AH76" s="167" t="str">
        <f>IFERROR(SUMIFS('caseload data'!R:R,'caseload data'!$C:$C,'divisional &amp; regional caseload%'!$T$71,'caseload data'!$D:$D,"SPO")/SUMIF('caseload data'!$C:$C,'divisional &amp; regional caseload%'!$T$71,'caseload data'!R:R),"")</f>
        <v/>
      </c>
      <c r="AI76" s="167" t="str">
        <f>IFERROR(SUMIFS('caseload data'!S:S,'caseload data'!$C:$C,'divisional &amp; regional caseload%'!$T$71,'caseload data'!$D:$D,"SPO")/SUMIF('caseload data'!$C:$C,'divisional &amp; regional caseload%'!$T$71,'caseload data'!S:S),"")</f>
        <v/>
      </c>
      <c r="AJ76" s="167" t="str">
        <f>IFERROR(SUMIFS('caseload data'!T:T,'caseload data'!$C:$C,'divisional &amp; regional caseload%'!$T$71,'caseload data'!$D:$D,"SPO")/SUMIF('caseload data'!$C:$C,'divisional &amp; regional caseload%'!$T$71,'caseload data'!T:T),"")</f>
        <v/>
      </c>
    </row>
    <row r="78" spans="2:36" ht="24" customHeight="1" x14ac:dyDescent="0.15">
      <c r="B78" s="289">
        <f>HLOOKUP($B$5,Region_Table,22,0)</f>
        <v>0</v>
      </c>
      <c r="C78" s="525" t="s">
        <v>1096</v>
      </c>
      <c r="D78" s="526"/>
      <c r="E78" s="526"/>
      <c r="F78" s="526"/>
      <c r="G78" s="526"/>
      <c r="H78" s="526"/>
      <c r="I78" s="526"/>
      <c r="J78" s="526"/>
      <c r="K78" s="526"/>
      <c r="L78" s="526"/>
      <c r="M78" s="527"/>
      <c r="N78" s="527"/>
      <c r="O78" s="528"/>
      <c r="P78" s="512">
        <f>SUMIF('caseload data'!$C:$C,'divisional &amp; regional caseload%'!B78,'caseload data'!V:V)</f>
        <v>0</v>
      </c>
      <c r="Q78" s="529"/>
      <c r="R78" s="530"/>
      <c r="T78" s="289">
        <f>HLOOKUP($B$5,Region_Table,23,0)</f>
        <v>0</v>
      </c>
      <c r="U78" s="525" t="s">
        <v>1096</v>
      </c>
      <c r="V78" s="526"/>
      <c r="W78" s="526"/>
      <c r="X78" s="526"/>
      <c r="Y78" s="526"/>
      <c r="Z78" s="526"/>
      <c r="AA78" s="526"/>
      <c r="AB78" s="526"/>
      <c r="AC78" s="526"/>
      <c r="AD78" s="526"/>
      <c r="AE78" s="527"/>
      <c r="AF78" s="527"/>
      <c r="AG78" s="528"/>
      <c r="AH78" s="512">
        <f>SUMIF('caseload data'!$C:$C,'divisional &amp; regional caseload%'!T78,'caseload data'!V:V)</f>
        <v>0</v>
      </c>
      <c r="AI78" s="529"/>
      <c r="AJ78" s="530"/>
    </row>
    <row r="79" spans="2:36" x14ac:dyDescent="0.15">
      <c r="B79" s="95" t="s">
        <v>1001</v>
      </c>
      <c r="C79" s="38" t="s">
        <v>864</v>
      </c>
      <c r="D79" s="38" t="s">
        <v>865</v>
      </c>
      <c r="E79" s="38" t="s">
        <v>866</v>
      </c>
      <c r="F79" s="38" t="s">
        <v>867</v>
      </c>
      <c r="G79" s="38" t="s">
        <v>868</v>
      </c>
      <c r="H79" s="38" t="s">
        <v>869</v>
      </c>
      <c r="I79" s="38" t="s">
        <v>870</v>
      </c>
      <c r="J79" s="38" t="s">
        <v>871</v>
      </c>
      <c r="K79" s="38" t="s">
        <v>872</v>
      </c>
      <c r="L79" s="38" t="s">
        <v>873</v>
      </c>
      <c r="M79" s="38" t="s">
        <v>874</v>
      </c>
      <c r="N79" s="38" t="s">
        <v>875</v>
      </c>
      <c r="O79" s="38" t="s">
        <v>876</v>
      </c>
      <c r="P79" s="38" t="s">
        <v>877</v>
      </c>
      <c r="Q79" s="38" t="s">
        <v>878</v>
      </c>
      <c r="R79" s="38" t="s">
        <v>879</v>
      </c>
      <c r="T79" s="95" t="s">
        <v>1001</v>
      </c>
      <c r="U79" s="38" t="s">
        <v>864</v>
      </c>
      <c r="V79" s="38" t="s">
        <v>865</v>
      </c>
      <c r="W79" s="38" t="s">
        <v>866</v>
      </c>
      <c r="X79" s="38" t="s">
        <v>867</v>
      </c>
      <c r="Y79" s="38" t="s">
        <v>868</v>
      </c>
      <c r="Z79" s="38" t="s">
        <v>869</v>
      </c>
      <c r="AA79" s="38" t="s">
        <v>870</v>
      </c>
      <c r="AB79" s="38" t="s">
        <v>871</v>
      </c>
      <c r="AC79" s="38" t="s">
        <v>872</v>
      </c>
      <c r="AD79" s="38" t="s">
        <v>873</v>
      </c>
      <c r="AE79" s="38" t="s">
        <v>874</v>
      </c>
      <c r="AF79" s="38" t="s">
        <v>875</v>
      </c>
      <c r="AG79" s="38" t="s">
        <v>876</v>
      </c>
      <c r="AH79" s="38" t="s">
        <v>877</v>
      </c>
      <c r="AI79" s="38" t="s">
        <v>878</v>
      </c>
      <c r="AJ79" s="38" t="s">
        <v>879</v>
      </c>
    </row>
    <row r="80" spans="2:36" x14ac:dyDescent="0.15">
      <c r="B80" s="96" t="s">
        <v>997</v>
      </c>
      <c r="C80" s="167" t="str">
        <f>IFERROR(SUMIFS('caseload data'!E:E,'caseload data'!$C:$C,'divisional &amp; regional caseload%'!$B$78,'caseload data'!$D:$D,"PO")/SUMIF('caseload data'!$C:$C,'divisional &amp; regional caseload%'!$B$78,'caseload data'!E:E),"")</f>
        <v/>
      </c>
      <c r="D80" s="167" t="str">
        <f>IFERROR(SUMIFS('caseload data'!F:F,'caseload data'!$C:$C,'divisional &amp; regional caseload%'!$B$78,'caseload data'!$D:$D,"PO")/SUMIF('caseload data'!$C:$C,'divisional &amp; regional caseload%'!$B$78,'caseload data'!F:F),"")</f>
        <v/>
      </c>
      <c r="E80" s="167" t="str">
        <f>IFERROR(SUMIFS('caseload data'!G:G,'caseload data'!$C:$C,'divisional &amp; regional caseload%'!$B$78,'caseload data'!$D:$D,"PO")/SUMIF('caseload data'!$C:$C,'divisional &amp; regional caseload%'!$B$78,'caseload data'!G:G),"")</f>
        <v/>
      </c>
      <c r="F80" s="167" t="str">
        <f>IFERROR(SUMIFS('caseload data'!H:H,'caseload data'!$C:$C,'divisional &amp; regional caseload%'!$B$78,'caseload data'!$D:$D,"PO")/SUMIF('caseload data'!$C:$C,'divisional &amp; regional caseload%'!$B$78,'caseload data'!H:H),"")</f>
        <v/>
      </c>
      <c r="G80" s="167" t="str">
        <f>IFERROR(SUMIFS('caseload data'!I:I,'caseload data'!$C:$C,'divisional &amp; regional caseload%'!$B$78,'caseload data'!$D:$D,"PO")/SUMIF('caseload data'!$C:$C,'divisional &amp; regional caseload%'!$B$78,'caseload data'!I:I),"")</f>
        <v/>
      </c>
      <c r="H80" s="167" t="str">
        <f>IFERROR(SUMIFS('caseload data'!J:J,'caseload data'!$C:$C,'divisional &amp; regional caseload%'!$B$78,'caseload data'!$D:$D,"PO")/SUMIF('caseload data'!$C:$C,'divisional &amp; regional caseload%'!$B$78,'caseload data'!J:J),"")</f>
        <v/>
      </c>
      <c r="I80" s="167" t="str">
        <f>IFERROR(SUMIFS('caseload data'!K:K,'caseload data'!$C:$C,'divisional &amp; regional caseload%'!$B$78,'caseload data'!$D:$D,"PO")/SUMIF('caseload data'!$C:$C,'divisional &amp; regional caseload%'!$B$78,'caseload data'!K:K),"")</f>
        <v/>
      </c>
      <c r="J80" s="167" t="str">
        <f>IFERROR(SUMIFS('caseload data'!L:L,'caseload data'!$C:$C,'divisional &amp; regional caseload%'!$B$78,'caseload data'!$D:$D,"PO")/SUMIF('caseload data'!$C:$C,'divisional &amp; regional caseload%'!$B$78,'caseload data'!L:L),"")</f>
        <v/>
      </c>
      <c r="K80" s="167" t="str">
        <f>IFERROR(SUMIFS('caseload data'!M:M,'caseload data'!$C:$C,'divisional &amp; regional caseload%'!$B$78,'caseload data'!$D:$D,"PO")/SUMIF('caseload data'!$C:$C,'divisional &amp; regional caseload%'!$B$78,'caseload data'!M:M),"")</f>
        <v/>
      </c>
      <c r="L80" s="167" t="str">
        <f>IFERROR(SUMIFS('caseload data'!N:N,'caseload data'!$C:$C,'divisional &amp; regional caseload%'!$B$78,'caseload data'!$D:$D,"PO")/SUMIF('caseload data'!$C:$C,'divisional &amp; regional caseload%'!$B$78,'caseload data'!N:N),"")</f>
        <v/>
      </c>
      <c r="M80" s="167" t="str">
        <f>IFERROR(SUMIFS('caseload data'!O:O,'caseload data'!$C:$C,'divisional &amp; regional caseload%'!$B$78,'caseload data'!$D:$D,"PO")/SUMIF('caseload data'!$C:$C,'divisional &amp; regional caseload%'!$B$78,'caseload data'!O:O),"")</f>
        <v/>
      </c>
      <c r="N80" s="167" t="str">
        <f>IFERROR(SUMIFS('caseload data'!P:P,'caseload data'!$C:$C,'divisional &amp; regional caseload%'!$B$78,'caseload data'!$D:$D,"PO")/SUMIF('caseload data'!$C:$C,'divisional &amp; regional caseload%'!$B$78,'caseload data'!P:P),"")</f>
        <v/>
      </c>
      <c r="O80" s="167" t="str">
        <f>IFERROR(SUMIFS('caseload data'!Q:Q,'caseload data'!$C:$C,'divisional &amp; regional caseload%'!$B$78,'caseload data'!$D:$D,"PO")/SUMIF('caseload data'!$C:$C,'divisional &amp; regional caseload%'!$B$78,'caseload data'!Q:Q),"")</f>
        <v/>
      </c>
      <c r="P80" s="167" t="str">
        <f>IFERROR(SUMIFS('caseload data'!R:R,'caseload data'!$C:$C,'divisional &amp; regional caseload%'!$B$78,'caseload data'!$D:$D,"PO")/SUMIF('caseload data'!$C:$C,'divisional &amp; regional caseload%'!$B$78,'caseload data'!R:R),"")</f>
        <v/>
      </c>
      <c r="Q80" s="167" t="str">
        <f>IFERROR(SUMIFS('caseload data'!S:S,'caseload data'!$C:$C,'divisional &amp; regional caseload%'!$B$78,'caseload data'!$D:$D,"PO")/SUMIF('caseload data'!$C:$C,'divisional &amp; regional caseload%'!$B$78,'caseload data'!S:S),"")</f>
        <v/>
      </c>
      <c r="R80" s="167" t="str">
        <f>IFERROR(SUMIFS('caseload data'!T:T,'caseload data'!$C:$C,'divisional &amp; regional caseload%'!$B$78,'caseload data'!$D:$D,"PO")/SUMIF('caseload data'!$C:$C,'divisional &amp; regional caseload%'!$B$78,'caseload data'!T:T),"")</f>
        <v/>
      </c>
      <c r="T80" s="96" t="s">
        <v>997</v>
      </c>
      <c r="U80" s="167" t="str">
        <f>IFERROR(SUMIFS('caseload data'!E:E,'caseload data'!$C:$C,'divisional &amp; regional caseload%'!$T$78,'caseload data'!$D:$D,"PO")/SUMIF('caseload data'!$C:$C,'divisional &amp; regional caseload%'!$T$78,'caseload data'!E:E),"")</f>
        <v/>
      </c>
      <c r="V80" s="167" t="str">
        <f>IFERROR(SUMIFS('caseload data'!F:F,'caseload data'!$C:$C,'divisional &amp; regional caseload%'!$T$78,'caseload data'!$D:$D,"PO")/SUMIF('caseload data'!$C:$C,'divisional &amp; regional caseload%'!$T$78,'caseload data'!F:F),"")</f>
        <v/>
      </c>
      <c r="W80" s="167" t="str">
        <f>IFERROR(SUMIFS('caseload data'!G:G,'caseload data'!$C:$C,'divisional &amp; regional caseload%'!$T$78,'caseload data'!$D:$D,"PO")/SUMIF('caseload data'!$C:$C,'divisional &amp; regional caseload%'!$T$78,'caseload data'!G:G),"")</f>
        <v/>
      </c>
      <c r="X80" s="167" t="str">
        <f>IFERROR(SUMIFS('caseload data'!H:H,'caseload data'!$C:$C,'divisional &amp; regional caseload%'!$T$78,'caseload data'!$D:$D,"PO")/SUMIF('caseload data'!$C:$C,'divisional &amp; regional caseload%'!$T$78,'caseload data'!H:H),"")</f>
        <v/>
      </c>
      <c r="Y80" s="167" t="str">
        <f>IFERROR(SUMIFS('caseload data'!I:I,'caseload data'!$C:$C,'divisional &amp; regional caseload%'!$T$78,'caseload data'!$D:$D,"PO")/SUMIF('caseload data'!$C:$C,'divisional &amp; regional caseload%'!$T$78,'caseload data'!I:I),"")</f>
        <v/>
      </c>
      <c r="Z80" s="167" t="str">
        <f>IFERROR(SUMIFS('caseload data'!J:J,'caseload data'!$C:$C,'divisional &amp; regional caseload%'!$T$78,'caseload data'!$D:$D,"PO")/SUMIF('caseload data'!$C:$C,'divisional &amp; regional caseload%'!$T$78,'caseload data'!J:J),"")</f>
        <v/>
      </c>
      <c r="AA80" s="167" t="str">
        <f>IFERROR(SUMIFS('caseload data'!K:K,'caseload data'!$C:$C,'divisional &amp; regional caseload%'!$T$78,'caseload data'!$D:$D,"PO")/SUMIF('caseload data'!$C:$C,'divisional &amp; regional caseload%'!$T$78,'caseload data'!K:K),"")</f>
        <v/>
      </c>
      <c r="AB80" s="167" t="str">
        <f>IFERROR(SUMIFS('caseload data'!L:L,'caseload data'!$C:$C,'divisional &amp; regional caseload%'!$T$78,'caseload data'!$D:$D,"PO")/SUMIF('caseload data'!$C:$C,'divisional &amp; regional caseload%'!$T$78,'caseload data'!L:L),"")</f>
        <v/>
      </c>
      <c r="AC80" s="167" t="str">
        <f>IFERROR(SUMIFS('caseload data'!M:M,'caseload data'!$C:$C,'divisional &amp; regional caseload%'!$T$78,'caseload data'!$D:$D,"PO")/SUMIF('caseload data'!$C:$C,'divisional &amp; regional caseload%'!$T$78,'caseload data'!M:M),"")</f>
        <v/>
      </c>
      <c r="AD80" s="167" t="str">
        <f>IFERROR(SUMIFS('caseload data'!N:N,'caseload data'!$C:$C,'divisional &amp; regional caseload%'!$T$78,'caseload data'!$D:$D,"PO")/SUMIF('caseload data'!$C:$C,'divisional &amp; regional caseload%'!$T$78,'caseload data'!N:N),"")</f>
        <v/>
      </c>
      <c r="AE80" s="167" t="str">
        <f>IFERROR(SUMIFS('caseload data'!O:O,'caseload data'!$C:$C,'divisional &amp; regional caseload%'!$T$78,'caseload data'!$D:$D,"PO")/SUMIF('caseload data'!$C:$C,'divisional &amp; regional caseload%'!$T$78,'caseload data'!O:O),"")</f>
        <v/>
      </c>
      <c r="AF80" s="167" t="str">
        <f>IFERROR(SUMIFS('caseload data'!P:P,'caseload data'!$C:$C,'divisional &amp; regional caseload%'!$T$78,'caseload data'!$D:$D,"PO")/SUMIF('caseload data'!$C:$C,'divisional &amp; regional caseload%'!$T$78,'caseload data'!P:P),"")</f>
        <v/>
      </c>
      <c r="AG80" s="167" t="str">
        <f>IFERROR(SUMIFS('caseload data'!Q:Q,'caseload data'!$C:$C,'divisional &amp; regional caseload%'!$T$78,'caseload data'!$D:$D,"PO")/SUMIF('caseload data'!$C:$C,'divisional &amp; regional caseload%'!$T$78,'caseload data'!Q:Q),"")</f>
        <v/>
      </c>
      <c r="AH80" s="167" t="str">
        <f>IFERROR(SUMIFS('caseload data'!R:R,'caseload data'!$C:$C,'divisional &amp; regional caseload%'!$T$78,'caseload data'!$D:$D,"PO")/SUMIF('caseload data'!$C:$C,'divisional &amp; regional caseload%'!$T$78,'caseload data'!R:R),"")</f>
        <v/>
      </c>
      <c r="AI80" s="167" t="str">
        <f>IFERROR(SUMIFS('caseload data'!S:S,'caseload data'!$C:$C,'divisional &amp; regional caseload%'!$T$78,'caseload data'!$D:$D,"PO")/SUMIF('caseload data'!$C:$C,'divisional &amp; regional caseload%'!$T$78,'caseload data'!S:S),"")</f>
        <v/>
      </c>
      <c r="AJ80" s="167" t="str">
        <f>IFERROR(SUMIFS('caseload data'!T:T,'caseload data'!$C:$C,'divisional &amp; regional caseload%'!$T$78,'caseload data'!$D:$D,"PO")/SUMIF('caseload data'!$C:$C,'divisional &amp; regional caseload%'!$T$78,'caseload data'!T:T),"")</f>
        <v/>
      </c>
    </row>
    <row r="81" spans="2:36" x14ac:dyDescent="0.15">
      <c r="B81" s="97" t="s">
        <v>1002</v>
      </c>
      <c r="C81" s="167" t="str">
        <f>IFERROR(SUMIFS('caseload data'!E:E,'caseload data'!$C:$C,'divisional &amp; regional caseload%'!$B$78,'caseload data'!$D:$D,"PSO")/SUMIF('caseload data'!$C:$C,'divisional &amp; regional caseload%'!$B$78,'caseload data'!E:E),"")</f>
        <v/>
      </c>
      <c r="D81" s="167" t="str">
        <f>IFERROR(SUMIFS('caseload data'!F:F,'caseload data'!$C:$C,'divisional &amp; regional caseload%'!$B$78,'caseload data'!$D:$D,"PSO")/SUMIF('caseload data'!$C:$C,'divisional &amp; regional caseload%'!$B$78,'caseload data'!F:F),"")</f>
        <v/>
      </c>
      <c r="E81" s="167" t="str">
        <f>IFERROR(SUMIFS('caseload data'!G:G,'caseload data'!$C:$C,'divisional &amp; regional caseload%'!$B$78,'caseload data'!$D:$D,"PSO")/SUMIF('caseload data'!$C:$C,'divisional &amp; regional caseload%'!$B$78,'caseload data'!G:G),"")</f>
        <v/>
      </c>
      <c r="F81" s="167" t="str">
        <f>IFERROR(SUMIFS('caseload data'!H:H,'caseload data'!$C:$C,'divisional &amp; regional caseload%'!$B$78,'caseload data'!$D:$D,"PSO")/SUMIF('caseload data'!$C:$C,'divisional &amp; regional caseload%'!$B$78,'caseload data'!H:H),"")</f>
        <v/>
      </c>
      <c r="G81" s="167" t="str">
        <f>IFERROR(SUMIFS('caseload data'!I:I,'caseload data'!$C:$C,'divisional &amp; regional caseload%'!$B$78,'caseload data'!$D:$D,"PSO")/SUMIF('caseload data'!$C:$C,'divisional &amp; regional caseload%'!$B$78,'caseload data'!I:I),"")</f>
        <v/>
      </c>
      <c r="H81" s="167" t="str">
        <f>IFERROR(SUMIFS('caseload data'!J:J,'caseload data'!$C:$C,'divisional &amp; regional caseload%'!$B$78,'caseload data'!$D:$D,"PSO")/SUMIF('caseload data'!$C:$C,'divisional &amp; regional caseload%'!$B$78,'caseload data'!J:J),"")</f>
        <v/>
      </c>
      <c r="I81" s="167" t="str">
        <f>IFERROR(SUMIFS('caseload data'!K:K,'caseload data'!$C:$C,'divisional &amp; regional caseload%'!$B$78,'caseload data'!$D:$D,"PSO")/SUMIF('caseload data'!$C:$C,'divisional &amp; regional caseload%'!$B$78,'caseload data'!K:K),"")</f>
        <v/>
      </c>
      <c r="J81" s="167" t="str">
        <f>IFERROR(SUMIFS('caseload data'!L:L,'caseload data'!$C:$C,'divisional &amp; regional caseload%'!$B$78,'caseload data'!$D:$D,"PSO")/SUMIF('caseload data'!$C:$C,'divisional &amp; regional caseload%'!$B$78,'caseload data'!L:L),"")</f>
        <v/>
      </c>
      <c r="K81" s="167" t="str">
        <f>IFERROR(SUMIFS('caseload data'!M:M,'caseload data'!$C:$C,'divisional &amp; regional caseload%'!$B$78,'caseload data'!$D:$D,"PSO")/SUMIF('caseload data'!$C:$C,'divisional &amp; regional caseload%'!$B$78,'caseload data'!M:M),"")</f>
        <v/>
      </c>
      <c r="L81" s="167" t="str">
        <f>IFERROR(SUMIFS('caseload data'!N:N,'caseload data'!$C:$C,'divisional &amp; regional caseload%'!$B$78,'caseload data'!$D:$D,"PSO")/SUMIF('caseload data'!$C:$C,'divisional &amp; regional caseload%'!$B$78,'caseload data'!N:N),"")</f>
        <v/>
      </c>
      <c r="M81" s="167" t="str">
        <f>IFERROR(SUMIFS('caseload data'!O:O,'caseload data'!$C:$C,'divisional &amp; regional caseload%'!$B$78,'caseload data'!$D:$D,"PSO")/SUMIF('caseload data'!$C:$C,'divisional &amp; regional caseload%'!$B$78,'caseload data'!O:O),"")</f>
        <v/>
      </c>
      <c r="N81" s="167" t="str">
        <f>IFERROR(SUMIFS('caseload data'!P:P,'caseload data'!$C:$C,'divisional &amp; regional caseload%'!$B$78,'caseload data'!$D:$D,"PSO")/SUMIF('caseload data'!$C:$C,'divisional &amp; regional caseload%'!$B$78,'caseload data'!P:P),"")</f>
        <v/>
      </c>
      <c r="O81" s="167" t="str">
        <f>IFERROR(SUMIFS('caseload data'!Q:Q,'caseload data'!$C:$C,'divisional &amp; regional caseload%'!$B$78,'caseload data'!$D:$D,"PSO")/SUMIF('caseload data'!$C:$C,'divisional &amp; regional caseload%'!$B$78,'caseload data'!Q:Q),"")</f>
        <v/>
      </c>
      <c r="P81" s="167" t="str">
        <f>IFERROR(SUMIFS('caseload data'!R:R,'caseload data'!$C:$C,'divisional &amp; regional caseload%'!$B$78,'caseload data'!$D:$D,"PSO")/SUMIF('caseload data'!$C:$C,'divisional &amp; regional caseload%'!$B$78,'caseload data'!R:R),"")</f>
        <v/>
      </c>
      <c r="Q81" s="167" t="str">
        <f>IFERROR(SUMIFS('caseload data'!S:S,'caseload data'!$C:$C,'divisional &amp; regional caseload%'!$B$78,'caseload data'!$D:$D,"PSO")/SUMIF('caseload data'!$C:$C,'divisional &amp; regional caseload%'!$B$78,'caseload data'!S:S),"")</f>
        <v/>
      </c>
      <c r="R81" s="167" t="str">
        <f>IFERROR(SUMIFS('caseload data'!T:T,'caseload data'!$C:$C,'divisional &amp; regional caseload%'!$B$78,'caseload data'!$D:$D,"PSO")/SUMIF('caseload data'!$C:$C,'divisional &amp; regional caseload%'!$B$78,'caseload data'!T:T),"")</f>
        <v/>
      </c>
      <c r="T81" s="97" t="s">
        <v>1002</v>
      </c>
      <c r="U81" s="167" t="str">
        <f>IFERROR(SUMIFS('caseload data'!E:E,'caseload data'!$C:$C,'divisional &amp; regional caseload%'!$T$78,'caseload data'!$D:$D,"PSO")/SUMIF('caseload data'!$C:$C,'divisional &amp; regional caseload%'!$T$78,'caseload data'!E:E),"")</f>
        <v/>
      </c>
      <c r="V81" s="167" t="str">
        <f>IFERROR(SUMIFS('caseload data'!F:F,'caseload data'!$C:$C,'divisional &amp; regional caseload%'!$T$78,'caseload data'!$D:$D,"PSO")/SUMIF('caseload data'!$C:$C,'divisional &amp; regional caseload%'!$T$78,'caseload data'!F:F),"")</f>
        <v/>
      </c>
      <c r="W81" s="167" t="str">
        <f>IFERROR(SUMIFS('caseload data'!G:G,'caseload data'!$C:$C,'divisional &amp; regional caseload%'!$T$78,'caseload data'!$D:$D,"PSO")/SUMIF('caseload data'!$C:$C,'divisional &amp; regional caseload%'!$T$78,'caseload data'!G:G),"")</f>
        <v/>
      </c>
      <c r="X81" s="167" t="str">
        <f>IFERROR(SUMIFS('caseload data'!H:H,'caseload data'!$C:$C,'divisional &amp; regional caseload%'!$T$78,'caseload data'!$D:$D,"PSO")/SUMIF('caseload data'!$C:$C,'divisional &amp; regional caseload%'!$T$78,'caseload data'!H:H),"")</f>
        <v/>
      </c>
      <c r="Y81" s="167" t="str">
        <f>IFERROR(SUMIFS('caseload data'!I:I,'caseload data'!$C:$C,'divisional &amp; regional caseload%'!$T$78,'caseload data'!$D:$D,"PSO")/SUMIF('caseload data'!$C:$C,'divisional &amp; regional caseload%'!$T$78,'caseload data'!I:I),"")</f>
        <v/>
      </c>
      <c r="Z81" s="167" t="str">
        <f>IFERROR(SUMIFS('caseload data'!J:J,'caseload data'!$C:$C,'divisional &amp; regional caseload%'!$T$78,'caseload data'!$D:$D,"PSO")/SUMIF('caseload data'!$C:$C,'divisional &amp; regional caseload%'!$T$78,'caseload data'!J:J),"")</f>
        <v/>
      </c>
      <c r="AA81" s="167" t="str">
        <f>IFERROR(SUMIFS('caseload data'!K:K,'caseload data'!$C:$C,'divisional &amp; regional caseload%'!$T$78,'caseload data'!$D:$D,"PSO")/SUMIF('caseload data'!$C:$C,'divisional &amp; regional caseload%'!$T$78,'caseload data'!K:K),"")</f>
        <v/>
      </c>
      <c r="AB81" s="167" t="str">
        <f>IFERROR(SUMIFS('caseload data'!L:L,'caseload data'!$C:$C,'divisional &amp; regional caseload%'!$T$78,'caseload data'!$D:$D,"PSO")/SUMIF('caseload data'!$C:$C,'divisional &amp; regional caseload%'!$T$78,'caseload data'!L:L),"")</f>
        <v/>
      </c>
      <c r="AC81" s="167" t="str">
        <f>IFERROR(SUMIFS('caseload data'!M:M,'caseload data'!$C:$C,'divisional &amp; regional caseload%'!$T$78,'caseload data'!$D:$D,"PSO")/SUMIF('caseload data'!$C:$C,'divisional &amp; regional caseload%'!$T$78,'caseload data'!M:M),"")</f>
        <v/>
      </c>
      <c r="AD81" s="167" t="str">
        <f>IFERROR(SUMIFS('caseload data'!N:N,'caseload data'!$C:$C,'divisional &amp; regional caseload%'!$T$78,'caseload data'!$D:$D,"PSO")/SUMIF('caseload data'!$C:$C,'divisional &amp; regional caseload%'!$T$78,'caseload data'!N:N),"")</f>
        <v/>
      </c>
      <c r="AE81" s="167" t="str">
        <f>IFERROR(SUMIFS('caseload data'!O:O,'caseload data'!$C:$C,'divisional &amp; regional caseload%'!$T$78,'caseload data'!$D:$D,"PSO")/SUMIF('caseload data'!$C:$C,'divisional &amp; regional caseload%'!$T$78,'caseload data'!O:O),"")</f>
        <v/>
      </c>
      <c r="AF81" s="167" t="str">
        <f>IFERROR(SUMIFS('caseload data'!P:P,'caseload data'!$C:$C,'divisional &amp; regional caseload%'!$T$78,'caseload data'!$D:$D,"PSO")/SUMIF('caseload data'!$C:$C,'divisional &amp; regional caseload%'!$T$78,'caseload data'!P:P),"")</f>
        <v/>
      </c>
      <c r="AG81" s="167" t="str">
        <f>IFERROR(SUMIFS('caseload data'!Q:Q,'caseload data'!$C:$C,'divisional &amp; regional caseload%'!$T$78,'caseload data'!$D:$D,"PSO")/SUMIF('caseload data'!$C:$C,'divisional &amp; regional caseload%'!$T$78,'caseload data'!Q:Q),"")</f>
        <v/>
      </c>
      <c r="AH81" s="167" t="str">
        <f>IFERROR(SUMIFS('caseload data'!R:R,'caseload data'!$C:$C,'divisional &amp; regional caseload%'!$T$78,'caseload data'!$D:$D,"PSO")/SUMIF('caseload data'!$C:$C,'divisional &amp; regional caseload%'!$T$78,'caseload data'!R:R),"")</f>
        <v/>
      </c>
      <c r="AI81" s="167" t="str">
        <f>IFERROR(SUMIFS('caseload data'!S:S,'caseload data'!$C:$C,'divisional &amp; regional caseload%'!$T$78,'caseload data'!$D:$D,"PSO")/SUMIF('caseload data'!$C:$C,'divisional &amp; regional caseload%'!$T$78,'caseload data'!S:S),"")</f>
        <v/>
      </c>
      <c r="AJ81" s="167" t="str">
        <f>IFERROR(SUMIFS('caseload data'!T:T,'caseload data'!$C:$C,'divisional &amp; regional caseload%'!$T$78,'caseload data'!$D:$D,"PSO")/SUMIF('caseload data'!$C:$C,'divisional &amp; regional caseload%'!$T$78,'caseload data'!T:T),"")</f>
        <v/>
      </c>
    </row>
    <row r="82" spans="2:36" x14ac:dyDescent="0.15">
      <c r="B82" s="97" t="s">
        <v>1003</v>
      </c>
      <c r="C82" s="167" t="str">
        <f>IFERROR(SUMIFS('caseload data'!E:E,'caseload data'!$C:$C,'divisional &amp; regional caseload%'!$B$78,'caseload data'!$D:$D,"TPO")/SUMIF('caseload data'!$C:$C,'divisional &amp; regional caseload%'!$B$78,'caseload data'!E:E),"")</f>
        <v/>
      </c>
      <c r="D82" s="167" t="str">
        <f>IFERROR(SUMIFS('caseload data'!F:F,'caseload data'!$C:$C,'divisional &amp; regional caseload%'!$B$78,'caseload data'!$D:$D,"TPO")/SUMIF('caseload data'!$C:$C,'divisional &amp; regional caseload%'!$B$78,'caseload data'!F:F),"")</f>
        <v/>
      </c>
      <c r="E82" s="167" t="str">
        <f>IFERROR(SUMIFS('caseload data'!G:G,'caseload data'!$C:$C,'divisional &amp; regional caseload%'!$B$78,'caseload data'!$D:$D,"TPO")/SUMIF('caseload data'!$C:$C,'divisional &amp; regional caseload%'!$B$78,'caseload data'!G:G),"")</f>
        <v/>
      </c>
      <c r="F82" s="167" t="str">
        <f>IFERROR(SUMIFS('caseload data'!H:H,'caseload data'!$C:$C,'divisional &amp; regional caseload%'!$B$78,'caseload data'!$D:$D,"TPO")/SUMIF('caseload data'!$C:$C,'divisional &amp; regional caseload%'!$B$78,'caseload data'!H:H),"")</f>
        <v/>
      </c>
      <c r="G82" s="167" t="str">
        <f>IFERROR(SUMIFS('caseload data'!I:I,'caseload data'!$C:$C,'divisional &amp; regional caseload%'!$B$78,'caseload data'!$D:$D,"TPO")/SUMIF('caseload data'!$C:$C,'divisional &amp; regional caseload%'!$B$78,'caseload data'!I:I),"")</f>
        <v/>
      </c>
      <c r="H82" s="167" t="str">
        <f>IFERROR(SUMIFS('caseload data'!J:J,'caseload data'!$C:$C,'divisional &amp; regional caseload%'!$B$78,'caseload data'!$D:$D,"TPO")/SUMIF('caseload data'!$C:$C,'divisional &amp; regional caseload%'!$B$78,'caseload data'!J:J),"")</f>
        <v/>
      </c>
      <c r="I82" s="167" t="str">
        <f>IFERROR(SUMIFS('caseload data'!K:K,'caseload data'!$C:$C,'divisional &amp; regional caseload%'!$B$78,'caseload data'!$D:$D,"TPO")/SUMIF('caseload data'!$C:$C,'divisional &amp; regional caseload%'!$B$78,'caseload data'!K:K),"")</f>
        <v/>
      </c>
      <c r="J82" s="167" t="str">
        <f>IFERROR(SUMIFS('caseload data'!L:L,'caseload data'!$C:$C,'divisional &amp; regional caseload%'!$B$78,'caseload data'!$D:$D,"TPO")/SUMIF('caseload data'!$C:$C,'divisional &amp; regional caseload%'!$B$78,'caseload data'!L:L),"")</f>
        <v/>
      </c>
      <c r="K82" s="167" t="str">
        <f>IFERROR(SUMIFS('caseload data'!M:M,'caseload data'!$C:$C,'divisional &amp; regional caseload%'!$B$78,'caseload data'!$D:$D,"TPO")/SUMIF('caseload data'!$C:$C,'divisional &amp; regional caseload%'!$B$78,'caseload data'!M:M),"")</f>
        <v/>
      </c>
      <c r="L82" s="167" t="str">
        <f>IFERROR(SUMIFS('caseload data'!N:N,'caseload data'!$C:$C,'divisional &amp; regional caseload%'!$B$78,'caseload data'!$D:$D,"TPO")/SUMIF('caseload data'!$C:$C,'divisional &amp; regional caseload%'!$B$78,'caseload data'!N:N),"")</f>
        <v/>
      </c>
      <c r="M82" s="167" t="str">
        <f>IFERROR(SUMIFS('caseload data'!O:O,'caseload data'!$C:$C,'divisional &amp; regional caseload%'!$B$78,'caseload data'!$D:$D,"TPO")/SUMIF('caseload data'!$C:$C,'divisional &amp; regional caseload%'!$B$78,'caseload data'!O:O),"")</f>
        <v/>
      </c>
      <c r="N82" s="167" t="str">
        <f>IFERROR(SUMIFS('caseload data'!P:P,'caseload data'!$C:$C,'divisional &amp; regional caseload%'!$B$78,'caseload data'!$D:$D,"TPO")/SUMIF('caseload data'!$C:$C,'divisional &amp; regional caseload%'!$B$78,'caseload data'!P:P),"")</f>
        <v/>
      </c>
      <c r="O82" s="167" t="str">
        <f>IFERROR(SUMIFS('caseload data'!Q:Q,'caseload data'!$C:$C,'divisional &amp; regional caseload%'!$B$78,'caseload data'!$D:$D,"TPO")/SUMIF('caseload data'!$C:$C,'divisional &amp; regional caseload%'!$B$78,'caseload data'!Q:Q),"")</f>
        <v/>
      </c>
      <c r="P82" s="167" t="str">
        <f>IFERROR(SUMIFS('caseload data'!R:R,'caseload data'!$C:$C,'divisional &amp; regional caseload%'!$B$78,'caseload data'!$D:$D,"TPO")/SUMIF('caseload data'!$C:$C,'divisional &amp; regional caseload%'!$B$78,'caseload data'!R:R),"")</f>
        <v/>
      </c>
      <c r="Q82" s="167" t="str">
        <f>IFERROR(SUMIFS('caseload data'!S:S,'caseload data'!$C:$C,'divisional &amp; regional caseload%'!$B$78,'caseload data'!$D:$D,"TPO")/SUMIF('caseload data'!$C:$C,'divisional &amp; regional caseload%'!$B$78,'caseload data'!S:S),"")</f>
        <v/>
      </c>
      <c r="R82" s="167" t="str">
        <f>IFERROR(SUMIFS('caseload data'!T:T,'caseload data'!$C:$C,'divisional &amp; regional caseload%'!$B$78,'caseload data'!$D:$D,"TPO")/SUMIF('caseload data'!$C:$C,'divisional &amp; regional caseload%'!$B$78,'caseload data'!T:T),"")</f>
        <v/>
      </c>
      <c r="T82" s="97" t="s">
        <v>1003</v>
      </c>
      <c r="U82" s="167" t="str">
        <f>IFERROR(SUMIFS('caseload data'!E:E,'caseload data'!$C:$C,'divisional &amp; regional caseload%'!$T$78,'caseload data'!$D:$D,"TPO")/SUMIF('caseload data'!$C:$C,'divisional &amp; regional caseload%'!$T$78,'caseload data'!E:E),"")</f>
        <v/>
      </c>
      <c r="V82" s="167" t="str">
        <f>IFERROR(SUMIFS('caseload data'!F:F,'caseload data'!$C:$C,'divisional &amp; regional caseload%'!$T$78,'caseload data'!$D:$D,"TPO")/SUMIF('caseload data'!$C:$C,'divisional &amp; regional caseload%'!$T$78,'caseload data'!F:F),"")</f>
        <v/>
      </c>
      <c r="W82" s="167" t="str">
        <f>IFERROR(SUMIFS('caseload data'!G:G,'caseload data'!$C:$C,'divisional &amp; regional caseload%'!$T$78,'caseload data'!$D:$D,"TPO")/SUMIF('caseload data'!$C:$C,'divisional &amp; regional caseload%'!$T$78,'caseload data'!G:G),"")</f>
        <v/>
      </c>
      <c r="X82" s="167" t="str">
        <f>IFERROR(SUMIFS('caseload data'!H:H,'caseload data'!$C:$C,'divisional &amp; regional caseload%'!$T$78,'caseload data'!$D:$D,"TPO")/SUMIF('caseload data'!$C:$C,'divisional &amp; regional caseload%'!$T$78,'caseload data'!H:H),"")</f>
        <v/>
      </c>
      <c r="Y82" s="167" t="str">
        <f>IFERROR(SUMIFS('caseload data'!I:I,'caseload data'!$C:$C,'divisional &amp; regional caseload%'!$T$78,'caseload data'!$D:$D,"TPO")/SUMIF('caseload data'!$C:$C,'divisional &amp; regional caseload%'!$T$78,'caseload data'!I:I),"")</f>
        <v/>
      </c>
      <c r="Z82" s="167" t="str">
        <f>IFERROR(SUMIFS('caseload data'!J:J,'caseload data'!$C:$C,'divisional &amp; regional caseload%'!$T$78,'caseload data'!$D:$D,"TPO")/SUMIF('caseload data'!$C:$C,'divisional &amp; regional caseload%'!$T$78,'caseload data'!J:J),"")</f>
        <v/>
      </c>
      <c r="AA82" s="167" t="str">
        <f>IFERROR(SUMIFS('caseload data'!K:K,'caseload data'!$C:$C,'divisional &amp; regional caseload%'!$T$78,'caseload data'!$D:$D,"TPO")/SUMIF('caseload data'!$C:$C,'divisional &amp; regional caseload%'!$T$78,'caseload data'!K:K),"")</f>
        <v/>
      </c>
      <c r="AB82" s="167" t="str">
        <f>IFERROR(SUMIFS('caseload data'!L:L,'caseload data'!$C:$C,'divisional &amp; regional caseload%'!$T$78,'caseload data'!$D:$D,"TPO")/SUMIF('caseload data'!$C:$C,'divisional &amp; regional caseload%'!$T$78,'caseload data'!L:L),"")</f>
        <v/>
      </c>
      <c r="AC82" s="167" t="str">
        <f>IFERROR(SUMIFS('caseload data'!M:M,'caseload data'!$C:$C,'divisional &amp; regional caseload%'!$T$78,'caseload data'!$D:$D,"TPO")/SUMIF('caseload data'!$C:$C,'divisional &amp; regional caseload%'!$T$78,'caseload data'!M:M),"")</f>
        <v/>
      </c>
      <c r="AD82" s="167" t="str">
        <f>IFERROR(SUMIFS('caseload data'!N:N,'caseload data'!$C:$C,'divisional &amp; regional caseload%'!$T$78,'caseload data'!$D:$D,"TPO")/SUMIF('caseload data'!$C:$C,'divisional &amp; regional caseload%'!$T$78,'caseload data'!N:N),"")</f>
        <v/>
      </c>
      <c r="AE82" s="167" t="str">
        <f>IFERROR(SUMIFS('caseload data'!O:O,'caseload data'!$C:$C,'divisional &amp; regional caseload%'!$T$78,'caseload data'!$D:$D,"TPO")/SUMIF('caseload data'!$C:$C,'divisional &amp; regional caseload%'!$T$78,'caseload data'!O:O),"")</f>
        <v/>
      </c>
      <c r="AF82" s="167" t="str">
        <f>IFERROR(SUMIFS('caseload data'!P:P,'caseload data'!$C:$C,'divisional &amp; regional caseload%'!$T$78,'caseload data'!$D:$D,"TPO")/SUMIF('caseload data'!$C:$C,'divisional &amp; regional caseload%'!$T$78,'caseload data'!P:P),"")</f>
        <v/>
      </c>
      <c r="AG82" s="167" t="str">
        <f>IFERROR(SUMIFS('caseload data'!Q:Q,'caseload data'!$C:$C,'divisional &amp; regional caseload%'!$T$78,'caseload data'!$D:$D,"TPO")/SUMIF('caseload data'!$C:$C,'divisional &amp; regional caseload%'!$T$78,'caseload data'!Q:Q),"")</f>
        <v/>
      </c>
      <c r="AH82" s="167" t="str">
        <f>IFERROR(SUMIFS('caseload data'!R:R,'caseload data'!$C:$C,'divisional &amp; regional caseload%'!$T$78,'caseload data'!$D:$D,"TPO")/SUMIF('caseload data'!$C:$C,'divisional &amp; regional caseload%'!$T$78,'caseload data'!R:R),"")</f>
        <v/>
      </c>
      <c r="AI82" s="167" t="str">
        <f>IFERROR(SUMIFS('caseload data'!S:S,'caseload data'!$C:$C,'divisional &amp; regional caseload%'!$T$78,'caseload data'!$D:$D,"TPO")/SUMIF('caseload data'!$C:$C,'divisional &amp; regional caseload%'!$T$78,'caseload data'!S:S),"")</f>
        <v/>
      </c>
      <c r="AJ82" s="167" t="str">
        <f>IFERROR(SUMIFS('caseload data'!T:T,'caseload data'!$C:$C,'divisional &amp; regional caseload%'!$T$78,'caseload data'!$D:$D,"TPO")/SUMIF('caseload data'!$C:$C,'divisional &amp; regional caseload%'!$T$78,'caseload data'!T:T),"")</f>
        <v/>
      </c>
    </row>
    <row r="83" spans="2:36" x14ac:dyDescent="0.15">
      <c r="B83" s="98" t="s">
        <v>1004</v>
      </c>
      <c r="C83" s="167" t="str">
        <f>IFERROR(SUMIFS('caseload data'!E:E,'caseload data'!$C:$C,'divisional &amp; regional caseload%'!$B$78,'caseload data'!$D:$D,"SPO")/SUMIF('caseload data'!$C:$C,'divisional &amp; regional caseload%'!$B$78,'caseload data'!E:E),"")</f>
        <v/>
      </c>
      <c r="D83" s="167" t="str">
        <f>IFERROR(SUMIFS('caseload data'!F:F,'caseload data'!$C:$C,'divisional &amp; regional caseload%'!$B$78,'caseload data'!$D:$D,"SPO")/SUMIF('caseload data'!$C:$C,'divisional &amp; regional caseload%'!$B$78,'caseload data'!F:F),"")</f>
        <v/>
      </c>
      <c r="E83" s="167" t="str">
        <f>IFERROR(SUMIFS('caseload data'!G:G,'caseload data'!$C:$C,'divisional &amp; regional caseload%'!$B$78,'caseload data'!$D:$D,"SPO")/SUMIF('caseload data'!$C:$C,'divisional &amp; regional caseload%'!$B$78,'caseload data'!G:G),"")</f>
        <v/>
      </c>
      <c r="F83" s="167" t="str">
        <f>IFERROR(SUMIFS('caseload data'!H:H,'caseload data'!$C:$C,'divisional &amp; regional caseload%'!$B$78,'caseload data'!$D:$D,"SPO")/SUMIF('caseload data'!$C:$C,'divisional &amp; regional caseload%'!$B$78,'caseload data'!H:H),"")</f>
        <v/>
      </c>
      <c r="G83" s="167" t="str">
        <f>IFERROR(SUMIFS('caseload data'!I:I,'caseload data'!$C:$C,'divisional &amp; regional caseload%'!$B$78,'caseload data'!$D:$D,"SPO")/SUMIF('caseload data'!$C:$C,'divisional &amp; regional caseload%'!$B$78,'caseload data'!I:I),"")</f>
        <v/>
      </c>
      <c r="H83" s="167" t="str">
        <f>IFERROR(SUMIFS('caseload data'!J:J,'caseload data'!$C:$C,'divisional &amp; regional caseload%'!$B$78,'caseload data'!$D:$D,"SPO")/SUMIF('caseload data'!$C:$C,'divisional &amp; regional caseload%'!$B$78,'caseload data'!J:J),"")</f>
        <v/>
      </c>
      <c r="I83" s="167" t="str">
        <f>IFERROR(SUMIFS('caseload data'!K:K,'caseload data'!$C:$C,'divisional &amp; regional caseload%'!$B$78,'caseload data'!$D:$D,"SPO")/SUMIF('caseload data'!$C:$C,'divisional &amp; regional caseload%'!$B$78,'caseload data'!K:K),"")</f>
        <v/>
      </c>
      <c r="J83" s="167" t="str">
        <f>IFERROR(SUMIFS('caseload data'!L:L,'caseload data'!$C:$C,'divisional &amp; regional caseload%'!$B$78,'caseload data'!$D:$D,"SPO")/SUMIF('caseload data'!$C:$C,'divisional &amp; regional caseload%'!$B$78,'caseload data'!L:L),"")</f>
        <v/>
      </c>
      <c r="K83" s="167" t="str">
        <f>IFERROR(SUMIFS('caseload data'!M:M,'caseload data'!$C:$C,'divisional &amp; regional caseload%'!$B$78,'caseload data'!$D:$D,"SPO")/SUMIF('caseload data'!$C:$C,'divisional &amp; regional caseload%'!$B$78,'caseload data'!M:M),"")</f>
        <v/>
      </c>
      <c r="L83" s="167" t="str">
        <f>IFERROR(SUMIFS('caseload data'!N:N,'caseload data'!$C:$C,'divisional &amp; regional caseload%'!$B$78,'caseload data'!$D:$D,"SPO")/SUMIF('caseload data'!$C:$C,'divisional &amp; regional caseload%'!$B$78,'caseload data'!N:N),"")</f>
        <v/>
      </c>
      <c r="M83" s="167" t="str">
        <f>IFERROR(SUMIFS('caseload data'!O:O,'caseload data'!$C:$C,'divisional &amp; regional caseload%'!$B$78,'caseload data'!$D:$D,"SPO")/SUMIF('caseload data'!$C:$C,'divisional &amp; regional caseload%'!$B$78,'caseload data'!O:O),"")</f>
        <v/>
      </c>
      <c r="N83" s="167" t="str">
        <f>IFERROR(SUMIFS('caseload data'!P:P,'caseload data'!$C:$C,'divisional &amp; regional caseload%'!$B$78,'caseload data'!$D:$D,"SPO")/SUMIF('caseload data'!$C:$C,'divisional &amp; regional caseload%'!$B$78,'caseload data'!P:P),"")</f>
        <v/>
      </c>
      <c r="O83" s="167" t="str">
        <f>IFERROR(SUMIFS('caseload data'!Q:Q,'caseload data'!$C:$C,'divisional &amp; regional caseload%'!$B$78,'caseload data'!$D:$D,"SPO")/SUMIF('caseload data'!$C:$C,'divisional &amp; regional caseload%'!$B$78,'caseload data'!Q:Q),"")</f>
        <v/>
      </c>
      <c r="P83" s="167" t="str">
        <f>IFERROR(SUMIFS('caseload data'!R:R,'caseload data'!$C:$C,'divisional &amp; regional caseload%'!$B$78,'caseload data'!$D:$D,"SPO")/SUMIF('caseload data'!$C:$C,'divisional &amp; regional caseload%'!$B$78,'caseload data'!R:R),"")</f>
        <v/>
      </c>
      <c r="Q83" s="167" t="str">
        <f>IFERROR(SUMIFS('caseload data'!S:S,'caseload data'!$C:$C,'divisional &amp; regional caseload%'!$B$78,'caseload data'!$D:$D,"SPO")/SUMIF('caseload data'!$C:$C,'divisional &amp; regional caseload%'!$B$78,'caseload data'!S:S),"")</f>
        <v/>
      </c>
      <c r="R83" s="167" t="str">
        <f>IFERROR(SUMIFS('caseload data'!T:T,'caseload data'!$C:$C,'divisional &amp; regional caseload%'!$B$78,'caseload data'!$D:$D,"SPO")/SUMIF('caseload data'!$C:$C,'divisional &amp; regional caseload%'!$B$78,'caseload data'!T:T),"")</f>
        <v/>
      </c>
      <c r="T83" s="98" t="s">
        <v>1004</v>
      </c>
      <c r="U83" s="167" t="str">
        <f>IFERROR(SUMIFS('caseload data'!E:E,'caseload data'!$C:$C,'divisional &amp; regional caseload%'!$T$78,'caseload data'!$D:$D,"SPO")/SUMIF('caseload data'!$C:$C,'divisional &amp; regional caseload%'!$T$78,'caseload data'!E:E),"")</f>
        <v/>
      </c>
      <c r="V83" s="167" t="str">
        <f>IFERROR(SUMIFS('caseload data'!F:F,'caseload data'!$C:$C,'divisional &amp; regional caseload%'!$T$78,'caseload data'!$D:$D,"SPO")/SUMIF('caseload data'!$C:$C,'divisional &amp; regional caseload%'!$T$78,'caseload data'!F:F),"")</f>
        <v/>
      </c>
      <c r="W83" s="167" t="str">
        <f>IFERROR(SUMIFS('caseload data'!G:G,'caseload data'!$C:$C,'divisional &amp; regional caseload%'!$T$78,'caseload data'!$D:$D,"SPO")/SUMIF('caseload data'!$C:$C,'divisional &amp; regional caseload%'!$T$78,'caseload data'!G:G),"")</f>
        <v/>
      </c>
      <c r="X83" s="167" t="str">
        <f>IFERROR(SUMIFS('caseload data'!H:H,'caseload data'!$C:$C,'divisional &amp; regional caseload%'!$T$78,'caseload data'!$D:$D,"SPO")/SUMIF('caseload data'!$C:$C,'divisional &amp; regional caseload%'!$T$78,'caseload data'!H:H),"")</f>
        <v/>
      </c>
      <c r="Y83" s="167" t="str">
        <f>IFERROR(SUMIFS('caseload data'!I:I,'caseload data'!$C:$C,'divisional &amp; regional caseload%'!$T$78,'caseload data'!$D:$D,"SPO")/SUMIF('caseload data'!$C:$C,'divisional &amp; regional caseload%'!$T$78,'caseload data'!I:I),"")</f>
        <v/>
      </c>
      <c r="Z83" s="167" t="str">
        <f>IFERROR(SUMIFS('caseload data'!J:J,'caseload data'!$C:$C,'divisional &amp; regional caseload%'!$T$78,'caseload data'!$D:$D,"SPO")/SUMIF('caseload data'!$C:$C,'divisional &amp; regional caseload%'!$T$78,'caseload data'!J:J),"")</f>
        <v/>
      </c>
      <c r="AA83" s="167" t="str">
        <f>IFERROR(SUMIFS('caseload data'!K:K,'caseload data'!$C:$C,'divisional &amp; regional caseload%'!$T$78,'caseload data'!$D:$D,"SPO")/SUMIF('caseload data'!$C:$C,'divisional &amp; regional caseload%'!$T$78,'caseload data'!K:K),"")</f>
        <v/>
      </c>
      <c r="AB83" s="167" t="str">
        <f>IFERROR(SUMIFS('caseload data'!L:L,'caseload data'!$C:$C,'divisional &amp; regional caseload%'!$T$78,'caseload data'!$D:$D,"SPO")/SUMIF('caseload data'!$C:$C,'divisional &amp; regional caseload%'!$T$78,'caseload data'!L:L),"")</f>
        <v/>
      </c>
      <c r="AC83" s="167" t="str">
        <f>IFERROR(SUMIFS('caseload data'!M:M,'caseload data'!$C:$C,'divisional &amp; regional caseload%'!$T$78,'caseload data'!$D:$D,"SPO")/SUMIF('caseload data'!$C:$C,'divisional &amp; regional caseload%'!$T$78,'caseload data'!M:M),"")</f>
        <v/>
      </c>
      <c r="AD83" s="167" t="str">
        <f>IFERROR(SUMIFS('caseload data'!N:N,'caseload data'!$C:$C,'divisional &amp; regional caseload%'!$T$78,'caseload data'!$D:$D,"SPO")/SUMIF('caseload data'!$C:$C,'divisional &amp; regional caseload%'!$T$78,'caseload data'!N:N),"")</f>
        <v/>
      </c>
      <c r="AE83" s="167" t="str">
        <f>IFERROR(SUMIFS('caseload data'!O:O,'caseload data'!$C:$C,'divisional &amp; regional caseload%'!$T$78,'caseload data'!$D:$D,"SPO")/SUMIF('caseload data'!$C:$C,'divisional &amp; regional caseload%'!$T$78,'caseload data'!O:O),"")</f>
        <v/>
      </c>
      <c r="AF83" s="167" t="str">
        <f>IFERROR(SUMIFS('caseload data'!P:P,'caseload data'!$C:$C,'divisional &amp; regional caseload%'!$T$78,'caseload data'!$D:$D,"SPO")/SUMIF('caseload data'!$C:$C,'divisional &amp; regional caseload%'!$T$78,'caseload data'!P:P),"")</f>
        <v/>
      </c>
      <c r="AG83" s="167" t="str">
        <f>IFERROR(SUMIFS('caseload data'!Q:Q,'caseload data'!$C:$C,'divisional &amp; regional caseload%'!$T$78,'caseload data'!$D:$D,"SPO")/SUMIF('caseload data'!$C:$C,'divisional &amp; regional caseload%'!$T$78,'caseload data'!Q:Q),"")</f>
        <v/>
      </c>
      <c r="AH83" s="167" t="str">
        <f>IFERROR(SUMIFS('caseload data'!R:R,'caseload data'!$C:$C,'divisional &amp; regional caseload%'!$T$78,'caseload data'!$D:$D,"SPO")/SUMIF('caseload data'!$C:$C,'divisional &amp; regional caseload%'!$T$78,'caseload data'!R:R),"")</f>
        <v/>
      </c>
      <c r="AI83" s="167" t="str">
        <f>IFERROR(SUMIFS('caseload data'!S:S,'caseload data'!$C:$C,'divisional &amp; regional caseload%'!$T$78,'caseload data'!$D:$D,"SPO")/SUMIF('caseload data'!$C:$C,'divisional &amp; regional caseload%'!$T$78,'caseload data'!S:S),"")</f>
        <v/>
      </c>
      <c r="AJ83" s="167" t="str">
        <f>IFERROR(SUMIFS('caseload data'!T:T,'caseload data'!$C:$C,'divisional &amp; regional caseload%'!$T$78,'caseload data'!$D:$D,"SPO")/SUMIF('caseload data'!$C:$C,'divisional &amp; regional caseload%'!$T$78,'caseload data'!T:T),"")</f>
        <v/>
      </c>
    </row>
    <row r="85" spans="2:36" ht="30" customHeight="1" x14ac:dyDescent="0.15">
      <c r="B85" s="289">
        <f>HLOOKUP($B$5,Region_Table,24,0)</f>
        <v>0</v>
      </c>
      <c r="C85" s="525" t="s">
        <v>1096</v>
      </c>
      <c r="D85" s="526"/>
      <c r="E85" s="526"/>
      <c r="F85" s="526"/>
      <c r="G85" s="526"/>
      <c r="H85" s="526"/>
      <c r="I85" s="526"/>
      <c r="J85" s="526"/>
      <c r="K85" s="526"/>
      <c r="L85" s="526"/>
      <c r="M85" s="527"/>
      <c r="N85" s="527"/>
      <c r="O85" s="528"/>
      <c r="P85" s="512">
        <f>SUMIF('caseload data'!$C:$C,'divisional &amp; regional caseload%'!B85,'caseload data'!V:V)</f>
        <v>0</v>
      </c>
      <c r="Q85" s="529"/>
      <c r="R85" s="530"/>
      <c r="T85" s="289">
        <f>HLOOKUP($B$5,Region_Table,25,0)</f>
        <v>0</v>
      </c>
      <c r="U85" s="525" t="s">
        <v>1096</v>
      </c>
      <c r="V85" s="526"/>
      <c r="W85" s="526"/>
      <c r="X85" s="526"/>
      <c r="Y85" s="526"/>
      <c r="Z85" s="526"/>
      <c r="AA85" s="526"/>
      <c r="AB85" s="526"/>
      <c r="AC85" s="526"/>
      <c r="AD85" s="526"/>
      <c r="AE85" s="527"/>
      <c r="AF85" s="527"/>
      <c r="AG85" s="528"/>
      <c r="AH85" s="512">
        <f>SUMIF('caseload data'!$C:$C,'divisional &amp; regional caseload%'!T85,'caseload data'!V:V)</f>
        <v>0</v>
      </c>
      <c r="AI85" s="529"/>
      <c r="AJ85" s="530"/>
    </row>
    <row r="86" spans="2:36" x14ac:dyDescent="0.15">
      <c r="B86" s="95" t="s">
        <v>1001</v>
      </c>
      <c r="C86" s="38" t="s">
        <v>864</v>
      </c>
      <c r="D86" s="38" t="s">
        <v>865</v>
      </c>
      <c r="E86" s="38" t="s">
        <v>866</v>
      </c>
      <c r="F86" s="38" t="s">
        <v>867</v>
      </c>
      <c r="G86" s="38" t="s">
        <v>868</v>
      </c>
      <c r="H86" s="38" t="s">
        <v>869</v>
      </c>
      <c r="I86" s="38" t="s">
        <v>870</v>
      </c>
      <c r="J86" s="38" t="s">
        <v>871</v>
      </c>
      <c r="K86" s="38" t="s">
        <v>872</v>
      </c>
      <c r="L86" s="38" t="s">
        <v>873</v>
      </c>
      <c r="M86" s="38" t="s">
        <v>874</v>
      </c>
      <c r="N86" s="38" t="s">
        <v>875</v>
      </c>
      <c r="O86" s="38" t="s">
        <v>876</v>
      </c>
      <c r="P86" s="38" t="s">
        <v>877</v>
      </c>
      <c r="Q86" s="38" t="s">
        <v>878</v>
      </c>
      <c r="R86" s="38" t="s">
        <v>879</v>
      </c>
      <c r="T86" s="95" t="s">
        <v>1001</v>
      </c>
      <c r="U86" s="38" t="s">
        <v>864</v>
      </c>
      <c r="V86" s="38" t="s">
        <v>865</v>
      </c>
      <c r="W86" s="38" t="s">
        <v>866</v>
      </c>
      <c r="X86" s="38" t="s">
        <v>867</v>
      </c>
      <c r="Y86" s="38" t="s">
        <v>868</v>
      </c>
      <c r="Z86" s="38" t="s">
        <v>869</v>
      </c>
      <c r="AA86" s="38" t="s">
        <v>870</v>
      </c>
      <c r="AB86" s="38" t="s">
        <v>871</v>
      </c>
      <c r="AC86" s="38" t="s">
        <v>872</v>
      </c>
      <c r="AD86" s="38" t="s">
        <v>873</v>
      </c>
      <c r="AE86" s="38" t="s">
        <v>874</v>
      </c>
      <c r="AF86" s="38" t="s">
        <v>875</v>
      </c>
      <c r="AG86" s="38" t="s">
        <v>876</v>
      </c>
      <c r="AH86" s="38" t="s">
        <v>877</v>
      </c>
      <c r="AI86" s="38" t="s">
        <v>878</v>
      </c>
      <c r="AJ86" s="38" t="s">
        <v>879</v>
      </c>
    </row>
    <row r="87" spans="2:36" x14ac:dyDescent="0.15">
      <c r="B87" s="96" t="s">
        <v>997</v>
      </c>
      <c r="C87" s="167" t="str">
        <f>IFERROR(SUMIFS('caseload data'!E:E,'caseload data'!$C:$C,'divisional &amp; regional caseload%'!$B$85,'caseload data'!$D:$D,"PO")/SUMIF('caseload data'!$C:$C,'divisional &amp; regional caseload%'!$B$85,'caseload data'!E:E),"")</f>
        <v/>
      </c>
      <c r="D87" s="167" t="str">
        <f>IFERROR(SUMIFS('caseload data'!F:F,'caseload data'!$C:$C,'divisional &amp; regional caseload%'!$B$85,'caseload data'!$D:$D,"PO")/SUMIF('caseload data'!$C:$C,'divisional &amp; regional caseload%'!$B$85,'caseload data'!F:F),"")</f>
        <v/>
      </c>
      <c r="E87" s="167" t="str">
        <f>IFERROR(SUMIFS('caseload data'!G:G,'caseload data'!$C:$C,'divisional &amp; regional caseload%'!$B$85,'caseload data'!$D:$D,"PO")/SUMIF('caseload data'!$C:$C,'divisional &amp; regional caseload%'!$B$85,'caseload data'!G:G),"")</f>
        <v/>
      </c>
      <c r="F87" s="167" t="str">
        <f>IFERROR(SUMIFS('caseload data'!H:H,'caseload data'!$C:$C,'divisional &amp; regional caseload%'!$B$85,'caseload data'!$D:$D,"PO")/SUMIF('caseload data'!$C:$C,'divisional &amp; regional caseload%'!$B$85,'caseload data'!H:H),"")</f>
        <v/>
      </c>
      <c r="G87" s="167" t="str">
        <f>IFERROR(SUMIFS('caseload data'!I:I,'caseload data'!$C:$C,'divisional &amp; regional caseload%'!$B$85,'caseload data'!$D:$D,"PO")/SUMIF('caseload data'!$C:$C,'divisional &amp; regional caseload%'!$B$85,'caseload data'!I:I),"")</f>
        <v/>
      </c>
      <c r="H87" s="167" t="str">
        <f>IFERROR(SUMIFS('caseload data'!J:J,'caseload data'!$C:$C,'divisional &amp; regional caseload%'!$B$85,'caseload data'!$D:$D,"PO")/SUMIF('caseload data'!$C:$C,'divisional &amp; regional caseload%'!$B$85,'caseload data'!J:J),"")</f>
        <v/>
      </c>
      <c r="I87" s="167" t="str">
        <f>IFERROR(SUMIFS('caseload data'!K:K,'caseload data'!$C:$C,'divisional &amp; regional caseload%'!$B$85,'caseload data'!$D:$D,"PO")/SUMIF('caseload data'!$C:$C,'divisional &amp; regional caseload%'!$B$85,'caseload data'!K:K),"")</f>
        <v/>
      </c>
      <c r="J87" s="167" t="str">
        <f>IFERROR(SUMIFS('caseload data'!L:L,'caseload data'!$C:$C,'divisional &amp; regional caseload%'!$B$85,'caseload data'!$D:$D,"PO")/SUMIF('caseload data'!$C:$C,'divisional &amp; regional caseload%'!$B$85,'caseload data'!L:L),"")</f>
        <v/>
      </c>
      <c r="K87" s="167" t="str">
        <f>IFERROR(SUMIFS('caseload data'!M:M,'caseload data'!$C:$C,'divisional &amp; regional caseload%'!$B$85,'caseload data'!$D:$D,"PO")/SUMIF('caseload data'!$C:$C,'divisional &amp; regional caseload%'!$B$85,'caseload data'!M:M),"")</f>
        <v/>
      </c>
      <c r="L87" s="167" t="str">
        <f>IFERROR(SUMIFS('caseload data'!N:N,'caseload data'!$C:$C,'divisional &amp; regional caseload%'!$B$85,'caseload data'!$D:$D,"PO")/SUMIF('caseload data'!$C:$C,'divisional &amp; regional caseload%'!$B$85,'caseload data'!N:N),"")</f>
        <v/>
      </c>
      <c r="M87" s="167" t="str">
        <f>IFERROR(SUMIFS('caseload data'!O:O,'caseload data'!$C:$C,'divisional &amp; regional caseload%'!$B$85,'caseload data'!$D:$D,"PO")/SUMIF('caseload data'!$C:$C,'divisional &amp; regional caseload%'!$B$85,'caseload data'!O:O),"")</f>
        <v/>
      </c>
      <c r="N87" s="167" t="str">
        <f>IFERROR(SUMIFS('caseload data'!P:P,'caseload data'!$C:$C,'divisional &amp; regional caseload%'!$B$85,'caseload data'!$D:$D,"PO")/SUMIF('caseload data'!$C:$C,'divisional &amp; regional caseload%'!$B$85,'caseload data'!P:P),"")</f>
        <v/>
      </c>
      <c r="O87" s="167" t="str">
        <f>IFERROR(SUMIFS('caseload data'!Q:Q,'caseload data'!$C:$C,'divisional &amp; regional caseload%'!$B$85,'caseload data'!$D:$D,"PO")/SUMIF('caseload data'!$C:$C,'divisional &amp; regional caseload%'!$B$85,'caseload data'!Q:Q),"")</f>
        <v/>
      </c>
      <c r="P87" s="167" t="str">
        <f>IFERROR(SUMIFS('caseload data'!R:R,'caseload data'!$C:$C,'divisional &amp; regional caseload%'!$B$85,'caseload data'!$D:$D,"PO")/SUMIF('caseload data'!$C:$C,'divisional &amp; regional caseload%'!$B$85,'caseload data'!R:R),"")</f>
        <v/>
      </c>
      <c r="Q87" s="167" t="str">
        <f>IFERROR(SUMIFS('caseload data'!S:S,'caseload data'!$C:$C,'divisional &amp; regional caseload%'!$B$85,'caseload data'!$D:$D,"PO")/SUMIF('caseload data'!$C:$C,'divisional &amp; regional caseload%'!$B$85,'caseload data'!S:S),"")</f>
        <v/>
      </c>
      <c r="R87" s="167" t="str">
        <f>IFERROR(SUMIFS('caseload data'!T:T,'caseload data'!$C:$C,'divisional &amp; regional caseload%'!$B$85,'caseload data'!$D:$D,"PO")/SUMIF('caseload data'!$C:$C,'divisional &amp; regional caseload%'!$B$85,'caseload data'!T:T),"")</f>
        <v/>
      </c>
      <c r="T87" s="96" t="s">
        <v>997</v>
      </c>
      <c r="U87" s="167" t="str">
        <f>IFERROR(SUMIFS('caseload data'!E:E,'caseload data'!$C:$C,'divisional &amp; regional caseload%'!$T$85,'caseload data'!$D:$D,"PO")/SUMIF('caseload data'!$C:$C,'divisional &amp; regional caseload%'!$T$85,'caseload data'!E:E),"")</f>
        <v/>
      </c>
      <c r="V87" s="167" t="str">
        <f>IFERROR(SUMIFS('caseload data'!F:F,'caseload data'!$C:$C,'divisional &amp; regional caseload%'!$T$85,'caseload data'!$D:$D,"PO")/SUMIF('caseload data'!$C:$C,'divisional &amp; regional caseload%'!$T$85,'caseload data'!F:F),"")</f>
        <v/>
      </c>
      <c r="W87" s="167" t="str">
        <f>IFERROR(SUMIFS('caseload data'!G:G,'caseload data'!$C:$C,'divisional &amp; regional caseload%'!$T$85,'caseload data'!$D:$D,"PO")/SUMIF('caseload data'!$C:$C,'divisional &amp; regional caseload%'!$T$85,'caseload data'!G:G),"")</f>
        <v/>
      </c>
      <c r="X87" s="167" t="str">
        <f>IFERROR(SUMIFS('caseload data'!H:H,'caseload data'!$C:$C,'divisional &amp; regional caseload%'!$T$85,'caseload data'!$D:$D,"PO")/SUMIF('caseload data'!$C:$C,'divisional &amp; regional caseload%'!$T$85,'caseload data'!H:H),"")</f>
        <v/>
      </c>
      <c r="Y87" s="167" t="str">
        <f>IFERROR(SUMIFS('caseload data'!I:I,'caseload data'!$C:$C,'divisional &amp; regional caseload%'!$T$85,'caseload data'!$D:$D,"PO")/SUMIF('caseload data'!$C:$C,'divisional &amp; regional caseload%'!$T$85,'caseload data'!I:I),"")</f>
        <v/>
      </c>
      <c r="Z87" s="167" t="str">
        <f>IFERROR(SUMIFS('caseload data'!J:J,'caseload data'!$C:$C,'divisional &amp; regional caseload%'!$T$85,'caseload data'!$D:$D,"PO")/SUMIF('caseload data'!$C:$C,'divisional &amp; regional caseload%'!$T$85,'caseload data'!J:J),"")</f>
        <v/>
      </c>
      <c r="AA87" s="167" t="str">
        <f>IFERROR(SUMIFS('caseload data'!K:K,'caseload data'!$C:$C,'divisional &amp; regional caseload%'!$T$85,'caseload data'!$D:$D,"PO")/SUMIF('caseload data'!$C:$C,'divisional &amp; regional caseload%'!$T$85,'caseload data'!K:K),"")</f>
        <v/>
      </c>
      <c r="AB87" s="167" t="str">
        <f>IFERROR(SUMIFS('caseload data'!L:L,'caseload data'!$C:$C,'divisional &amp; regional caseload%'!$T$85,'caseload data'!$D:$D,"PO")/SUMIF('caseload data'!$C:$C,'divisional &amp; regional caseload%'!$T$85,'caseload data'!L:L),"")</f>
        <v/>
      </c>
      <c r="AC87" s="167" t="str">
        <f>IFERROR(SUMIFS('caseload data'!M:M,'caseload data'!$C:$C,'divisional &amp; regional caseload%'!$T$85,'caseload data'!$D:$D,"PO")/SUMIF('caseload data'!$C:$C,'divisional &amp; regional caseload%'!$T$85,'caseload data'!M:M),"")</f>
        <v/>
      </c>
      <c r="AD87" s="167" t="str">
        <f>IFERROR(SUMIFS('caseload data'!N:N,'caseload data'!$C:$C,'divisional &amp; regional caseload%'!$T$85,'caseload data'!$D:$D,"PO")/SUMIF('caseload data'!$C:$C,'divisional &amp; regional caseload%'!$T$85,'caseload data'!N:N),"")</f>
        <v/>
      </c>
      <c r="AE87" s="167" t="str">
        <f>IFERROR(SUMIFS('caseload data'!O:O,'caseload data'!$C:$C,'divisional &amp; regional caseload%'!$T$85,'caseload data'!$D:$D,"PO")/SUMIF('caseload data'!$C:$C,'divisional &amp; regional caseload%'!$T$85,'caseload data'!O:O),"")</f>
        <v/>
      </c>
      <c r="AF87" s="167" t="str">
        <f>IFERROR(SUMIFS('caseload data'!P:P,'caseload data'!$C:$C,'divisional &amp; regional caseload%'!$T$85,'caseload data'!$D:$D,"PO")/SUMIF('caseload data'!$C:$C,'divisional &amp; regional caseload%'!$T$85,'caseload data'!P:P),"")</f>
        <v/>
      </c>
      <c r="AG87" s="167" t="str">
        <f>IFERROR(SUMIFS('caseload data'!Q:Q,'caseload data'!$C:$C,'divisional &amp; regional caseload%'!$T$85,'caseload data'!$D:$D,"PO")/SUMIF('caseload data'!$C:$C,'divisional &amp; regional caseload%'!$T$85,'caseload data'!Q:Q),"")</f>
        <v/>
      </c>
      <c r="AH87" s="167" t="str">
        <f>IFERROR(SUMIFS('caseload data'!R:R,'caseload data'!$C:$C,'divisional &amp; regional caseload%'!$T$85,'caseload data'!$D:$D,"PO")/SUMIF('caseload data'!$C:$C,'divisional &amp; regional caseload%'!$T$85,'caseload data'!R:R),"")</f>
        <v/>
      </c>
      <c r="AI87" s="167" t="str">
        <f>IFERROR(SUMIFS('caseload data'!S:S,'caseload data'!$C:$C,'divisional &amp; regional caseload%'!$T$85,'caseload data'!$D:$D,"PO")/SUMIF('caseload data'!$C:$C,'divisional &amp; regional caseload%'!$T$85,'caseload data'!S:S),"")</f>
        <v/>
      </c>
      <c r="AJ87" s="167" t="str">
        <f>IFERROR(SUMIFS('caseload data'!T:T,'caseload data'!$C:$C,'divisional &amp; regional caseload%'!$T$85,'caseload data'!$D:$D,"PO")/SUMIF('caseload data'!$C:$C,'divisional &amp; regional caseload%'!$T$85,'caseload data'!T:T),"")</f>
        <v/>
      </c>
    </row>
    <row r="88" spans="2:36" x14ac:dyDescent="0.15">
      <c r="B88" s="97" t="s">
        <v>1002</v>
      </c>
      <c r="C88" s="167" t="str">
        <f>IFERROR(SUMIFS('caseload data'!E:E,'caseload data'!$C:$C,'divisional &amp; regional caseload%'!$B$85,'caseload data'!$D:$D,"PSO")/SUMIF('caseload data'!$C:$C,'divisional &amp; regional caseload%'!$B$85,'caseload data'!E:E),"")</f>
        <v/>
      </c>
      <c r="D88" s="167" t="str">
        <f>IFERROR(SUMIFS('caseload data'!F:F,'caseload data'!$C:$C,'divisional &amp; regional caseload%'!$B$85,'caseload data'!$D:$D,"PSO")/SUMIF('caseload data'!$C:$C,'divisional &amp; regional caseload%'!$B$85,'caseload data'!F:F),"")</f>
        <v/>
      </c>
      <c r="E88" s="167" t="str">
        <f>IFERROR(SUMIFS('caseload data'!G:G,'caseload data'!$C:$C,'divisional &amp; regional caseload%'!$B$85,'caseload data'!$D:$D,"PSO")/SUMIF('caseload data'!$C:$C,'divisional &amp; regional caseload%'!$B$85,'caseload data'!G:G),"")</f>
        <v/>
      </c>
      <c r="F88" s="167" t="str">
        <f>IFERROR(SUMIFS('caseload data'!H:H,'caseload data'!$C:$C,'divisional &amp; regional caseload%'!$B$85,'caseload data'!$D:$D,"PSO")/SUMIF('caseload data'!$C:$C,'divisional &amp; regional caseload%'!$B$85,'caseload data'!H:H),"")</f>
        <v/>
      </c>
      <c r="G88" s="167" t="str">
        <f>IFERROR(SUMIFS('caseload data'!I:I,'caseload data'!$C:$C,'divisional &amp; regional caseload%'!$B$85,'caseload data'!$D:$D,"PSO")/SUMIF('caseload data'!$C:$C,'divisional &amp; regional caseload%'!$B$85,'caseload data'!I:I),"")</f>
        <v/>
      </c>
      <c r="H88" s="167" t="str">
        <f>IFERROR(SUMIFS('caseload data'!J:J,'caseload data'!$C:$C,'divisional &amp; regional caseload%'!$B$85,'caseload data'!$D:$D,"PSO")/SUMIF('caseload data'!$C:$C,'divisional &amp; regional caseload%'!$B$85,'caseload data'!J:J),"")</f>
        <v/>
      </c>
      <c r="I88" s="167" t="str">
        <f>IFERROR(SUMIFS('caseload data'!K:K,'caseload data'!$C:$C,'divisional &amp; regional caseload%'!$B$85,'caseload data'!$D:$D,"PSO")/SUMIF('caseload data'!$C:$C,'divisional &amp; regional caseload%'!$B$85,'caseload data'!K:K),"")</f>
        <v/>
      </c>
      <c r="J88" s="167" t="str">
        <f>IFERROR(SUMIFS('caseload data'!L:L,'caseload data'!$C:$C,'divisional &amp; regional caseload%'!$B$85,'caseload data'!$D:$D,"PSO")/SUMIF('caseload data'!$C:$C,'divisional &amp; regional caseload%'!$B$85,'caseload data'!L:L),"")</f>
        <v/>
      </c>
      <c r="K88" s="167" t="str">
        <f>IFERROR(SUMIFS('caseload data'!M:M,'caseload data'!$C:$C,'divisional &amp; regional caseload%'!$B$85,'caseload data'!$D:$D,"PSO")/SUMIF('caseload data'!$C:$C,'divisional &amp; regional caseload%'!$B$85,'caseload data'!M:M),"")</f>
        <v/>
      </c>
      <c r="L88" s="167" t="str">
        <f>IFERROR(SUMIFS('caseload data'!N:N,'caseload data'!$C:$C,'divisional &amp; regional caseload%'!$B$85,'caseload data'!$D:$D,"PSO")/SUMIF('caseload data'!$C:$C,'divisional &amp; regional caseload%'!$B$85,'caseload data'!N:N),"")</f>
        <v/>
      </c>
      <c r="M88" s="167" t="str">
        <f>IFERROR(SUMIFS('caseload data'!O:O,'caseload data'!$C:$C,'divisional &amp; regional caseload%'!$B$85,'caseload data'!$D:$D,"PSO")/SUMIF('caseload data'!$C:$C,'divisional &amp; regional caseload%'!$B$85,'caseload data'!O:O),"")</f>
        <v/>
      </c>
      <c r="N88" s="167" t="str">
        <f>IFERROR(SUMIFS('caseload data'!P:P,'caseload data'!$C:$C,'divisional &amp; regional caseload%'!$B$85,'caseload data'!$D:$D,"PSO")/SUMIF('caseload data'!$C:$C,'divisional &amp; regional caseload%'!$B$85,'caseload data'!P:P),"")</f>
        <v/>
      </c>
      <c r="O88" s="167" t="str">
        <f>IFERROR(SUMIFS('caseload data'!Q:Q,'caseload data'!$C:$C,'divisional &amp; regional caseload%'!$B$85,'caseload data'!$D:$D,"PSO")/SUMIF('caseload data'!$C:$C,'divisional &amp; regional caseload%'!$B$85,'caseload data'!Q:Q),"")</f>
        <v/>
      </c>
      <c r="P88" s="167" t="str">
        <f>IFERROR(SUMIFS('caseload data'!R:R,'caseload data'!$C:$C,'divisional &amp; regional caseload%'!$B$85,'caseload data'!$D:$D,"PSO")/SUMIF('caseload data'!$C:$C,'divisional &amp; regional caseload%'!$B$85,'caseload data'!R:R),"")</f>
        <v/>
      </c>
      <c r="Q88" s="167" t="str">
        <f>IFERROR(SUMIFS('caseload data'!S:S,'caseload data'!$C:$C,'divisional &amp; regional caseload%'!$B$85,'caseload data'!$D:$D,"PSO")/SUMIF('caseload data'!$C:$C,'divisional &amp; regional caseload%'!$B$85,'caseload data'!S:S),"")</f>
        <v/>
      </c>
      <c r="R88" s="167" t="str">
        <f>IFERROR(SUMIFS('caseload data'!T:T,'caseload data'!$C:$C,'divisional &amp; regional caseload%'!$B$85,'caseload data'!$D:$D,"PSO")/SUMIF('caseload data'!$C:$C,'divisional &amp; regional caseload%'!$B$85,'caseload data'!T:T),"")</f>
        <v/>
      </c>
      <c r="T88" s="97" t="s">
        <v>1002</v>
      </c>
      <c r="U88" s="167" t="str">
        <f>IFERROR(SUMIFS('caseload data'!E:E,'caseload data'!$C:$C,'divisional &amp; regional caseload%'!$T$85,'caseload data'!$D:$D,"PSO")/SUMIF('caseload data'!$C:$C,'divisional &amp; regional caseload%'!$T$85,'caseload data'!E:E),"")</f>
        <v/>
      </c>
      <c r="V88" s="167" t="str">
        <f>IFERROR(SUMIFS('caseload data'!F:F,'caseload data'!$C:$C,'divisional &amp; regional caseload%'!$T$85,'caseload data'!$D:$D,"PSO")/SUMIF('caseload data'!$C:$C,'divisional &amp; regional caseload%'!$T$85,'caseload data'!F:F),"")</f>
        <v/>
      </c>
      <c r="W88" s="167" t="str">
        <f>IFERROR(SUMIFS('caseload data'!G:G,'caseload data'!$C:$C,'divisional &amp; regional caseload%'!$T$85,'caseload data'!$D:$D,"PSO")/SUMIF('caseload data'!$C:$C,'divisional &amp; regional caseload%'!$T$85,'caseload data'!G:G),"")</f>
        <v/>
      </c>
      <c r="X88" s="167" t="str">
        <f>IFERROR(SUMIFS('caseload data'!H:H,'caseload data'!$C:$C,'divisional &amp; regional caseload%'!$T$85,'caseload data'!$D:$D,"PSO")/SUMIF('caseload data'!$C:$C,'divisional &amp; regional caseload%'!$T$85,'caseload data'!H:H),"")</f>
        <v/>
      </c>
      <c r="Y88" s="167" t="str">
        <f>IFERROR(SUMIFS('caseload data'!I:I,'caseload data'!$C:$C,'divisional &amp; regional caseload%'!$T$85,'caseload data'!$D:$D,"PSO")/SUMIF('caseload data'!$C:$C,'divisional &amp; regional caseload%'!$T$85,'caseload data'!I:I),"")</f>
        <v/>
      </c>
      <c r="Z88" s="167" t="str">
        <f>IFERROR(SUMIFS('caseload data'!J:J,'caseload data'!$C:$C,'divisional &amp; regional caseload%'!$T$85,'caseload data'!$D:$D,"PSO")/SUMIF('caseload data'!$C:$C,'divisional &amp; regional caseload%'!$T$85,'caseload data'!J:J),"")</f>
        <v/>
      </c>
      <c r="AA88" s="167" t="str">
        <f>IFERROR(SUMIFS('caseload data'!K:K,'caseload data'!$C:$C,'divisional &amp; regional caseload%'!$T$85,'caseload data'!$D:$D,"PSO")/SUMIF('caseload data'!$C:$C,'divisional &amp; regional caseload%'!$T$85,'caseload data'!K:K),"")</f>
        <v/>
      </c>
      <c r="AB88" s="167" t="str">
        <f>IFERROR(SUMIFS('caseload data'!L:L,'caseload data'!$C:$C,'divisional &amp; regional caseload%'!$T$85,'caseload data'!$D:$D,"PSO")/SUMIF('caseload data'!$C:$C,'divisional &amp; regional caseload%'!$T$85,'caseload data'!L:L),"")</f>
        <v/>
      </c>
      <c r="AC88" s="167" t="str">
        <f>IFERROR(SUMIFS('caseload data'!M:M,'caseload data'!$C:$C,'divisional &amp; regional caseload%'!$T$85,'caseload data'!$D:$D,"PSO")/SUMIF('caseload data'!$C:$C,'divisional &amp; regional caseload%'!$T$85,'caseload data'!M:M),"")</f>
        <v/>
      </c>
      <c r="AD88" s="167" t="str">
        <f>IFERROR(SUMIFS('caseload data'!N:N,'caseload data'!$C:$C,'divisional &amp; regional caseload%'!$T$85,'caseload data'!$D:$D,"PSO")/SUMIF('caseload data'!$C:$C,'divisional &amp; regional caseload%'!$T$85,'caseload data'!N:N),"")</f>
        <v/>
      </c>
      <c r="AE88" s="167" t="str">
        <f>IFERROR(SUMIFS('caseload data'!O:O,'caseload data'!$C:$C,'divisional &amp; regional caseload%'!$T$85,'caseload data'!$D:$D,"PSO")/SUMIF('caseload data'!$C:$C,'divisional &amp; regional caseload%'!$T$85,'caseload data'!O:O),"")</f>
        <v/>
      </c>
      <c r="AF88" s="167" t="str">
        <f>IFERROR(SUMIFS('caseload data'!P:P,'caseload data'!$C:$C,'divisional &amp; regional caseload%'!$T$85,'caseload data'!$D:$D,"PSO")/SUMIF('caseload data'!$C:$C,'divisional &amp; regional caseload%'!$T$85,'caseload data'!P:P),"")</f>
        <v/>
      </c>
      <c r="AG88" s="167" t="str">
        <f>IFERROR(SUMIFS('caseload data'!Q:Q,'caseload data'!$C:$C,'divisional &amp; regional caseload%'!$T$85,'caseload data'!$D:$D,"PSO")/SUMIF('caseload data'!$C:$C,'divisional &amp; regional caseload%'!$T$85,'caseload data'!Q:Q),"")</f>
        <v/>
      </c>
      <c r="AH88" s="167" t="str">
        <f>IFERROR(SUMIFS('caseload data'!R:R,'caseload data'!$C:$C,'divisional &amp; regional caseload%'!$T$85,'caseload data'!$D:$D,"PSO")/SUMIF('caseload data'!$C:$C,'divisional &amp; regional caseload%'!$T$85,'caseload data'!R:R),"")</f>
        <v/>
      </c>
      <c r="AI88" s="167" t="str">
        <f>IFERROR(SUMIFS('caseload data'!S:S,'caseload data'!$C:$C,'divisional &amp; regional caseload%'!$T$85,'caseload data'!$D:$D,"PSO")/SUMIF('caseload data'!$C:$C,'divisional &amp; regional caseload%'!$T$85,'caseload data'!S:S),"")</f>
        <v/>
      </c>
      <c r="AJ88" s="167" t="str">
        <f>IFERROR(SUMIFS('caseload data'!T:T,'caseload data'!$C:$C,'divisional &amp; regional caseload%'!$T$85,'caseload data'!$D:$D,"PSO")/SUMIF('caseload data'!$C:$C,'divisional &amp; regional caseload%'!$T$85,'caseload data'!T:T),"")</f>
        <v/>
      </c>
    </row>
    <row r="89" spans="2:36" x14ac:dyDescent="0.15">
      <c r="B89" s="97" t="s">
        <v>1003</v>
      </c>
      <c r="C89" s="167" t="str">
        <f>IFERROR(SUMIFS('caseload data'!E:E,'caseload data'!$C:$C,'divisional &amp; regional caseload%'!$B$85,'caseload data'!$D:$D,"TPO")/SUMIF('caseload data'!$C:$C,'divisional &amp; regional caseload%'!$B$85,'caseload data'!E:E),"")</f>
        <v/>
      </c>
      <c r="D89" s="167" t="str">
        <f>IFERROR(SUMIFS('caseload data'!F:F,'caseload data'!$C:$C,'divisional &amp; regional caseload%'!$B$85,'caseload data'!$D:$D,"TPO")/SUMIF('caseload data'!$C:$C,'divisional &amp; regional caseload%'!$B$85,'caseload data'!F:F),"")</f>
        <v/>
      </c>
      <c r="E89" s="167" t="str">
        <f>IFERROR(SUMIFS('caseload data'!G:G,'caseload data'!$C:$C,'divisional &amp; regional caseload%'!$B$85,'caseload data'!$D:$D,"TPO")/SUMIF('caseload data'!$C:$C,'divisional &amp; regional caseload%'!$B$85,'caseload data'!G:G),"")</f>
        <v/>
      </c>
      <c r="F89" s="167" t="str">
        <f>IFERROR(SUMIFS('caseload data'!H:H,'caseload data'!$C:$C,'divisional &amp; regional caseload%'!$B$85,'caseload data'!$D:$D,"TPO")/SUMIF('caseload data'!$C:$C,'divisional &amp; regional caseload%'!$B$85,'caseload data'!H:H),"")</f>
        <v/>
      </c>
      <c r="G89" s="167" t="str">
        <f>IFERROR(SUMIFS('caseload data'!I:I,'caseload data'!$C:$C,'divisional &amp; regional caseload%'!$B$85,'caseload data'!$D:$D,"TPO")/SUMIF('caseload data'!$C:$C,'divisional &amp; regional caseload%'!$B$85,'caseload data'!I:I),"")</f>
        <v/>
      </c>
      <c r="H89" s="167" t="str">
        <f>IFERROR(SUMIFS('caseload data'!J:J,'caseload data'!$C:$C,'divisional &amp; regional caseload%'!$B$85,'caseload data'!$D:$D,"TPO")/SUMIF('caseload data'!$C:$C,'divisional &amp; regional caseload%'!$B$85,'caseload data'!J:J),"")</f>
        <v/>
      </c>
      <c r="I89" s="167" t="str">
        <f>IFERROR(SUMIFS('caseload data'!K:K,'caseload data'!$C:$C,'divisional &amp; regional caseload%'!$B$85,'caseload data'!$D:$D,"TPO")/SUMIF('caseload data'!$C:$C,'divisional &amp; regional caseload%'!$B$85,'caseload data'!K:K),"")</f>
        <v/>
      </c>
      <c r="J89" s="167" t="str">
        <f>IFERROR(SUMIFS('caseload data'!L:L,'caseload data'!$C:$C,'divisional &amp; regional caseload%'!$B$85,'caseload data'!$D:$D,"TPO")/SUMIF('caseload data'!$C:$C,'divisional &amp; regional caseload%'!$B$85,'caseload data'!L:L),"")</f>
        <v/>
      </c>
      <c r="K89" s="167" t="str">
        <f>IFERROR(SUMIFS('caseload data'!M:M,'caseload data'!$C:$C,'divisional &amp; regional caseload%'!$B$85,'caseload data'!$D:$D,"TPO")/SUMIF('caseload data'!$C:$C,'divisional &amp; regional caseload%'!$B$85,'caseload data'!M:M),"")</f>
        <v/>
      </c>
      <c r="L89" s="167" t="str">
        <f>IFERROR(SUMIFS('caseload data'!N:N,'caseload data'!$C:$C,'divisional &amp; regional caseload%'!$B$85,'caseload data'!$D:$D,"TPO")/SUMIF('caseload data'!$C:$C,'divisional &amp; regional caseload%'!$B$85,'caseload data'!N:N),"")</f>
        <v/>
      </c>
      <c r="M89" s="167" t="str">
        <f>IFERROR(SUMIFS('caseload data'!O:O,'caseload data'!$C:$C,'divisional &amp; regional caseload%'!$B$85,'caseload data'!$D:$D,"TPO")/SUMIF('caseload data'!$C:$C,'divisional &amp; regional caseload%'!$B$85,'caseload data'!O:O),"")</f>
        <v/>
      </c>
      <c r="N89" s="167" t="str">
        <f>IFERROR(SUMIFS('caseload data'!P:P,'caseload data'!$C:$C,'divisional &amp; regional caseload%'!$B$85,'caseload data'!$D:$D,"TPO")/SUMIF('caseload data'!$C:$C,'divisional &amp; regional caseload%'!$B$85,'caseload data'!P:P),"")</f>
        <v/>
      </c>
      <c r="O89" s="167" t="str">
        <f>IFERROR(SUMIFS('caseload data'!Q:Q,'caseload data'!$C:$C,'divisional &amp; regional caseload%'!$B$85,'caseload data'!$D:$D,"TPO")/SUMIF('caseload data'!$C:$C,'divisional &amp; regional caseload%'!$B$85,'caseload data'!Q:Q),"")</f>
        <v/>
      </c>
      <c r="P89" s="167" t="str">
        <f>IFERROR(SUMIFS('caseload data'!R:R,'caseload data'!$C:$C,'divisional &amp; regional caseload%'!$B$85,'caseload data'!$D:$D,"TPO")/SUMIF('caseload data'!$C:$C,'divisional &amp; regional caseload%'!$B$85,'caseload data'!R:R),"")</f>
        <v/>
      </c>
      <c r="Q89" s="167" t="str">
        <f>IFERROR(SUMIFS('caseload data'!S:S,'caseload data'!$C:$C,'divisional &amp; regional caseload%'!$B$85,'caseload data'!$D:$D,"TPO")/SUMIF('caseload data'!$C:$C,'divisional &amp; regional caseload%'!$B$85,'caseload data'!S:S),"")</f>
        <v/>
      </c>
      <c r="R89" s="167" t="str">
        <f>IFERROR(SUMIFS('caseload data'!T:T,'caseload data'!$C:$C,'divisional &amp; regional caseload%'!$B$85,'caseload data'!$D:$D,"TPO")/SUMIF('caseload data'!$C:$C,'divisional &amp; regional caseload%'!$B$85,'caseload data'!T:T),"")</f>
        <v/>
      </c>
      <c r="T89" s="97" t="s">
        <v>1003</v>
      </c>
      <c r="U89" s="167" t="str">
        <f>IFERROR(SUMIFS('caseload data'!E:E,'caseload data'!$C:$C,'divisional &amp; regional caseload%'!$T$85,'caseload data'!$D:$D,"TPO")/SUMIF('caseload data'!$C:$C,'divisional &amp; regional caseload%'!$T$85,'caseload data'!E:E),"")</f>
        <v/>
      </c>
      <c r="V89" s="167" t="str">
        <f>IFERROR(SUMIFS('caseload data'!F:F,'caseload data'!$C:$C,'divisional &amp; regional caseload%'!$T$85,'caseload data'!$D:$D,"TPO")/SUMIF('caseload data'!$C:$C,'divisional &amp; regional caseload%'!$T$85,'caseload data'!F:F),"")</f>
        <v/>
      </c>
      <c r="W89" s="167" t="str">
        <f>IFERROR(SUMIFS('caseload data'!G:G,'caseload data'!$C:$C,'divisional &amp; regional caseload%'!$T$85,'caseload data'!$D:$D,"TPO")/SUMIF('caseload data'!$C:$C,'divisional &amp; regional caseload%'!$T$85,'caseload data'!G:G),"")</f>
        <v/>
      </c>
      <c r="X89" s="167" t="str">
        <f>IFERROR(SUMIFS('caseload data'!H:H,'caseload data'!$C:$C,'divisional &amp; regional caseload%'!$T$85,'caseload data'!$D:$D,"TPO")/SUMIF('caseload data'!$C:$C,'divisional &amp; regional caseload%'!$T$85,'caseload data'!H:H),"")</f>
        <v/>
      </c>
      <c r="Y89" s="167" t="str">
        <f>IFERROR(SUMIFS('caseload data'!I:I,'caseload data'!$C:$C,'divisional &amp; regional caseload%'!$T$85,'caseload data'!$D:$D,"TPO")/SUMIF('caseload data'!$C:$C,'divisional &amp; regional caseload%'!$T$85,'caseload data'!I:I),"")</f>
        <v/>
      </c>
      <c r="Z89" s="167" t="str">
        <f>IFERROR(SUMIFS('caseload data'!J:J,'caseload data'!$C:$C,'divisional &amp; regional caseload%'!$T$85,'caseload data'!$D:$D,"TPO")/SUMIF('caseload data'!$C:$C,'divisional &amp; regional caseload%'!$T$85,'caseload data'!J:J),"")</f>
        <v/>
      </c>
      <c r="AA89" s="167" t="str">
        <f>IFERROR(SUMIFS('caseload data'!K:K,'caseload data'!$C:$C,'divisional &amp; regional caseload%'!$T$85,'caseload data'!$D:$D,"TPO")/SUMIF('caseload data'!$C:$C,'divisional &amp; regional caseload%'!$T$85,'caseload data'!K:K),"")</f>
        <v/>
      </c>
      <c r="AB89" s="167" t="str">
        <f>IFERROR(SUMIFS('caseload data'!L:L,'caseload data'!$C:$C,'divisional &amp; regional caseload%'!$T$85,'caseload data'!$D:$D,"TPO")/SUMIF('caseload data'!$C:$C,'divisional &amp; regional caseload%'!$T$85,'caseload data'!L:L),"")</f>
        <v/>
      </c>
      <c r="AC89" s="167" t="str">
        <f>IFERROR(SUMIFS('caseload data'!M:M,'caseload data'!$C:$C,'divisional &amp; regional caseload%'!$T$85,'caseload data'!$D:$D,"TPO")/SUMIF('caseload data'!$C:$C,'divisional &amp; regional caseload%'!$T$85,'caseload data'!M:M),"")</f>
        <v/>
      </c>
      <c r="AD89" s="167" t="str">
        <f>IFERROR(SUMIFS('caseload data'!N:N,'caseload data'!$C:$C,'divisional &amp; regional caseload%'!$T$85,'caseload data'!$D:$D,"TPO")/SUMIF('caseload data'!$C:$C,'divisional &amp; regional caseload%'!$T$85,'caseload data'!N:N),"")</f>
        <v/>
      </c>
      <c r="AE89" s="167" t="str">
        <f>IFERROR(SUMIFS('caseload data'!O:O,'caseload data'!$C:$C,'divisional &amp; regional caseload%'!$T$85,'caseload data'!$D:$D,"TPO")/SUMIF('caseload data'!$C:$C,'divisional &amp; regional caseload%'!$T$85,'caseload data'!O:O),"")</f>
        <v/>
      </c>
      <c r="AF89" s="167" t="str">
        <f>IFERROR(SUMIFS('caseload data'!P:P,'caseload data'!$C:$C,'divisional &amp; regional caseload%'!$T$85,'caseload data'!$D:$D,"TPO")/SUMIF('caseload data'!$C:$C,'divisional &amp; regional caseload%'!$T$85,'caseload data'!P:P),"")</f>
        <v/>
      </c>
      <c r="AG89" s="167" t="str">
        <f>IFERROR(SUMIFS('caseload data'!Q:Q,'caseload data'!$C:$C,'divisional &amp; regional caseload%'!$T$85,'caseload data'!$D:$D,"TPO")/SUMIF('caseload data'!$C:$C,'divisional &amp; regional caseload%'!$T$85,'caseload data'!Q:Q),"")</f>
        <v/>
      </c>
      <c r="AH89" s="167" t="str">
        <f>IFERROR(SUMIFS('caseload data'!R:R,'caseload data'!$C:$C,'divisional &amp; regional caseload%'!$T$85,'caseload data'!$D:$D,"TPO")/SUMIF('caseload data'!$C:$C,'divisional &amp; regional caseload%'!$T$85,'caseload data'!R:R),"")</f>
        <v/>
      </c>
      <c r="AI89" s="167" t="str">
        <f>IFERROR(SUMIFS('caseload data'!S:S,'caseload data'!$C:$C,'divisional &amp; regional caseload%'!$T$85,'caseload data'!$D:$D,"TPO")/SUMIF('caseload data'!$C:$C,'divisional &amp; regional caseload%'!$T$85,'caseload data'!S:S),"")</f>
        <v/>
      </c>
      <c r="AJ89" s="167" t="str">
        <f>IFERROR(SUMIFS('caseload data'!T:T,'caseload data'!$C:$C,'divisional &amp; regional caseload%'!$T$85,'caseload data'!$D:$D,"TPO")/SUMIF('caseload data'!$C:$C,'divisional &amp; regional caseload%'!$T$85,'caseload data'!T:T),"")</f>
        <v/>
      </c>
    </row>
    <row r="90" spans="2:36" x14ac:dyDescent="0.15">
      <c r="B90" s="98" t="s">
        <v>1004</v>
      </c>
      <c r="C90" s="167" t="str">
        <f>IFERROR(SUMIFS('caseload data'!E:E,'caseload data'!$C:$C,'divisional &amp; regional caseload%'!$B$85,'caseload data'!$D:$D,"SPO")/SUMIF('caseload data'!$C:$C,'divisional &amp; regional caseload%'!$B$85,'caseload data'!E:E),"")</f>
        <v/>
      </c>
      <c r="D90" s="167" t="str">
        <f>IFERROR(SUMIFS('caseload data'!F:F,'caseload data'!$C:$C,'divisional &amp; regional caseload%'!$B$85,'caseload data'!$D:$D,"SPO")/SUMIF('caseload data'!$C:$C,'divisional &amp; regional caseload%'!$B$85,'caseload data'!F:F),"")</f>
        <v/>
      </c>
      <c r="E90" s="167" t="str">
        <f>IFERROR(SUMIFS('caseload data'!G:G,'caseload data'!$C:$C,'divisional &amp; regional caseload%'!$B$85,'caseload data'!$D:$D,"SPO")/SUMIF('caseload data'!$C:$C,'divisional &amp; regional caseload%'!$B$85,'caseload data'!G:G),"")</f>
        <v/>
      </c>
      <c r="F90" s="167" t="str">
        <f>IFERROR(SUMIFS('caseload data'!H:H,'caseload data'!$C:$C,'divisional &amp; regional caseload%'!$B$85,'caseload data'!$D:$D,"SPO")/SUMIF('caseload data'!$C:$C,'divisional &amp; regional caseload%'!$B$85,'caseload data'!H:H),"")</f>
        <v/>
      </c>
      <c r="G90" s="167" t="str">
        <f>IFERROR(SUMIFS('caseload data'!I:I,'caseload data'!$C:$C,'divisional &amp; regional caseload%'!$B$85,'caseload data'!$D:$D,"SPO")/SUMIF('caseload data'!$C:$C,'divisional &amp; regional caseload%'!$B$85,'caseload data'!I:I),"")</f>
        <v/>
      </c>
      <c r="H90" s="167" t="str">
        <f>IFERROR(SUMIFS('caseload data'!J:J,'caseload data'!$C:$C,'divisional &amp; regional caseload%'!$B$85,'caseload data'!$D:$D,"SPO")/SUMIF('caseload data'!$C:$C,'divisional &amp; regional caseload%'!$B$85,'caseload data'!J:J),"")</f>
        <v/>
      </c>
      <c r="I90" s="167" t="str">
        <f>IFERROR(SUMIFS('caseload data'!K:K,'caseload data'!$C:$C,'divisional &amp; regional caseload%'!$B$85,'caseload data'!$D:$D,"SPO")/SUMIF('caseload data'!$C:$C,'divisional &amp; regional caseload%'!$B$85,'caseload data'!K:K),"")</f>
        <v/>
      </c>
      <c r="J90" s="167" t="str">
        <f>IFERROR(SUMIFS('caseload data'!L:L,'caseload data'!$C:$C,'divisional &amp; regional caseload%'!$B$85,'caseload data'!$D:$D,"SPO")/SUMIF('caseload data'!$C:$C,'divisional &amp; regional caseload%'!$B$85,'caseload data'!L:L),"")</f>
        <v/>
      </c>
      <c r="K90" s="167" t="str">
        <f>IFERROR(SUMIFS('caseload data'!M:M,'caseload data'!$C:$C,'divisional &amp; regional caseload%'!$B$85,'caseload data'!$D:$D,"SPO")/SUMIF('caseload data'!$C:$C,'divisional &amp; regional caseload%'!$B$85,'caseload data'!M:M),"")</f>
        <v/>
      </c>
      <c r="L90" s="167" t="str">
        <f>IFERROR(SUMIFS('caseload data'!N:N,'caseload data'!$C:$C,'divisional &amp; regional caseload%'!$B$85,'caseload data'!$D:$D,"SPO")/SUMIF('caseload data'!$C:$C,'divisional &amp; regional caseload%'!$B$85,'caseload data'!N:N),"")</f>
        <v/>
      </c>
      <c r="M90" s="167" t="str">
        <f>IFERROR(SUMIFS('caseload data'!O:O,'caseload data'!$C:$C,'divisional &amp; regional caseload%'!$B$85,'caseload data'!$D:$D,"SPO")/SUMIF('caseload data'!$C:$C,'divisional &amp; regional caseload%'!$B$85,'caseload data'!O:O),"")</f>
        <v/>
      </c>
      <c r="N90" s="167" t="str">
        <f>IFERROR(SUMIFS('caseload data'!P:P,'caseload data'!$C:$C,'divisional &amp; regional caseload%'!$B$85,'caseload data'!$D:$D,"SPO")/SUMIF('caseload data'!$C:$C,'divisional &amp; regional caseload%'!$B$85,'caseload data'!P:P),"")</f>
        <v/>
      </c>
      <c r="O90" s="167" t="str">
        <f>IFERROR(SUMIFS('caseload data'!Q:Q,'caseload data'!$C:$C,'divisional &amp; regional caseload%'!$B$85,'caseload data'!$D:$D,"SPO")/SUMIF('caseload data'!$C:$C,'divisional &amp; regional caseload%'!$B$85,'caseload data'!Q:Q),"")</f>
        <v/>
      </c>
      <c r="P90" s="167" t="str">
        <f>IFERROR(SUMIFS('caseload data'!R:R,'caseload data'!$C:$C,'divisional &amp; regional caseload%'!$B$85,'caseload data'!$D:$D,"SPO")/SUMIF('caseload data'!$C:$C,'divisional &amp; regional caseload%'!$B$85,'caseload data'!R:R),"")</f>
        <v/>
      </c>
      <c r="Q90" s="167" t="str">
        <f>IFERROR(SUMIFS('caseload data'!S:S,'caseload data'!$C:$C,'divisional &amp; regional caseload%'!$B$85,'caseload data'!$D:$D,"SPO")/SUMIF('caseload data'!$C:$C,'divisional &amp; regional caseload%'!$B$85,'caseload data'!S:S),"")</f>
        <v/>
      </c>
      <c r="R90" s="167" t="str">
        <f>IFERROR(SUMIFS('caseload data'!T:T,'caseload data'!$C:$C,'divisional &amp; regional caseload%'!$B$85,'caseload data'!$D:$D,"SPO")/SUMIF('caseload data'!$C:$C,'divisional &amp; regional caseload%'!$B$85,'caseload data'!T:T),"")</f>
        <v/>
      </c>
      <c r="T90" s="98" t="s">
        <v>1004</v>
      </c>
      <c r="U90" s="167" t="str">
        <f>IFERROR(SUMIFS('caseload data'!E:E,'caseload data'!$C:$C,'divisional &amp; regional caseload%'!$T$85,'caseload data'!$D:$D,"SPO")/SUMIF('caseload data'!$C:$C,'divisional &amp; regional caseload%'!$T$85,'caseload data'!E:E),"")</f>
        <v/>
      </c>
      <c r="V90" s="167" t="str">
        <f>IFERROR(SUMIFS('caseload data'!F:F,'caseload data'!$C:$C,'divisional &amp; regional caseload%'!$T$85,'caseload data'!$D:$D,"SPO")/SUMIF('caseload data'!$C:$C,'divisional &amp; regional caseload%'!$T$85,'caseload data'!F:F),"")</f>
        <v/>
      </c>
      <c r="W90" s="167" t="str">
        <f>IFERROR(SUMIFS('caseload data'!G:G,'caseload data'!$C:$C,'divisional &amp; regional caseload%'!$T$85,'caseload data'!$D:$D,"SPO")/SUMIF('caseload data'!$C:$C,'divisional &amp; regional caseload%'!$T$85,'caseload data'!G:G),"")</f>
        <v/>
      </c>
      <c r="X90" s="167" t="str">
        <f>IFERROR(SUMIFS('caseload data'!H:H,'caseload data'!$C:$C,'divisional &amp; regional caseload%'!$T$85,'caseload data'!$D:$D,"SPO")/SUMIF('caseload data'!$C:$C,'divisional &amp; regional caseload%'!$T$85,'caseload data'!H:H),"")</f>
        <v/>
      </c>
      <c r="Y90" s="167" t="str">
        <f>IFERROR(SUMIFS('caseload data'!I:I,'caseload data'!$C:$C,'divisional &amp; regional caseload%'!$T$85,'caseload data'!$D:$D,"SPO")/SUMIF('caseload data'!$C:$C,'divisional &amp; regional caseload%'!$T$85,'caseload data'!I:I),"")</f>
        <v/>
      </c>
      <c r="Z90" s="167" t="str">
        <f>IFERROR(SUMIFS('caseload data'!J:J,'caseload data'!$C:$C,'divisional &amp; regional caseload%'!$T$85,'caseload data'!$D:$D,"SPO")/SUMIF('caseload data'!$C:$C,'divisional &amp; regional caseload%'!$T$85,'caseload data'!J:J),"")</f>
        <v/>
      </c>
      <c r="AA90" s="167" t="str">
        <f>IFERROR(SUMIFS('caseload data'!K:K,'caseload data'!$C:$C,'divisional &amp; regional caseload%'!$T$85,'caseload data'!$D:$D,"SPO")/SUMIF('caseload data'!$C:$C,'divisional &amp; regional caseload%'!$T$85,'caseload data'!K:K),"")</f>
        <v/>
      </c>
      <c r="AB90" s="167" t="str">
        <f>IFERROR(SUMIFS('caseload data'!L:L,'caseload data'!$C:$C,'divisional &amp; regional caseload%'!$T$85,'caseload data'!$D:$D,"SPO")/SUMIF('caseload data'!$C:$C,'divisional &amp; regional caseload%'!$T$85,'caseload data'!L:L),"")</f>
        <v/>
      </c>
      <c r="AC90" s="167" t="str">
        <f>IFERROR(SUMIFS('caseload data'!M:M,'caseload data'!$C:$C,'divisional &amp; regional caseload%'!$T$85,'caseload data'!$D:$D,"SPO")/SUMIF('caseload data'!$C:$C,'divisional &amp; regional caseload%'!$T$85,'caseload data'!M:M),"")</f>
        <v/>
      </c>
      <c r="AD90" s="167" t="str">
        <f>IFERROR(SUMIFS('caseload data'!N:N,'caseload data'!$C:$C,'divisional &amp; regional caseload%'!$T$85,'caseload data'!$D:$D,"SPO")/SUMIF('caseload data'!$C:$C,'divisional &amp; regional caseload%'!$T$85,'caseload data'!N:N),"")</f>
        <v/>
      </c>
      <c r="AE90" s="167" t="str">
        <f>IFERROR(SUMIFS('caseload data'!O:O,'caseload data'!$C:$C,'divisional &amp; regional caseload%'!$T$85,'caseload data'!$D:$D,"SPO")/SUMIF('caseload data'!$C:$C,'divisional &amp; regional caseload%'!$T$85,'caseload data'!O:O),"")</f>
        <v/>
      </c>
      <c r="AF90" s="167" t="str">
        <f>IFERROR(SUMIFS('caseload data'!P:P,'caseload data'!$C:$C,'divisional &amp; regional caseload%'!$T$85,'caseload data'!$D:$D,"SPO")/SUMIF('caseload data'!$C:$C,'divisional &amp; regional caseload%'!$T$85,'caseload data'!P:P),"")</f>
        <v/>
      </c>
      <c r="AG90" s="167" t="str">
        <f>IFERROR(SUMIFS('caseload data'!Q:Q,'caseload data'!$C:$C,'divisional &amp; regional caseload%'!$T$85,'caseload data'!$D:$D,"SPO")/SUMIF('caseload data'!$C:$C,'divisional &amp; regional caseload%'!$T$85,'caseload data'!Q:Q),"")</f>
        <v/>
      </c>
      <c r="AH90" s="167" t="str">
        <f>IFERROR(SUMIFS('caseload data'!R:R,'caseload data'!$C:$C,'divisional &amp; regional caseload%'!$T$85,'caseload data'!$D:$D,"SPO")/SUMIF('caseload data'!$C:$C,'divisional &amp; regional caseload%'!$T$85,'caseload data'!R:R),"")</f>
        <v/>
      </c>
      <c r="AI90" s="167" t="str">
        <f>IFERROR(SUMIFS('caseload data'!S:S,'caseload data'!$C:$C,'divisional &amp; regional caseload%'!$T$85,'caseload data'!$D:$D,"SPO")/SUMIF('caseload data'!$C:$C,'divisional &amp; regional caseload%'!$T$85,'caseload data'!S:S),"")</f>
        <v/>
      </c>
      <c r="AJ90" s="167" t="str">
        <f>IFERROR(SUMIFS('caseload data'!T:T,'caseload data'!$C:$C,'divisional &amp; regional caseload%'!$T$85,'caseload data'!$D:$D,"SPO")/SUMIF('caseload data'!$C:$C,'divisional &amp; regional caseload%'!$T$85,'caseload data'!T:T),"")</f>
        <v/>
      </c>
    </row>
    <row r="92" spans="2:36" ht="23.25" customHeight="1" x14ac:dyDescent="0.15">
      <c r="B92" s="142">
        <f>HLOOKUP($B$5,Region_Table,26,0)</f>
        <v>0</v>
      </c>
      <c r="C92" s="525" t="s">
        <v>1092</v>
      </c>
      <c r="D92" s="526"/>
      <c r="E92" s="526"/>
      <c r="F92" s="526"/>
      <c r="G92" s="526"/>
      <c r="H92" s="526"/>
      <c r="I92" s="526"/>
      <c r="J92" s="526"/>
      <c r="K92" s="526"/>
      <c r="L92" s="526"/>
      <c r="M92" s="527"/>
      <c r="N92" s="527"/>
      <c r="O92" s="528"/>
      <c r="P92" s="512">
        <f>SUMIF('caseload data'!$C:$C,'divisional &amp; regional caseload%'!B92,'caseload data'!V:V)</f>
        <v>0</v>
      </c>
      <c r="Q92" s="529"/>
      <c r="R92" s="530"/>
      <c r="T92" s="142">
        <f>HLOOKUP($B$5,Region_Table,27,0)</f>
        <v>0</v>
      </c>
      <c r="U92" s="525" t="s">
        <v>1092</v>
      </c>
      <c r="V92" s="526"/>
      <c r="W92" s="526"/>
      <c r="X92" s="526"/>
      <c r="Y92" s="526"/>
      <c r="Z92" s="526"/>
      <c r="AA92" s="526"/>
      <c r="AB92" s="526"/>
      <c r="AC92" s="526"/>
      <c r="AD92" s="526"/>
      <c r="AE92" s="527"/>
      <c r="AF92" s="527"/>
      <c r="AG92" s="528"/>
      <c r="AH92" s="512">
        <f>SUMIF('caseload data'!$C:$C,'divisional &amp; regional caseload%'!T92,'caseload data'!V:V)</f>
        <v>0</v>
      </c>
      <c r="AI92" s="529"/>
      <c r="AJ92" s="530"/>
    </row>
    <row r="93" spans="2:36" x14ac:dyDescent="0.15">
      <c r="B93" s="95" t="s">
        <v>1001</v>
      </c>
      <c r="C93" s="38" t="s">
        <v>864</v>
      </c>
      <c r="D93" s="38" t="s">
        <v>865</v>
      </c>
      <c r="E93" s="38" t="s">
        <v>866</v>
      </c>
      <c r="F93" s="38" t="s">
        <v>867</v>
      </c>
      <c r="G93" s="38" t="s">
        <v>868</v>
      </c>
      <c r="H93" s="38" t="s">
        <v>869</v>
      </c>
      <c r="I93" s="38" t="s">
        <v>870</v>
      </c>
      <c r="J93" s="38" t="s">
        <v>871</v>
      </c>
      <c r="K93" s="38" t="s">
        <v>872</v>
      </c>
      <c r="L93" s="38" t="s">
        <v>873</v>
      </c>
      <c r="M93" s="38" t="s">
        <v>874</v>
      </c>
      <c r="N93" s="38" t="s">
        <v>875</v>
      </c>
      <c r="O93" s="38" t="s">
        <v>876</v>
      </c>
      <c r="P93" s="38" t="s">
        <v>877</v>
      </c>
      <c r="Q93" s="38" t="s">
        <v>878</v>
      </c>
      <c r="R93" s="38" t="s">
        <v>879</v>
      </c>
      <c r="T93" s="95" t="s">
        <v>1001</v>
      </c>
      <c r="U93" s="38" t="s">
        <v>864</v>
      </c>
      <c r="V93" s="38" t="s">
        <v>865</v>
      </c>
      <c r="W93" s="38" t="s">
        <v>866</v>
      </c>
      <c r="X93" s="38" t="s">
        <v>867</v>
      </c>
      <c r="Y93" s="38" t="s">
        <v>868</v>
      </c>
      <c r="Z93" s="38" t="s">
        <v>869</v>
      </c>
      <c r="AA93" s="38" t="s">
        <v>870</v>
      </c>
      <c r="AB93" s="38" t="s">
        <v>871</v>
      </c>
      <c r="AC93" s="38" t="s">
        <v>872</v>
      </c>
      <c r="AD93" s="38" t="s">
        <v>873</v>
      </c>
      <c r="AE93" s="38" t="s">
        <v>874</v>
      </c>
      <c r="AF93" s="38" t="s">
        <v>875</v>
      </c>
      <c r="AG93" s="38" t="s">
        <v>876</v>
      </c>
      <c r="AH93" s="38" t="s">
        <v>877</v>
      </c>
      <c r="AI93" s="38" t="s">
        <v>878</v>
      </c>
      <c r="AJ93" s="38" t="s">
        <v>879</v>
      </c>
    </row>
    <row r="94" spans="2:36" x14ac:dyDescent="0.15">
      <c r="B94" s="96" t="s">
        <v>997</v>
      </c>
      <c r="C94" s="167" t="str">
        <f>IFERROR(SUMIFS('caseload data'!E:E,'caseload data'!$C:$C,'divisional &amp; regional caseload%'!$B$92,'caseload data'!$D:$D,"PO")/SUMIF('caseload data'!$C:$C,'divisional &amp; regional caseload%'!$B$92,'caseload data'!E:E),"")</f>
        <v/>
      </c>
      <c r="D94" s="167" t="str">
        <f>IFERROR(SUMIFS('caseload data'!F:F,'caseload data'!$C:$C,'divisional &amp; regional caseload%'!$B$92,'caseload data'!$D:$D,"PO")/SUMIF('caseload data'!$C:$C,'divisional &amp; regional caseload%'!$B$92,'caseload data'!F:F),"")</f>
        <v/>
      </c>
      <c r="E94" s="167" t="str">
        <f>IFERROR(SUMIFS('caseload data'!G:G,'caseload data'!$C:$C,'divisional &amp; regional caseload%'!$B$92,'caseload data'!$D:$D,"PO")/SUMIF('caseload data'!$C:$C,'divisional &amp; regional caseload%'!$B$92,'caseload data'!G:G),"")</f>
        <v/>
      </c>
      <c r="F94" s="167" t="str">
        <f>IFERROR(SUMIFS('caseload data'!H:H,'caseload data'!$C:$C,'divisional &amp; regional caseload%'!$B$92,'caseload data'!$D:$D,"PO")/SUMIF('caseload data'!$C:$C,'divisional &amp; regional caseload%'!$B$92,'caseload data'!H:H),"")</f>
        <v/>
      </c>
      <c r="G94" s="167" t="str">
        <f>IFERROR(SUMIFS('caseload data'!I:I,'caseload data'!$C:$C,'divisional &amp; regional caseload%'!$B$92,'caseload data'!$D:$D,"PO")/SUMIF('caseload data'!$C:$C,'divisional &amp; regional caseload%'!$B$92,'caseload data'!I:I),"")</f>
        <v/>
      </c>
      <c r="H94" s="167" t="str">
        <f>IFERROR(SUMIFS('caseload data'!J:J,'caseload data'!$C:$C,'divisional &amp; regional caseload%'!$B$92,'caseload data'!$D:$D,"PO")/SUMIF('caseload data'!$C:$C,'divisional &amp; regional caseload%'!$B$92,'caseload data'!J:J),"")</f>
        <v/>
      </c>
      <c r="I94" s="167" t="str">
        <f>IFERROR(SUMIFS('caseload data'!K:K,'caseload data'!$C:$C,'divisional &amp; regional caseload%'!$B$92,'caseload data'!$D:$D,"PO")/SUMIF('caseload data'!$C:$C,'divisional &amp; regional caseload%'!$B$92,'caseload data'!K:K),"")</f>
        <v/>
      </c>
      <c r="J94" s="167" t="str">
        <f>IFERROR(SUMIFS('caseload data'!L:L,'caseload data'!$C:$C,'divisional &amp; regional caseload%'!$B$92,'caseload data'!$D:$D,"PO")/SUMIF('caseload data'!$C:$C,'divisional &amp; regional caseload%'!$B$92,'caseload data'!L:L),"")</f>
        <v/>
      </c>
      <c r="K94" s="167" t="str">
        <f>IFERROR(SUMIFS('caseload data'!M:M,'caseload data'!$C:$C,'divisional &amp; regional caseload%'!$B$92,'caseload data'!$D:$D,"PO")/SUMIF('caseload data'!$C:$C,'divisional &amp; regional caseload%'!$B$92,'caseload data'!M:M),"")</f>
        <v/>
      </c>
      <c r="L94" s="167" t="str">
        <f>IFERROR(SUMIFS('caseload data'!N:N,'caseload data'!$C:$C,'divisional &amp; regional caseload%'!$B$92,'caseload data'!$D:$D,"PO")/SUMIF('caseload data'!$C:$C,'divisional &amp; regional caseload%'!$B$92,'caseload data'!N:N),"")</f>
        <v/>
      </c>
      <c r="M94" s="167" t="str">
        <f>IFERROR(SUMIFS('caseload data'!O:O,'caseload data'!$C:$C,'divisional &amp; regional caseload%'!$B$92,'caseload data'!$D:$D,"PO")/SUMIF('caseload data'!$C:$C,'divisional &amp; regional caseload%'!$B$92,'caseload data'!O:O),"")</f>
        <v/>
      </c>
      <c r="N94" s="167" t="str">
        <f>IFERROR(SUMIFS('caseload data'!P:P,'caseload data'!$C:$C,'divisional &amp; regional caseload%'!$B$92,'caseload data'!$D:$D,"PO")/SUMIF('caseload data'!$C:$C,'divisional &amp; regional caseload%'!$B$92,'caseload data'!P:P),"")</f>
        <v/>
      </c>
      <c r="O94" s="167" t="str">
        <f>IFERROR(SUMIFS('caseload data'!Q:Q,'caseload data'!$C:$C,'divisional &amp; regional caseload%'!$B$92,'caseload data'!$D:$D,"PO")/SUMIF('caseload data'!$C:$C,'divisional &amp; regional caseload%'!$B$92,'caseload data'!Q:Q),"")</f>
        <v/>
      </c>
      <c r="P94" s="167" t="str">
        <f>IFERROR(SUMIFS('caseload data'!R:R,'caseload data'!$C:$C,'divisional &amp; regional caseload%'!$B$92,'caseload data'!$D:$D,"PO")/SUMIF('caseload data'!$C:$C,'divisional &amp; regional caseload%'!$B$92,'caseload data'!R:R),"")</f>
        <v/>
      </c>
      <c r="Q94" s="167" t="str">
        <f>IFERROR(SUMIFS('caseload data'!S:S,'caseload data'!$C:$C,'divisional &amp; regional caseload%'!$B$92,'caseload data'!$D:$D,"PO")/SUMIF('caseload data'!$C:$C,'divisional &amp; regional caseload%'!$B$92,'caseload data'!S:S),"")</f>
        <v/>
      </c>
      <c r="R94" s="167" t="str">
        <f>IFERROR(SUMIFS('caseload data'!T:T,'caseload data'!$C:$C,'divisional &amp; regional caseload%'!$B$92,'caseload data'!$D:$D,"PO")/SUMIF('caseload data'!$C:$C,'divisional &amp; regional caseload%'!$B$92,'caseload data'!T:T),"")</f>
        <v/>
      </c>
      <c r="T94" s="96" t="s">
        <v>997</v>
      </c>
      <c r="U94" s="167" t="str">
        <f>IFERROR(SUMIFS('caseload data'!E:E,'caseload data'!$C:$C,'divisional &amp; regional caseload%'!$T$92,'caseload data'!$D:$D,"PO")/SUMIF('caseload data'!$C:$C,'divisional &amp; regional caseload%'!$T$92,'caseload data'!E:E),"")</f>
        <v/>
      </c>
      <c r="V94" s="167" t="str">
        <f>IFERROR(SUMIFS('caseload data'!F:F,'caseload data'!$C:$C,'divisional &amp; regional caseload%'!$T$92,'caseload data'!$D:$D,"PO")/SUMIF('caseload data'!$C:$C,'divisional &amp; regional caseload%'!$T$92,'caseload data'!F:F),"")</f>
        <v/>
      </c>
      <c r="W94" s="167" t="str">
        <f>IFERROR(SUMIFS('caseload data'!G:G,'caseload data'!$C:$C,'divisional &amp; regional caseload%'!$T$92,'caseload data'!$D:$D,"PO")/SUMIF('caseload data'!$C:$C,'divisional &amp; regional caseload%'!$T$92,'caseload data'!G:G),"")</f>
        <v/>
      </c>
      <c r="X94" s="167" t="str">
        <f>IFERROR(SUMIFS('caseload data'!H:H,'caseload data'!$C:$C,'divisional &amp; regional caseload%'!$T$92,'caseload data'!$D:$D,"PO")/SUMIF('caseload data'!$C:$C,'divisional &amp; regional caseload%'!$T$92,'caseload data'!H:H),"")</f>
        <v/>
      </c>
      <c r="Y94" s="167" t="str">
        <f>IFERROR(SUMIFS('caseload data'!I:I,'caseload data'!$C:$C,'divisional &amp; regional caseload%'!$T$92,'caseload data'!$D:$D,"PO")/SUMIF('caseload data'!$C:$C,'divisional &amp; regional caseload%'!$T$92,'caseload data'!I:I),"")</f>
        <v/>
      </c>
      <c r="Z94" s="167" t="str">
        <f>IFERROR(SUMIFS('caseload data'!J:J,'caseload data'!$C:$C,'divisional &amp; regional caseload%'!$T$92,'caseload data'!$D:$D,"PO")/SUMIF('caseload data'!$C:$C,'divisional &amp; regional caseload%'!$T$92,'caseload data'!J:J),"")</f>
        <v/>
      </c>
      <c r="AA94" s="167" t="str">
        <f>IFERROR(SUMIFS('caseload data'!K:K,'caseload data'!$C:$C,'divisional &amp; regional caseload%'!$T$92,'caseload data'!$D:$D,"PO")/SUMIF('caseload data'!$C:$C,'divisional &amp; regional caseload%'!$T$92,'caseload data'!K:K),"")</f>
        <v/>
      </c>
      <c r="AB94" s="167" t="str">
        <f>IFERROR(SUMIFS('caseload data'!L:L,'caseload data'!$C:$C,'divisional &amp; regional caseload%'!$T$92,'caseload data'!$D:$D,"PO")/SUMIF('caseload data'!$C:$C,'divisional &amp; regional caseload%'!$T$92,'caseload data'!L:L),"")</f>
        <v/>
      </c>
      <c r="AC94" s="167" t="str">
        <f>IFERROR(SUMIFS('caseload data'!M:M,'caseload data'!$C:$C,'divisional &amp; regional caseload%'!$T$92,'caseload data'!$D:$D,"PO")/SUMIF('caseload data'!$C:$C,'divisional &amp; regional caseload%'!$T$92,'caseload data'!M:M),"")</f>
        <v/>
      </c>
      <c r="AD94" s="167" t="str">
        <f>IFERROR(SUMIFS('caseload data'!N:N,'caseload data'!$C:$C,'divisional &amp; regional caseload%'!$T$92,'caseload data'!$D:$D,"PO")/SUMIF('caseload data'!$C:$C,'divisional &amp; regional caseload%'!$T$92,'caseload data'!N:N),"")</f>
        <v/>
      </c>
      <c r="AE94" s="167" t="str">
        <f>IFERROR(SUMIFS('caseload data'!O:O,'caseload data'!$C:$C,'divisional &amp; regional caseload%'!$T$92,'caseload data'!$D:$D,"PO")/SUMIF('caseload data'!$C:$C,'divisional &amp; regional caseload%'!$T$92,'caseload data'!O:O),"")</f>
        <v/>
      </c>
      <c r="AF94" s="167" t="str">
        <f>IFERROR(SUMIFS('caseload data'!P:P,'caseload data'!$C:$C,'divisional &amp; regional caseload%'!$T$92,'caseload data'!$D:$D,"PO")/SUMIF('caseload data'!$C:$C,'divisional &amp; regional caseload%'!$T$92,'caseload data'!P:P),"")</f>
        <v/>
      </c>
      <c r="AG94" s="167" t="str">
        <f>IFERROR(SUMIFS('caseload data'!Q:Q,'caseload data'!$C:$C,'divisional &amp; regional caseload%'!$T$92,'caseload data'!$D:$D,"PO")/SUMIF('caseload data'!$C:$C,'divisional &amp; regional caseload%'!$T$92,'caseload data'!Q:Q),"")</f>
        <v/>
      </c>
      <c r="AH94" s="167" t="str">
        <f>IFERROR(SUMIFS('caseload data'!R:R,'caseload data'!$C:$C,'divisional &amp; regional caseload%'!$T$92,'caseload data'!$D:$D,"PO")/SUMIF('caseload data'!$C:$C,'divisional &amp; regional caseload%'!$T$92,'caseload data'!R:R),"")</f>
        <v/>
      </c>
      <c r="AI94" s="167" t="str">
        <f>IFERROR(SUMIFS('caseload data'!S:S,'caseload data'!$C:$C,'divisional &amp; regional caseload%'!$T$92,'caseload data'!$D:$D,"PO")/SUMIF('caseload data'!$C:$C,'divisional &amp; regional caseload%'!$T$92,'caseload data'!S:S),"")</f>
        <v/>
      </c>
      <c r="AJ94" s="167" t="str">
        <f>IFERROR(SUMIFS('caseload data'!T:T,'caseload data'!$C:$C,'divisional &amp; regional caseload%'!$T$92,'caseload data'!$D:$D,"PO")/SUMIF('caseload data'!$C:$C,'divisional &amp; regional caseload%'!$T$92,'caseload data'!T:T),"")</f>
        <v/>
      </c>
    </row>
    <row r="95" spans="2:36" x14ac:dyDescent="0.15">
      <c r="B95" s="97" t="s">
        <v>1002</v>
      </c>
      <c r="C95" s="167" t="str">
        <f>IFERROR(SUMIFS('caseload data'!E:E,'caseload data'!$C:$C,'divisional &amp; regional caseload%'!$B$92,'caseload data'!$D:$D,"PSO")/SUMIF('caseload data'!$C:$C,'divisional &amp; regional caseload%'!$B$92,'caseload data'!E:E),"")</f>
        <v/>
      </c>
      <c r="D95" s="167" t="str">
        <f>IFERROR(SUMIFS('caseload data'!F:F,'caseload data'!$C:$C,'divisional &amp; regional caseload%'!$B$92,'caseload data'!$D:$D,"PSO")/SUMIF('caseload data'!$C:$C,'divisional &amp; regional caseload%'!$B$92,'caseload data'!F:F),"")</f>
        <v/>
      </c>
      <c r="E95" s="167" t="str">
        <f>IFERROR(SUMIFS('caseload data'!G:G,'caseload data'!$C:$C,'divisional &amp; regional caseload%'!$B$92,'caseload data'!$D:$D,"PSO")/SUMIF('caseload data'!$C:$C,'divisional &amp; regional caseload%'!$B$92,'caseload data'!G:G),"")</f>
        <v/>
      </c>
      <c r="F95" s="167" t="str">
        <f>IFERROR(SUMIFS('caseload data'!H:H,'caseload data'!$C:$C,'divisional &amp; regional caseload%'!$B$92,'caseload data'!$D:$D,"PSO")/SUMIF('caseload data'!$C:$C,'divisional &amp; regional caseload%'!$B$92,'caseload data'!H:H),"")</f>
        <v/>
      </c>
      <c r="G95" s="167" t="str">
        <f>IFERROR(SUMIFS('caseload data'!I:I,'caseload data'!$C:$C,'divisional &amp; regional caseload%'!$B$92,'caseload data'!$D:$D,"PSO")/SUMIF('caseload data'!$C:$C,'divisional &amp; regional caseload%'!$B$92,'caseload data'!I:I),"")</f>
        <v/>
      </c>
      <c r="H95" s="167" t="str">
        <f>IFERROR(SUMIFS('caseload data'!J:J,'caseload data'!$C:$C,'divisional &amp; regional caseload%'!$B$92,'caseload data'!$D:$D,"PSO")/SUMIF('caseload data'!$C:$C,'divisional &amp; regional caseload%'!$B$92,'caseload data'!J:J),"")</f>
        <v/>
      </c>
      <c r="I95" s="167" t="str">
        <f>IFERROR(SUMIFS('caseload data'!K:K,'caseload data'!$C:$C,'divisional &amp; regional caseload%'!$B$92,'caseload data'!$D:$D,"PSO")/SUMIF('caseload data'!$C:$C,'divisional &amp; regional caseload%'!$B$92,'caseload data'!K:K),"")</f>
        <v/>
      </c>
      <c r="J95" s="167" t="str">
        <f>IFERROR(SUMIFS('caseload data'!L:L,'caseload data'!$C:$C,'divisional &amp; regional caseload%'!$B$92,'caseload data'!$D:$D,"PSO")/SUMIF('caseload data'!$C:$C,'divisional &amp; regional caseload%'!$B$92,'caseload data'!L:L),"")</f>
        <v/>
      </c>
      <c r="K95" s="167" t="str">
        <f>IFERROR(SUMIFS('caseload data'!M:M,'caseload data'!$C:$C,'divisional &amp; regional caseload%'!$B$92,'caseload data'!$D:$D,"PSO")/SUMIF('caseload data'!$C:$C,'divisional &amp; regional caseload%'!$B$92,'caseload data'!M:M),"")</f>
        <v/>
      </c>
      <c r="L95" s="167" t="str">
        <f>IFERROR(SUMIFS('caseload data'!N:N,'caseload data'!$C:$C,'divisional &amp; regional caseload%'!$B$92,'caseload data'!$D:$D,"PSO")/SUMIF('caseload data'!$C:$C,'divisional &amp; regional caseload%'!$B$92,'caseload data'!N:N),"")</f>
        <v/>
      </c>
      <c r="M95" s="167" t="str">
        <f>IFERROR(SUMIFS('caseload data'!O:O,'caseload data'!$C:$C,'divisional &amp; regional caseload%'!$B$92,'caseload data'!$D:$D,"PSO")/SUMIF('caseload data'!$C:$C,'divisional &amp; regional caseload%'!$B$92,'caseload data'!O:O),"")</f>
        <v/>
      </c>
      <c r="N95" s="167" t="str">
        <f>IFERROR(SUMIFS('caseload data'!P:P,'caseload data'!$C:$C,'divisional &amp; regional caseload%'!$B$92,'caseload data'!$D:$D,"PSO")/SUMIF('caseload data'!$C:$C,'divisional &amp; regional caseload%'!$B$92,'caseload data'!P:P),"")</f>
        <v/>
      </c>
      <c r="O95" s="167" t="str">
        <f>IFERROR(SUMIFS('caseload data'!Q:Q,'caseload data'!$C:$C,'divisional &amp; regional caseload%'!$B$92,'caseload data'!$D:$D,"PSO")/SUMIF('caseload data'!$C:$C,'divisional &amp; regional caseload%'!$B$92,'caseload data'!Q:Q),"")</f>
        <v/>
      </c>
      <c r="P95" s="167" t="str">
        <f>IFERROR(SUMIFS('caseload data'!R:R,'caseload data'!$C:$C,'divisional &amp; regional caseload%'!$B$92,'caseload data'!$D:$D,"PSO")/SUMIF('caseload data'!$C:$C,'divisional &amp; regional caseload%'!$B$92,'caseload data'!R:R),"")</f>
        <v/>
      </c>
      <c r="Q95" s="167" t="str">
        <f>IFERROR(SUMIFS('caseload data'!S:S,'caseload data'!$C:$C,'divisional &amp; regional caseload%'!$B$92,'caseload data'!$D:$D,"PSO")/SUMIF('caseload data'!$C:$C,'divisional &amp; regional caseload%'!$B$92,'caseload data'!S:S),"")</f>
        <v/>
      </c>
      <c r="R95" s="167" t="str">
        <f>IFERROR(SUMIFS('caseload data'!T:T,'caseload data'!$C:$C,'divisional &amp; regional caseload%'!$B$92,'caseload data'!$D:$D,"PSO")/SUMIF('caseload data'!$C:$C,'divisional &amp; regional caseload%'!$B$92,'caseload data'!T:T),"")</f>
        <v/>
      </c>
      <c r="T95" s="97" t="s">
        <v>1002</v>
      </c>
      <c r="U95" s="167" t="str">
        <f>IFERROR(SUMIFS('caseload data'!E:E,'caseload data'!$C:$C,'divisional &amp; regional caseload%'!$T$92,'caseload data'!$D:$D,"PSO")/SUMIF('caseload data'!$C:$C,'divisional &amp; regional caseload%'!$T$92,'caseload data'!E:E),"")</f>
        <v/>
      </c>
      <c r="V95" s="167" t="str">
        <f>IFERROR(SUMIFS('caseload data'!F:F,'caseload data'!$C:$C,'divisional &amp; regional caseload%'!$T$92,'caseload data'!$D:$D,"PSO")/SUMIF('caseload data'!$C:$C,'divisional &amp; regional caseload%'!$T$92,'caseload data'!F:F),"")</f>
        <v/>
      </c>
      <c r="W95" s="167" t="str">
        <f>IFERROR(SUMIFS('caseload data'!G:G,'caseload data'!$C:$C,'divisional &amp; regional caseload%'!$T$92,'caseload data'!$D:$D,"PSO")/SUMIF('caseload data'!$C:$C,'divisional &amp; regional caseload%'!$T$92,'caseload data'!G:G),"")</f>
        <v/>
      </c>
      <c r="X95" s="167" t="str">
        <f>IFERROR(SUMIFS('caseload data'!H:H,'caseload data'!$C:$C,'divisional &amp; regional caseload%'!$T$92,'caseload data'!$D:$D,"PSO")/SUMIF('caseload data'!$C:$C,'divisional &amp; regional caseload%'!$T$92,'caseload data'!H:H),"")</f>
        <v/>
      </c>
      <c r="Y95" s="167" t="str">
        <f>IFERROR(SUMIFS('caseload data'!I:I,'caseload data'!$C:$C,'divisional &amp; regional caseload%'!$T$92,'caseload data'!$D:$D,"PSO")/SUMIF('caseload data'!$C:$C,'divisional &amp; regional caseload%'!$T$92,'caseload data'!I:I),"")</f>
        <v/>
      </c>
      <c r="Z95" s="167" t="str">
        <f>IFERROR(SUMIFS('caseload data'!J:J,'caseload data'!$C:$C,'divisional &amp; regional caseload%'!$T$92,'caseload data'!$D:$D,"PSO")/SUMIF('caseload data'!$C:$C,'divisional &amp; regional caseload%'!$T$92,'caseload data'!J:J),"")</f>
        <v/>
      </c>
      <c r="AA95" s="167" t="str">
        <f>IFERROR(SUMIFS('caseload data'!K:K,'caseload data'!$C:$C,'divisional &amp; regional caseload%'!$T$92,'caseload data'!$D:$D,"PSO")/SUMIF('caseload data'!$C:$C,'divisional &amp; regional caseload%'!$T$92,'caseload data'!K:K),"")</f>
        <v/>
      </c>
      <c r="AB95" s="167" t="str">
        <f>IFERROR(SUMIFS('caseload data'!L:L,'caseload data'!$C:$C,'divisional &amp; regional caseload%'!$T$92,'caseload data'!$D:$D,"PSO")/SUMIF('caseload data'!$C:$C,'divisional &amp; regional caseload%'!$T$92,'caseload data'!L:L),"")</f>
        <v/>
      </c>
      <c r="AC95" s="167" t="str">
        <f>IFERROR(SUMIFS('caseload data'!M:M,'caseload data'!$C:$C,'divisional &amp; regional caseload%'!$T$92,'caseload data'!$D:$D,"PSO")/SUMIF('caseload data'!$C:$C,'divisional &amp; regional caseload%'!$T$92,'caseload data'!M:M),"")</f>
        <v/>
      </c>
      <c r="AD95" s="167" t="str">
        <f>IFERROR(SUMIFS('caseload data'!N:N,'caseload data'!$C:$C,'divisional &amp; regional caseload%'!$T$92,'caseload data'!$D:$D,"PSO")/SUMIF('caseload data'!$C:$C,'divisional &amp; regional caseload%'!$T$92,'caseload data'!N:N),"")</f>
        <v/>
      </c>
      <c r="AE95" s="167" t="str">
        <f>IFERROR(SUMIFS('caseload data'!O:O,'caseload data'!$C:$C,'divisional &amp; regional caseload%'!$T$92,'caseload data'!$D:$D,"PSO")/SUMIF('caseload data'!$C:$C,'divisional &amp; regional caseload%'!$T$92,'caseload data'!O:O),"")</f>
        <v/>
      </c>
      <c r="AF95" s="167" t="str">
        <f>IFERROR(SUMIFS('caseload data'!P:P,'caseload data'!$C:$C,'divisional &amp; regional caseload%'!$T$92,'caseload data'!$D:$D,"PSO")/SUMIF('caseload data'!$C:$C,'divisional &amp; regional caseload%'!$T$92,'caseload data'!P:P),"")</f>
        <v/>
      </c>
      <c r="AG95" s="167" t="str">
        <f>IFERROR(SUMIFS('caseload data'!Q:Q,'caseload data'!$C:$C,'divisional &amp; regional caseload%'!$T$92,'caseload data'!$D:$D,"PSO")/SUMIF('caseload data'!$C:$C,'divisional &amp; regional caseload%'!$T$92,'caseload data'!Q:Q),"")</f>
        <v/>
      </c>
      <c r="AH95" s="167" t="str">
        <f>IFERROR(SUMIFS('caseload data'!R:R,'caseload data'!$C:$C,'divisional &amp; regional caseload%'!$T$92,'caseload data'!$D:$D,"PSO")/SUMIF('caseload data'!$C:$C,'divisional &amp; regional caseload%'!$T$92,'caseload data'!R:R),"")</f>
        <v/>
      </c>
      <c r="AI95" s="167" t="str">
        <f>IFERROR(SUMIFS('caseload data'!S:S,'caseload data'!$C:$C,'divisional &amp; regional caseload%'!$T$92,'caseload data'!$D:$D,"PSO")/SUMIF('caseload data'!$C:$C,'divisional &amp; regional caseload%'!$T$92,'caseload data'!S:S),"")</f>
        <v/>
      </c>
      <c r="AJ95" s="167" t="str">
        <f>IFERROR(SUMIFS('caseload data'!T:T,'caseload data'!$C:$C,'divisional &amp; regional caseload%'!$T$92,'caseload data'!$D:$D,"PSO")/SUMIF('caseload data'!$C:$C,'divisional &amp; regional caseload%'!$T$92,'caseload data'!T:T),"")</f>
        <v/>
      </c>
    </row>
    <row r="96" spans="2:36" x14ac:dyDescent="0.15">
      <c r="B96" s="97" t="s">
        <v>1003</v>
      </c>
      <c r="C96" s="167" t="str">
        <f>IFERROR(SUMIFS('caseload data'!E:E,'caseload data'!$C:$C,'divisional &amp; regional caseload%'!$B$92,'caseload data'!$D:$D,"TPO")/SUMIF('caseload data'!$C:$C,'divisional &amp; regional caseload%'!$B$92,'caseload data'!E:E),"")</f>
        <v/>
      </c>
      <c r="D96" s="167" t="str">
        <f>IFERROR(SUMIFS('caseload data'!F:F,'caseload data'!$C:$C,'divisional &amp; regional caseload%'!$B$92,'caseload data'!$D:$D,"TPO")/SUMIF('caseload data'!$C:$C,'divisional &amp; regional caseload%'!$B$92,'caseload data'!F:F),"")</f>
        <v/>
      </c>
      <c r="E96" s="167" t="str">
        <f>IFERROR(SUMIFS('caseload data'!G:G,'caseload data'!$C:$C,'divisional &amp; regional caseload%'!$B$92,'caseload data'!$D:$D,"TPO")/SUMIF('caseload data'!$C:$C,'divisional &amp; regional caseload%'!$B$92,'caseload data'!G:G),"")</f>
        <v/>
      </c>
      <c r="F96" s="167" t="str">
        <f>IFERROR(SUMIFS('caseload data'!H:H,'caseload data'!$C:$C,'divisional &amp; regional caseload%'!$B$92,'caseload data'!$D:$D,"TPO")/SUMIF('caseload data'!$C:$C,'divisional &amp; regional caseload%'!$B$92,'caseload data'!H:H),"")</f>
        <v/>
      </c>
      <c r="G96" s="167" t="str">
        <f>IFERROR(SUMIFS('caseload data'!I:I,'caseload data'!$C:$C,'divisional &amp; regional caseload%'!$B$92,'caseload data'!$D:$D,"TPO")/SUMIF('caseload data'!$C:$C,'divisional &amp; regional caseload%'!$B$92,'caseload data'!I:I),"")</f>
        <v/>
      </c>
      <c r="H96" s="167" t="str">
        <f>IFERROR(SUMIFS('caseload data'!J:J,'caseload data'!$C:$C,'divisional &amp; regional caseload%'!$B$92,'caseload data'!$D:$D,"TPO")/SUMIF('caseload data'!$C:$C,'divisional &amp; regional caseload%'!$B$92,'caseload data'!J:J),"")</f>
        <v/>
      </c>
      <c r="I96" s="167" t="str">
        <f>IFERROR(SUMIFS('caseload data'!K:K,'caseload data'!$C:$C,'divisional &amp; regional caseload%'!$B$92,'caseload data'!$D:$D,"TPO")/SUMIF('caseload data'!$C:$C,'divisional &amp; regional caseload%'!$B$92,'caseload data'!K:K),"")</f>
        <v/>
      </c>
      <c r="J96" s="167" t="str">
        <f>IFERROR(SUMIFS('caseload data'!L:L,'caseload data'!$C:$C,'divisional &amp; regional caseload%'!$B$92,'caseload data'!$D:$D,"TPO")/SUMIF('caseload data'!$C:$C,'divisional &amp; regional caseload%'!$B$92,'caseload data'!L:L),"")</f>
        <v/>
      </c>
      <c r="K96" s="167" t="str">
        <f>IFERROR(SUMIFS('caseload data'!M:M,'caseload data'!$C:$C,'divisional &amp; regional caseload%'!$B$92,'caseload data'!$D:$D,"TPO")/SUMIF('caseload data'!$C:$C,'divisional &amp; regional caseload%'!$B$92,'caseload data'!M:M),"")</f>
        <v/>
      </c>
      <c r="L96" s="167" t="str">
        <f>IFERROR(SUMIFS('caseload data'!N:N,'caseload data'!$C:$C,'divisional &amp; regional caseload%'!$B$92,'caseload data'!$D:$D,"TPO")/SUMIF('caseload data'!$C:$C,'divisional &amp; regional caseload%'!$B$92,'caseload data'!N:N),"")</f>
        <v/>
      </c>
      <c r="M96" s="167" t="str">
        <f>IFERROR(SUMIFS('caseload data'!O:O,'caseload data'!$C:$C,'divisional &amp; regional caseload%'!$B$92,'caseload data'!$D:$D,"TPO")/SUMIF('caseload data'!$C:$C,'divisional &amp; regional caseload%'!$B$92,'caseload data'!O:O),"")</f>
        <v/>
      </c>
      <c r="N96" s="167" t="str">
        <f>IFERROR(SUMIFS('caseload data'!P:P,'caseload data'!$C:$C,'divisional &amp; regional caseload%'!$B$92,'caseload data'!$D:$D,"TPO")/SUMIF('caseload data'!$C:$C,'divisional &amp; regional caseload%'!$B$92,'caseload data'!P:P),"")</f>
        <v/>
      </c>
      <c r="O96" s="167" t="str">
        <f>IFERROR(SUMIFS('caseload data'!Q:Q,'caseload data'!$C:$C,'divisional &amp; regional caseload%'!$B$92,'caseload data'!$D:$D,"TPO")/SUMIF('caseload data'!$C:$C,'divisional &amp; regional caseload%'!$B$92,'caseload data'!Q:Q),"")</f>
        <v/>
      </c>
      <c r="P96" s="167" t="str">
        <f>IFERROR(SUMIFS('caseload data'!R:R,'caseload data'!$C:$C,'divisional &amp; regional caseload%'!$B$92,'caseload data'!$D:$D,"TPO")/SUMIF('caseload data'!$C:$C,'divisional &amp; regional caseload%'!$B$92,'caseload data'!R:R),"")</f>
        <v/>
      </c>
      <c r="Q96" s="167" t="str">
        <f>IFERROR(SUMIFS('caseload data'!S:S,'caseload data'!$C:$C,'divisional &amp; regional caseload%'!$B$92,'caseload data'!$D:$D,"TPO")/SUMIF('caseload data'!$C:$C,'divisional &amp; regional caseload%'!$B$92,'caseload data'!S:S),"")</f>
        <v/>
      </c>
      <c r="R96" s="167" t="str">
        <f>IFERROR(SUMIFS('caseload data'!T:T,'caseload data'!$C:$C,'divisional &amp; regional caseload%'!$B$92,'caseload data'!$D:$D,"TPO")/SUMIF('caseload data'!$C:$C,'divisional &amp; regional caseload%'!$B$92,'caseload data'!T:T),"")</f>
        <v/>
      </c>
      <c r="T96" s="97" t="s">
        <v>1003</v>
      </c>
      <c r="U96" s="167" t="str">
        <f>IFERROR(SUMIFS('caseload data'!E:E,'caseload data'!$C:$C,'divisional &amp; regional caseload%'!$T$92,'caseload data'!$D:$D,"TPO")/SUMIF('caseload data'!$C:$C,'divisional &amp; regional caseload%'!$T$92,'caseload data'!E:E),"")</f>
        <v/>
      </c>
      <c r="V96" s="167" t="str">
        <f>IFERROR(SUMIFS('caseload data'!F:F,'caseload data'!$C:$C,'divisional &amp; regional caseload%'!$T$92,'caseload data'!$D:$D,"TPO")/SUMIF('caseload data'!$C:$C,'divisional &amp; regional caseload%'!$T$92,'caseload data'!F:F),"")</f>
        <v/>
      </c>
      <c r="W96" s="167" t="str">
        <f>IFERROR(SUMIFS('caseload data'!G:G,'caseload data'!$C:$C,'divisional &amp; regional caseload%'!$T$92,'caseload data'!$D:$D,"TPO")/SUMIF('caseload data'!$C:$C,'divisional &amp; regional caseload%'!$T$92,'caseload data'!G:G),"")</f>
        <v/>
      </c>
      <c r="X96" s="167" t="str">
        <f>IFERROR(SUMIFS('caseload data'!H:H,'caseload data'!$C:$C,'divisional &amp; regional caseload%'!$T$92,'caseload data'!$D:$D,"TPO")/SUMIF('caseload data'!$C:$C,'divisional &amp; regional caseload%'!$T$92,'caseload data'!H:H),"")</f>
        <v/>
      </c>
      <c r="Y96" s="167" t="str">
        <f>IFERROR(SUMIFS('caseload data'!I:I,'caseload data'!$C:$C,'divisional &amp; regional caseload%'!$T$92,'caseload data'!$D:$D,"TPO")/SUMIF('caseload data'!$C:$C,'divisional &amp; regional caseload%'!$T$92,'caseload data'!I:I),"")</f>
        <v/>
      </c>
      <c r="Z96" s="167" t="str">
        <f>IFERROR(SUMIFS('caseload data'!J:J,'caseload data'!$C:$C,'divisional &amp; regional caseload%'!$T$92,'caseload data'!$D:$D,"TPO")/SUMIF('caseload data'!$C:$C,'divisional &amp; regional caseload%'!$T$92,'caseload data'!J:J),"")</f>
        <v/>
      </c>
      <c r="AA96" s="167" t="str">
        <f>IFERROR(SUMIFS('caseload data'!K:K,'caseload data'!$C:$C,'divisional &amp; regional caseload%'!$T$92,'caseload data'!$D:$D,"TPO")/SUMIF('caseload data'!$C:$C,'divisional &amp; regional caseload%'!$T$92,'caseload data'!K:K),"")</f>
        <v/>
      </c>
      <c r="AB96" s="167" t="str">
        <f>IFERROR(SUMIFS('caseload data'!L:L,'caseload data'!$C:$C,'divisional &amp; regional caseload%'!$T$92,'caseload data'!$D:$D,"TPO")/SUMIF('caseload data'!$C:$C,'divisional &amp; regional caseload%'!$T$92,'caseload data'!L:L),"")</f>
        <v/>
      </c>
      <c r="AC96" s="167" t="str">
        <f>IFERROR(SUMIFS('caseload data'!M:M,'caseload data'!$C:$C,'divisional &amp; regional caseload%'!$T$92,'caseload data'!$D:$D,"TPO")/SUMIF('caseload data'!$C:$C,'divisional &amp; regional caseload%'!$T$92,'caseload data'!M:M),"")</f>
        <v/>
      </c>
      <c r="AD96" s="167" t="str">
        <f>IFERROR(SUMIFS('caseload data'!N:N,'caseload data'!$C:$C,'divisional &amp; regional caseload%'!$T$92,'caseload data'!$D:$D,"TPO")/SUMIF('caseload data'!$C:$C,'divisional &amp; regional caseload%'!$T$92,'caseload data'!N:N),"")</f>
        <v/>
      </c>
      <c r="AE96" s="167" t="str">
        <f>IFERROR(SUMIFS('caseload data'!O:O,'caseload data'!$C:$C,'divisional &amp; regional caseload%'!$T$92,'caseload data'!$D:$D,"TPO")/SUMIF('caseload data'!$C:$C,'divisional &amp; regional caseload%'!$T$92,'caseload data'!O:O),"")</f>
        <v/>
      </c>
      <c r="AF96" s="167" t="str">
        <f>IFERROR(SUMIFS('caseload data'!P:P,'caseload data'!$C:$C,'divisional &amp; regional caseload%'!$T$92,'caseload data'!$D:$D,"TPO")/SUMIF('caseload data'!$C:$C,'divisional &amp; regional caseload%'!$T$92,'caseload data'!P:P),"")</f>
        <v/>
      </c>
      <c r="AG96" s="167" t="str">
        <f>IFERROR(SUMIFS('caseload data'!Q:Q,'caseload data'!$C:$C,'divisional &amp; regional caseload%'!$T$92,'caseload data'!$D:$D,"TPO")/SUMIF('caseload data'!$C:$C,'divisional &amp; regional caseload%'!$T$92,'caseload data'!Q:Q),"")</f>
        <v/>
      </c>
      <c r="AH96" s="167" t="str">
        <f>IFERROR(SUMIFS('caseload data'!R:R,'caseload data'!$C:$C,'divisional &amp; regional caseload%'!$T$92,'caseload data'!$D:$D,"TPO")/SUMIF('caseload data'!$C:$C,'divisional &amp; regional caseload%'!$T$92,'caseload data'!R:R),"")</f>
        <v/>
      </c>
      <c r="AI96" s="167" t="str">
        <f>IFERROR(SUMIFS('caseload data'!S:S,'caseload data'!$C:$C,'divisional &amp; regional caseload%'!$T$92,'caseload data'!$D:$D,"TPO")/SUMIF('caseload data'!$C:$C,'divisional &amp; regional caseload%'!$T$92,'caseload data'!S:S),"")</f>
        <v/>
      </c>
      <c r="AJ96" s="167" t="str">
        <f>IFERROR(SUMIFS('caseload data'!T:T,'caseload data'!$C:$C,'divisional &amp; regional caseload%'!$T$92,'caseload data'!$D:$D,"TPO")/SUMIF('caseload data'!$C:$C,'divisional &amp; regional caseload%'!$T$92,'caseload data'!T:T),"")</f>
        <v/>
      </c>
    </row>
    <row r="97" spans="2:36" x14ac:dyDescent="0.15">
      <c r="B97" s="98" t="s">
        <v>1004</v>
      </c>
      <c r="C97" s="167" t="str">
        <f>IFERROR(SUMIFS('caseload data'!E:E,'caseload data'!$C:$C,'divisional &amp; regional caseload%'!$B$92,'caseload data'!$D:$D,"SPO")/SUMIF('caseload data'!$C:$C,'divisional &amp; regional caseload%'!$B$92,'caseload data'!E:E),"")</f>
        <v/>
      </c>
      <c r="D97" s="167" t="str">
        <f>IFERROR(SUMIFS('caseload data'!F:F,'caseload data'!$C:$C,'divisional &amp; regional caseload%'!$B$92,'caseload data'!$D:$D,"SPO")/SUMIF('caseload data'!$C:$C,'divisional &amp; regional caseload%'!$B$92,'caseload data'!F:F),"")</f>
        <v/>
      </c>
      <c r="E97" s="167" t="str">
        <f>IFERROR(SUMIFS('caseload data'!G:G,'caseload data'!$C:$C,'divisional &amp; regional caseload%'!$B$92,'caseload data'!$D:$D,"SPO")/SUMIF('caseload data'!$C:$C,'divisional &amp; regional caseload%'!$B$92,'caseload data'!G:G),"")</f>
        <v/>
      </c>
      <c r="F97" s="167" t="str">
        <f>IFERROR(SUMIFS('caseload data'!H:H,'caseload data'!$C:$C,'divisional &amp; regional caseload%'!$B$92,'caseload data'!$D:$D,"SPO")/SUMIF('caseload data'!$C:$C,'divisional &amp; regional caseload%'!$B$92,'caseload data'!H:H),"")</f>
        <v/>
      </c>
      <c r="G97" s="167" t="str">
        <f>IFERROR(SUMIFS('caseload data'!I:I,'caseload data'!$C:$C,'divisional &amp; regional caseload%'!$B$92,'caseload data'!$D:$D,"SPO")/SUMIF('caseload data'!$C:$C,'divisional &amp; regional caseload%'!$B$92,'caseload data'!I:I),"")</f>
        <v/>
      </c>
      <c r="H97" s="167" t="str">
        <f>IFERROR(SUMIFS('caseload data'!J:J,'caseload data'!$C:$C,'divisional &amp; regional caseload%'!$B$92,'caseload data'!$D:$D,"SPO")/SUMIF('caseload data'!$C:$C,'divisional &amp; regional caseload%'!$B$92,'caseload data'!J:J),"")</f>
        <v/>
      </c>
      <c r="I97" s="167" t="str">
        <f>IFERROR(SUMIFS('caseload data'!K:K,'caseload data'!$C:$C,'divisional &amp; regional caseload%'!$B$92,'caseload data'!$D:$D,"SPO")/SUMIF('caseload data'!$C:$C,'divisional &amp; regional caseload%'!$B$92,'caseload data'!K:K),"")</f>
        <v/>
      </c>
      <c r="J97" s="167" t="str">
        <f>IFERROR(SUMIFS('caseload data'!L:L,'caseload data'!$C:$C,'divisional &amp; regional caseload%'!$B$92,'caseload data'!$D:$D,"SPO")/SUMIF('caseload data'!$C:$C,'divisional &amp; regional caseload%'!$B$92,'caseload data'!L:L),"")</f>
        <v/>
      </c>
      <c r="K97" s="167" t="str">
        <f>IFERROR(SUMIFS('caseload data'!M:M,'caseload data'!$C:$C,'divisional &amp; regional caseload%'!$B$92,'caseload data'!$D:$D,"SPO")/SUMIF('caseload data'!$C:$C,'divisional &amp; regional caseload%'!$B$92,'caseload data'!M:M),"")</f>
        <v/>
      </c>
      <c r="L97" s="167" t="str">
        <f>IFERROR(SUMIFS('caseload data'!N:N,'caseload data'!$C:$C,'divisional &amp; regional caseload%'!$B$92,'caseload data'!$D:$D,"SPO")/SUMIF('caseload data'!$C:$C,'divisional &amp; regional caseload%'!$B$92,'caseload data'!N:N),"")</f>
        <v/>
      </c>
      <c r="M97" s="167" t="str">
        <f>IFERROR(SUMIFS('caseload data'!O:O,'caseload data'!$C:$C,'divisional &amp; regional caseload%'!$B$92,'caseload data'!$D:$D,"SPO")/SUMIF('caseload data'!$C:$C,'divisional &amp; regional caseload%'!$B$92,'caseload data'!O:O),"")</f>
        <v/>
      </c>
      <c r="N97" s="167" t="str">
        <f>IFERROR(SUMIFS('caseload data'!P:P,'caseload data'!$C:$C,'divisional &amp; regional caseload%'!$B$92,'caseload data'!$D:$D,"SPO")/SUMIF('caseload data'!$C:$C,'divisional &amp; regional caseload%'!$B$92,'caseload data'!P:P),"")</f>
        <v/>
      </c>
      <c r="O97" s="167" t="str">
        <f>IFERROR(SUMIFS('caseload data'!Q:Q,'caseload data'!$C:$C,'divisional &amp; regional caseload%'!$B$92,'caseload data'!$D:$D,"SPO")/SUMIF('caseload data'!$C:$C,'divisional &amp; regional caseload%'!$B$92,'caseload data'!Q:Q),"")</f>
        <v/>
      </c>
      <c r="P97" s="167" t="str">
        <f>IFERROR(SUMIFS('caseload data'!R:R,'caseload data'!$C:$C,'divisional &amp; regional caseload%'!$B$92,'caseload data'!$D:$D,"SPO")/SUMIF('caseload data'!$C:$C,'divisional &amp; regional caseload%'!$B$92,'caseload data'!R:R),"")</f>
        <v/>
      </c>
      <c r="Q97" s="167" t="str">
        <f>IFERROR(SUMIFS('caseload data'!S:S,'caseload data'!$C:$C,'divisional &amp; regional caseload%'!$B$92,'caseload data'!$D:$D,"SPO")/SUMIF('caseload data'!$C:$C,'divisional &amp; regional caseload%'!$B$92,'caseload data'!S:S),"")</f>
        <v/>
      </c>
      <c r="R97" s="167" t="str">
        <f>IFERROR(SUMIFS('caseload data'!T:T,'caseload data'!$C:$C,'divisional &amp; regional caseload%'!$B$92,'caseload data'!$D:$D,"SPO")/SUMIF('caseload data'!$C:$C,'divisional &amp; regional caseload%'!$B$92,'caseload data'!T:T),"")</f>
        <v/>
      </c>
      <c r="T97" s="98" t="s">
        <v>1004</v>
      </c>
      <c r="U97" s="167" t="str">
        <f>IFERROR(SUMIFS('caseload data'!E:E,'caseload data'!$C:$C,'divisional &amp; regional caseload%'!$T$92,'caseload data'!$D:$D,"SPO")/SUMIF('caseload data'!$C:$C,'divisional &amp; regional caseload%'!$T$92,'caseload data'!E:E),"")</f>
        <v/>
      </c>
      <c r="V97" s="167" t="str">
        <f>IFERROR(SUMIFS('caseload data'!F:F,'caseload data'!$C:$C,'divisional &amp; regional caseload%'!$T$92,'caseload data'!$D:$D,"SPO")/SUMIF('caseload data'!$C:$C,'divisional &amp; regional caseload%'!$T$92,'caseload data'!F:F),"")</f>
        <v/>
      </c>
      <c r="W97" s="167" t="str">
        <f>IFERROR(SUMIFS('caseload data'!G:G,'caseload data'!$C:$C,'divisional &amp; regional caseload%'!$T$92,'caseload data'!$D:$D,"SPO")/SUMIF('caseload data'!$C:$C,'divisional &amp; regional caseload%'!$T$92,'caseload data'!G:G),"")</f>
        <v/>
      </c>
      <c r="X97" s="167" t="str">
        <f>IFERROR(SUMIFS('caseload data'!H:H,'caseload data'!$C:$C,'divisional &amp; regional caseload%'!$T$92,'caseload data'!$D:$D,"SPO")/SUMIF('caseload data'!$C:$C,'divisional &amp; regional caseload%'!$T$92,'caseload data'!H:H),"")</f>
        <v/>
      </c>
      <c r="Y97" s="167" t="str">
        <f>IFERROR(SUMIFS('caseload data'!I:I,'caseload data'!$C:$C,'divisional &amp; regional caseload%'!$T$92,'caseload data'!$D:$D,"SPO")/SUMIF('caseload data'!$C:$C,'divisional &amp; regional caseload%'!$T$92,'caseload data'!I:I),"")</f>
        <v/>
      </c>
      <c r="Z97" s="167" t="str">
        <f>IFERROR(SUMIFS('caseload data'!J:J,'caseload data'!$C:$C,'divisional &amp; regional caseload%'!$T$92,'caseload data'!$D:$D,"SPO")/SUMIF('caseload data'!$C:$C,'divisional &amp; regional caseload%'!$T$92,'caseload data'!J:J),"")</f>
        <v/>
      </c>
      <c r="AA97" s="167" t="str">
        <f>IFERROR(SUMIFS('caseload data'!K:K,'caseload data'!$C:$C,'divisional &amp; regional caseload%'!$T$92,'caseload data'!$D:$D,"SPO")/SUMIF('caseload data'!$C:$C,'divisional &amp; regional caseload%'!$T$92,'caseload data'!K:K),"")</f>
        <v/>
      </c>
      <c r="AB97" s="167" t="str">
        <f>IFERROR(SUMIFS('caseload data'!L:L,'caseload data'!$C:$C,'divisional &amp; regional caseload%'!$T$92,'caseload data'!$D:$D,"SPO")/SUMIF('caseload data'!$C:$C,'divisional &amp; regional caseload%'!$T$92,'caseload data'!L:L),"")</f>
        <v/>
      </c>
      <c r="AC97" s="167" t="str">
        <f>IFERROR(SUMIFS('caseload data'!M:M,'caseload data'!$C:$C,'divisional &amp; regional caseload%'!$T$92,'caseload data'!$D:$D,"SPO")/SUMIF('caseload data'!$C:$C,'divisional &amp; regional caseload%'!$T$92,'caseload data'!M:M),"")</f>
        <v/>
      </c>
      <c r="AD97" s="167" t="str">
        <f>IFERROR(SUMIFS('caseload data'!N:N,'caseload data'!$C:$C,'divisional &amp; regional caseload%'!$T$92,'caseload data'!$D:$D,"SPO")/SUMIF('caseload data'!$C:$C,'divisional &amp; regional caseload%'!$T$92,'caseload data'!N:N),"")</f>
        <v/>
      </c>
      <c r="AE97" s="167" t="str">
        <f>IFERROR(SUMIFS('caseload data'!O:O,'caseload data'!$C:$C,'divisional &amp; regional caseload%'!$T$92,'caseload data'!$D:$D,"SPO")/SUMIF('caseload data'!$C:$C,'divisional &amp; regional caseload%'!$T$92,'caseload data'!O:O),"")</f>
        <v/>
      </c>
      <c r="AF97" s="167" t="str">
        <f>IFERROR(SUMIFS('caseload data'!P:P,'caseload data'!$C:$C,'divisional &amp; regional caseload%'!$T$92,'caseload data'!$D:$D,"SPO")/SUMIF('caseload data'!$C:$C,'divisional &amp; regional caseload%'!$T$92,'caseload data'!P:P),"")</f>
        <v/>
      </c>
      <c r="AG97" s="167" t="str">
        <f>IFERROR(SUMIFS('caseload data'!Q:Q,'caseload data'!$C:$C,'divisional &amp; regional caseload%'!$T$92,'caseload data'!$D:$D,"SPO")/SUMIF('caseload data'!$C:$C,'divisional &amp; regional caseload%'!$T$92,'caseload data'!Q:Q),"")</f>
        <v/>
      </c>
      <c r="AH97" s="167" t="str">
        <f>IFERROR(SUMIFS('caseload data'!R:R,'caseload data'!$C:$C,'divisional &amp; regional caseload%'!$T$92,'caseload data'!$D:$D,"SPO")/SUMIF('caseload data'!$C:$C,'divisional &amp; regional caseload%'!$T$92,'caseload data'!R:R),"")</f>
        <v/>
      </c>
      <c r="AI97" s="167" t="str">
        <f>IFERROR(SUMIFS('caseload data'!S:S,'caseload data'!$C:$C,'divisional &amp; regional caseload%'!$T$92,'caseload data'!$D:$D,"SPO")/SUMIF('caseload data'!$C:$C,'divisional &amp; regional caseload%'!$T$92,'caseload data'!S:S),"")</f>
        <v/>
      </c>
      <c r="AJ97" s="167" t="str">
        <f>IFERROR(SUMIFS('caseload data'!T:T,'caseload data'!$C:$C,'divisional &amp; regional caseload%'!$T$92,'caseload data'!$D:$D,"SPO")/SUMIF('caseload data'!$C:$C,'divisional &amp; regional caseload%'!$T$92,'caseload data'!T:T),"")</f>
        <v/>
      </c>
    </row>
    <row r="99" spans="2:36" ht="24" customHeight="1" x14ac:dyDescent="0.15">
      <c r="B99" s="142">
        <f>HLOOKUP($B$5,Region_Table,28,0)</f>
        <v>0</v>
      </c>
      <c r="C99" s="525" t="s">
        <v>1092</v>
      </c>
      <c r="D99" s="526"/>
      <c r="E99" s="526"/>
      <c r="F99" s="526"/>
      <c r="G99" s="526"/>
      <c r="H99" s="526"/>
      <c r="I99" s="526"/>
      <c r="J99" s="526"/>
      <c r="K99" s="526"/>
      <c r="L99" s="526"/>
      <c r="M99" s="527"/>
      <c r="N99" s="527"/>
      <c r="O99" s="528"/>
      <c r="P99" s="512">
        <f>SUMIF('caseload data'!$C:$C,'divisional &amp; regional caseload%'!B99,'caseload data'!V:V)</f>
        <v>0</v>
      </c>
      <c r="Q99" s="529"/>
      <c r="R99" s="530"/>
      <c r="T99" s="142">
        <f>HLOOKUP($B$5,Region_Table,29,0)</f>
        <v>0</v>
      </c>
      <c r="U99" s="525" t="s">
        <v>1092</v>
      </c>
      <c r="V99" s="526"/>
      <c r="W99" s="526"/>
      <c r="X99" s="526"/>
      <c r="Y99" s="526"/>
      <c r="Z99" s="526"/>
      <c r="AA99" s="526"/>
      <c r="AB99" s="526"/>
      <c r="AC99" s="526"/>
      <c r="AD99" s="526"/>
      <c r="AE99" s="527"/>
      <c r="AF99" s="527"/>
      <c r="AG99" s="528"/>
      <c r="AH99" s="512">
        <f>SUMIF('caseload data'!$C:$C,'divisional &amp; regional caseload%'!T99,'caseload data'!V:V)</f>
        <v>0</v>
      </c>
      <c r="AI99" s="529"/>
      <c r="AJ99" s="530"/>
    </row>
    <row r="100" spans="2:36" x14ac:dyDescent="0.15">
      <c r="B100" s="95" t="s">
        <v>1001</v>
      </c>
      <c r="C100" s="38" t="s">
        <v>864</v>
      </c>
      <c r="D100" s="38" t="s">
        <v>865</v>
      </c>
      <c r="E100" s="38" t="s">
        <v>866</v>
      </c>
      <c r="F100" s="38" t="s">
        <v>867</v>
      </c>
      <c r="G100" s="38" t="s">
        <v>868</v>
      </c>
      <c r="H100" s="38" t="s">
        <v>869</v>
      </c>
      <c r="I100" s="38" t="s">
        <v>870</v>
      </c>
      <c r="J100" s="38" t="s">
        <v>871</v>
      </c>
      <c r="K100" s="38" t="s">
        <v>872</v>
      </c>
      <c r="L100" s="38" t="s">
        <v>873</v>
      </c>
      <c r="M100" s="38" t="s">
        <v>874</v>
      </c>
      <c r="N100" s="38" t="s">
        <v>875</v>
      </c>
      <c r="O100" s="38" t="s">
        <v>876</v>
      </c>
      <c r="P100" s="38" t="s">
        <v>877</v>
      </c>
      <c r="Q100" s="38" t="s">
        <v>878</v>
      </c>
      <c r="R100" s="38" t="s">
        <v>879</v>
      </c>
      <c r="T100" s="95" t="s">
        <v>1001</v>
      </c>
      <c r="U100" s="38" t="s">
        <v>864</v>
      </c>
      <c r="V100" s="38" t="s">
        <v>865</v>
      </c>
      <c r="W100" s="38" t="s">
        <v>866</v>
      </c>
      <c r="X100" s="38" t="s">
        <v>867</v>
      </c>
      <c r="Y100" s="38" t="s">
        <v>868</v>
      </c>
      <c r="Z100" s="38" t="s">
        <v>869</v>
      </c>
      <c r="AA100" s="38" t="s">
        <v>870</v>
      </c>
      <c r="AB100" s="38" t="s">
        <v>871</v>
      </c>
      <c r="AC100" s="38" t="s">
        <v>872</v>
      </c>
      <c r="AD100" s="38" t="s">
        <v>873</v>
      </c>
      <c r="AE100" s="38" t="s">
        <v>874</v>
      </c>
      <c r="AF100" s="38" t="s">
        <v>875</v>
      </c>
      <c r="AG100" s="38" t="s">
        <v>876</v>
      </c>
      <c r="AH100" s="38" t="s">
        <v>877</v>
      </c>
      <c r="AI100" s="38" t="s">
        <v>878</v>
      </c>
      <c r="AJ100" s="38" t="s">
        <v>879</v>
      </c>
    </row>
    <row r="101" spans="2:36" x14ac:dyDescent="0.15">
      <c r="B101" s="96" t="s">
        <v>997</v>
      </c>
      <c r="C101" s="167" t="str">
        <f>IFERROR(SUMIFS('caseload data'!E:E,'caseload data'!$C:$C,'divisional &amp; regional caseload%'!$B$99,'caseload data'!$D:$D,"PO")/SUMIF('caseload data'!$C:$C,'divisional &amp; regional caseload%'!$B$99,'caseload data'!E:E),"")</f>
        <v/>
      </c>
      <c r="D101" s="167" t="str">
        <f>IFERROR(SUMIFS('caseload data'!F:F,'caseload data'!$C:$C,'divisional &amp; regional caseload%'!$B$99,'caseload data'!$D:$D,"PO")/SUMIF('caseload data'!$C:$C,'divisional &amp; regional caseload%'!$B$99,'caseload data'!F:F),"")</f>
        <v/>
      </c>
      <c r="E101" s="167" t="str">
        <f>IFERROR(SUMIFS('caseload data'!G:G,'caseload data'!$C:$C,'divisional &amp; regional caseload%'!$B$99,'caseload data'!$D:$D,"PO")/SUMIF('caseload data'!$C:$C,'divisional &amp; regional caseload%'!$B$99,'caseload data'!G:G),"")</f>
        <v/>
      </c>
      <c r="F101" s="167" t="str">
        <f>IFERROR(SUMIFS('caseload data'!H:H,'caseload data'!$C:$C,'divisional &amp; regional caseload%'!$B$99,'caseload data'!$D:$D,"PO")/SUMIF('caseload data'!$C:$C,'divisional &amp; regional caseload%'!$B$99,'caseload data'!H:H),"")</f>
        <v/>
      </c>
      <c r="G101" s="167" t="str">
        <f>IFERROR(SUMIFS('caseload data'!I:I,'caseload data'!$C:$C,'divisional &amp; regional caseload%'!$B$99,'caseload data'!$D:$D,"PO")/SUMIF('caseload data'!$C:$C,'divisional &amp; regional caseload%'!$B$99,'caseload data'!I:I),"")</f>
        <v/>
      </c>
      <c r="H101" s="167" t="str">
        <f>IFERROR(SUMIFS('caseload data'!J:J,'caseload data'!$C:$C,'divisional &amp; regional caseload%'!$B$99,'caseload data'!$D:$D,"PO")/SUMIF('caseload data'!$C:$C,'divisional &amp; regional caseload%'!$B$99,'caseload data'!J:J),"")</f>
        <v/>
      </c>
      <c r="I101" s="167" t="str">
        <f>IFERROR(SUMIFS('caseload data'!K:K,'caseload data'!$C:$C,'divisional &amp; regional caseload%'!$B$99,'caseload data'!$D:$D,"PO")/SUMIF('caseload data'!$C:$C,'divisional &amp; regional caseload%'!$B$99,'caseload data'!K:K),"")</f>
        <v/>
      </c>
      <c r="J101" s="167" t="str">
        <f>IFERROR(SUMIFS('caseload data'!L:L,'caseload data'!$C:$C,'divisional &amp; regional caseload%'!$B$99,'caseload data'!$D:$D,"PO")/SUMIF('caseload data'!$C:$C,'divisional &amp; regional caseload%'!$B$99,'caseload data'!L:L),"")</f>
        <v/>
      </c>
      <c r="K101" s="167" t="str">
        <f>IFERROR(SUMIFS('caseload data'!M:M,'caseload data'!$C:$C,'divisional &amp; regional caseload%'!$B$99,'caseload data'!$D:$D,"PO")/SUMIF('caseload data'!$C:$C,'divisional &amp; regional caseload%'!$B$99,'caseload data'!M:M),"")</f>
        <v/>
      </c>
      <c r="L101" s="167" t="str">
        <f>IFERROR(SUMIFS('caseload data'!N:N,'caseload data'!$C:$C,'divisional &amp; regional caseload%'!$B$99,'caseload data'!$D:$D,"PO")/SUMIF('caseload data'!$C:$C,'divisional &amp; regional caseload%'!$B$99,'caseload data'!N:N),"")</f>
        <v/>
      </c>
      <c r="M101" s="167" t="str">
        <f>IFERROR(SUMIFS('caseload data'!O:O,'caseload data'!$C:$C,'divisional &amp; regional caseload%'!$B$99,'caseload data'!$D:$D,"PO")/SUMIF('caseload data'!$C:$C,'divisional &amp; regional caseload%'!$B$99,'caseload data'!O:O),"")</f>
        <v/>
      </c>
      <c r="N101" s="167" t="str">
        <f>IFERROR(SUMIFS('caseload data'!P:P,'caseload data'!$C:$C,'divisional &amp; regional caseload%'!$B$99,'caseload data'!$D:$D,"PO")/SUMIF('caseload data'!$C:$C,'divisional &amp; regional caseload%'!$B$99,'caseload data'!P:P),"")</f>
        <v/>
      </c>
      <c r="O101" s="167" t="str">
        <f>IFERROR(SUMIFS('caseload data'!Q:Q,'caseload data'!$C:$C,'divisional &amp; regional caseload%'!$B$99,'caseload data'!$D:$D,"PO")/SUMIF('caseload data'!$C:$C,'divisional &amp; regional caseload%'!$B$99,'caseload data'!Q:Q),"")</f>
        <v/>
      </c>
      <c r="P101" s="167" t="str">
        <f>IFERROR(SUMIFS('caseload data'!R:R,'caseload data'!$C:$C,'divisional &amp; regional caseload%'!$B$99,'caseload data'!$D:$D,"PO")/SUMIF('caseload data'!$C:$C,'divisional &amp; regional caseload%'!$B$99,'caseload data'!R:R),"")</f>
        <v/>
      </c>
      <c r="Q101" s="167" t="str">
        <f>IFERROR(SUMIFS('caseload data'!S:S,'caseload data'!$C:$C,'divisional &amp; regional caseload%'!$B$99,'caseload data'!$D:$D,"PO")/SUMIF('caseload data'!$C:$C,'divisional &amp; regional caseload%'!$B$99,'caseload data'!S:S),"")</f>
        <v/>
      </c>
      <c r="R101" s="167" t="str">
        <f>IFERROR(SUMIFS('caseload data'!T:T,'caseload data'!$C:$C,'divisional &amp; regional caseload%'!$B$99,'caseload data'!$D:$D,"PO")/SUMIF('caseload data'!$C:$C,'divisional &amp; regional caseload%'!$B$99,'caseload data'!T:T),"")</f>
        <v/>
      </c>
      <c r="T101" s="96" t="s">
        <v>997</v>
      </c>
      <c r="U101" s="167" t="str">
        <f>IFERROR(SUMIFS('caseload data'!E:E,'caseload data'!$C:$C,'divisional &amp; regional caseload%'!$T$99,'caseload data'!$D:$D,"PO")/SUMIF('caseload data'!$C:$C,'divisional &amp; regional caseload%'!$T$99,'caseload data'!E:E),"")</f>
        <v/>
      </c>
      <c r="V101" s="167" t="str">
        <f>IFERROR(SUMIFS('caseload data'!F:F,'caseload data'!$C:$C,'divisional &amp; regional caseload%'!$T$99,'caseload data'!$D:$D,"PO")/SUMIF('caseload data'!$C:$C,'divisional &amp; regional caseload%'!$T$99,'caseload data'!F:F),"")</f>
        <v/>
      </c>
      <c r="W101" s="167" t="str">
        <f>IFERROR(SUMIFS('caseload data'!G:G,'caseload data'!$C:$C,'divisional &amp; regional caseload%'!$T$99,'caseload data'!$D:$D,"PO")/SUMIF('caseload data'!$C:$C,'divisional &amp; regional caseload%'!$T$99,'caseload data'!G:G),"")</f>
        <v/>
      </c>
      <c r="X101" s="167" t="str">
        <f>IFERROR(SUMIFS('caseload data'!H:H,'caseload data'!$C:$C,'divisional &amp; regional caseload%'!$T$99,'caseload data'!$D:$D,"PO")/SUMIF('caseload data'!$C:$C,'divisional &amp; regional caseload%'!$T$99,'caseload data'!H:H),"")</f>
        <v/>
      </c>
      <c r="Y101" s="167" t="str">
        <f>IFERROR(SUMIFS('caseload data'!I:I,'caseload data'!$C:$C,'divisional &amp; regional caseload%'!$T$99,'caseload data'!$D:$D,"PO")/SUMIF('caseload data'!$C:$C,'divisional &amp; regional caseload%'!$T$99,'caseload data'!I:I),"")</f>
        <v/>
      </c>
      <c r="Z101" s="167" t="str">
        <f>IFERROR(SUMIFS('caseload data'!J:J,'caseload data'!$C:$C,'divisional &amp; regional caseload%'!$T$99,'caseload data'!$D:$D,"PO")/SUMIF('caseload data'!$C:$C,'divisional &amp; regional caseload%'!$T$99,'caseload data'!J:J),"")</f>
        <v/>
      </c>
      <c r="AA101" s="167" t="str">
        <f>IFERROR(SUMIFS('caseload data'!K:K,'caseload data'!$C:$C,'divisional &amp; regional caseload%'!$T$99,'caseload data'!$D:$D,"PO")/SUMIF('caseload data'!$C:$C,'divisional &amp; regional caseload%'!$T$99,'caseload data'!K:K),"")</f>
        <v/>
      </c>
      <c r="AB101" s="167" t="str">
        <f>IFERROR(SUMIFS('caseload data'!L:L,'caseload data'!$C:$C,'divisional &amp; regional caseload%'!$T$99,'caseload data'!$D:$D,"PO")/SUMIF('caseload data'!$C:$C,'divisional &amp; regional caseload%'!$T$99,'caseload data'!L:L),"")</f>
        <v/>
      </c>
      <c r="AC101" s="167" t="str">
        <f>IFERROR(SUMIFS('caseload data'!M:M,'caseload data'!$C:$C,'divisional &amp; regional caseload%'!$T$99,'caseload data'!$D:$D,"PO")/SUMIF('caseload data'!$C:$C,'divisional &amp; regional caseload%'!$T$99,'caseload data'!M:M),"")</f>
        <v/>
      </c>
      <c r="AD101" s="167" t="str">
        <f>IFERROR(SUMIFS('caseload data'!N:N,'caseload data'!$C:$C,'divisional &amp; regional caseload%'!$T$99,'caseload data'!$D:$D,"PO")/SUMIF('caseload data'!$C:$C,'divisional &amp; regional caseload%'!$T$99,'caseload data'!N:N),"")</f>
        <v/>
      </c>
      <c r="AE101" s="167" t="str">
        <f>IFERROR(SUMIFS('caseload data'!O:O,'caseload data'!$C:$C,'divisional &amp; regional caseload%'!$T$99,'caseload data'!$D:$D,"PO")/SUMIF('caseload data'!$C:$C,'divisional &amp; regional caseload%'!$T$99,'caseload data'!O:O),"")</f>
        <v/>
      </c>
      <c r="AF101" s="167" t="str">
        <f>IFERROR(SUMIFS('caseload data'!P:P,'caseload data'!$C:$C,'divisional &amp; regional caseload%'!$T$99,'caseload data'!$D:$D,"PO")/SUMIF('caseload data'!$C:$C,'divisional &amp; regional caseload%'!$T$99,'caseload data'!P:P),"")</f>
        <v/>
      </c>
      <c r="AG101" s="167" t="str">
        <f>IFERROR(SUMIFS('caseload data'!Q:Q,'caseload data'!$C:$C,'divisional &amp; regional caseload%'!$T$99,'caseload data'!$D:$D,"PO")/SUMIF('caseload data'!$C:$C,'divisional &amp; regional caseload%'!$T$99,'caseload data'!Q:Q),"")</f>
        <v/>
      </c>
      <c r="AH101" s="167" t="str">
        <f>IFERROR(SUMIFS('caseload data'!R:R,'caseload data'!$C:$C,'divisional &amp; regional caseload%'!$T$99,'caseload data'!$D:$D,"PO")/SUMIF('caseload data'!$C:$C,'divisional &amp; regional caseload%'!$T$99,'caseload data'!R:R),"")</f>
        <v/>
      </c>
      <c r="AI101" s="167" t="str">
        <f>IFERROR(SUMIFS('caseload data'!S:S,'caseload data'!$C:$C,'divisional &amp; regional caseload%'!$T$99,'caseload data'!$D:$D,"PO")/SUMIF('caseload data'!$C:$C,'divisional &amp; regional caseload%'!$T$99,'caseload data'!S:S),"")</f>
        <v/>
      </c>
      <c r="AJ101" s="167" t="str">
        <f>IFERROR(SUMIFS('caseload data'!T:T,'caseload data'!$C:$C,'divisional &amp; regional caseload%'!$T$99,'caseload data'!$D:$D,"PO")/SUMIF('caseload data'!$C:$C,'divisional &amp; regional caseload%'!$T$99,'caseload data'!T:T),"")</f>
        <v/>
      </c>
    </row>
    <row r="102" spans="2:36" x14ac:dyDescent="0.15">
      <c r="B102" s="97" t="s">
        <v>1002</v>
      </c>
      <c r="C102" s="167" t="str">
        <f>IFERROR(SUMIFS('caseload data'!E:E,'caseload data'!$C:$C,'divisional &amp; regional caseload%'!$B$99,'caseload data'!$D:$D,"PSO")/SUMIF('caseload data'!$C:$C,'divisional &amp; regional caseload%'!$B$99,'caseload data'!E:E),"")</f>
        <v/>
      </c>
      <c r="D102" s="167" t="str">
        <f>IFERROR(SUMIFS('caseload data'!F:F,'caseload data'!$C:$C,'divisional &amp; regional caseload%'!$B$99,'caseload data'!$D:$D,"PSO")/SUMIF('caseload data'!$C:$C,'divisional &amp; regional caseload%'!$B$99,'caseload data'!F:F),"")</f>
        <v/>
      </c>
      <c r="E102" s="167" t="str">
        <f>IFERROR(SUMIFS('caseload data'!G:G,'caseload data'!$C:$C,'divisional &amp; regional caseload%'!$B$99,'caseload data'!$D:$D,"PSO")/SUMIF('caseload data'!$C:$C,'divisional &amp; regional caseload%'!$B$99,'caseload data'!G:G),"")</f>
        <v/>
      </c>
      <c r="F102" s="167" t="str">
        <f>IFERROR(SUMIFS('caseload data'!H:H,'caseload data'!$C:$C,'divisional &amp; regional caseload%'!$B$99,'caseload data'!$D:$D,"PSO")/SUMIF('caseload data'!$C:$C,'divisional &amp; regional caseload%'!$B$99,'caseload data'!H:H),"")</f>
        <v/>
      </c>
      <c r="G102" s="167" t="str">
        <f>IFERROR(SUMIFS('caseload data'!I:I,'caseload data'!$C:$C,'divisional &amp; regional caseload%'!$B$99,'caseload data'!$D:$D,"PSO")/SUMIF('caseload data'!$C:$C,'divisional &amp; regional caseload%'!$B$99,'caseload data'!I:I),"")</f>
        <v/>
      </c>
      <c r="H102" s="167" t="str">
        <f>IFERROR(SUMIFS('caseload data'!J:J,'caseload data'!$C:$C,'divisional &amp; regional caseload%'!$B$99,'caseload data'!$D:$D,"PSO")/SUMIF('caseload data'!$C:$C,'divisional &amp; regional caseload%'!$B$99,'caseload data'!J:J),"")</f>
        <v/>
      </c>
      <c r="I102" s="167" t="str">
        <f>IFERROR(SUMIFS('caseload data'!K:K,'caseload data'!$C:$C,'divisional &amp; regional caseload%'!$B$99,'caseload data'!$D:$D,"PSO")/SUMIF('caseload data'!$C:$C,'divisional &amp; regional caseload%'!$B$99,'caseload data'!K:K),"")</f>
        <v/>
      </c>
      <c r="J102" s="167" t="str">
        <f>IFERROR(SUMIFS('caseload data'!L:L,'caseload data'!$C:$C,'divisional &amp; regional caseload%'!$B$99,'caseload data'!$D:$D,"PSO")/SUMIF('caseload data'!$C:$C,'divisional &amp; regional caseload%'!$B$99,'caseload data'!L:L),"")</f>
        <v/>
      </c>
      <c r="K102" s="167" t="str">
        <f>IFERROR(SUMIFS('caseload data'!M:M,'caseload data'!$C:$C,'divisional &amp; regional caseload%'!$B$99,'caseload data'!$D:$D,"PSO")/SUMIF('caseload data'!$C:$C,'divisional &amp; regional caseload%'!$B$99,'caseload data'!M:M),"")</f>
        <v/>
      </c>
      <c r="L102" s="167" t="str">
        <f>IFERROR(SUMIFS('caseload data'!N:N,'caseload data'!$C:$C,'divisional &amp; regional caseload%'!$B$99,'caseload data'!$D:$D,"PSO")/SUMIF('caseload data'!$C:$C,'divisional &amp; regional caseload%'!$B$99,'caseload data'!N:N),"")</f>
        <v/>
      </c>
      <c r="M102" s="167" t="str">
        <f>IFERROR(SUMIFS('caseload data'!O:O,'caseload data'!$C:$C,'divisional &amp; regional caseload%'!$B$99,'caseload data'!$D:$D,"PSO")/SUMIF('caseload data'!$C:$C,'divisional &amp; regional caseload%'!$B$99,'caseload data'!O:O),"")</f>
        <v/>
      </c>
      <c r="N102" s="167" t="str">
        <f>IFERROR(SUMIFS('caseload data'!P:P,'caseload data'!$C:$C,'divisional &amp; regional caseload%'!$B$99,'caseload data'!$D:$D,"PSO")/SUMIF('caseload data'!$C:$C,'divisional &amp; regional caseload%'!$B$99,'caseload data'!P:P),"")</f>
        <v/>
      </c>
      <c r="O102" s="167" t="str">
        <f>IFERROR(SUMIFS('caseload data'!Q:Q,'caseload data'!$C:$C,'divisional &amp; regional caseload%'!$B$99,'caseload data'!$D:$D,"PSO")/SUMIF('caseload data'!$C:$C,'divisional &amp; regional caseload%'!$B$99,'caseload data'!Q:Q),"")</f>
        <v/>
      </c>
      <c r="P102" s="167" t="str">
        <f>IFERROR(SUMIFS('caseload data'!R:R,'caseload data'!$C:$C,'divisional &amp; regional caseload%'!$B$99,'caseload data'!$D:$D,"PSO")/SUMIF('caseload data'!$C:$C,'divisional &amp; regional caseload%'!$B$99,'caseload data'!R:R),"")</f>
        <v/>
      </c>
      <c r="Q102" s="167" t="str">
        <f>IFERROR(SUMIFS('caseload data'!S:S,'caseload data'!$C:$C,'divisional &amp; regional caseload%'!$B$99,'caseload data'!$D:$D,"PSO")/SUMIF('caseload data'!$C:$C,'divisional &amp; regional caseload%'!$B$99,'caseload data'!S:S),"")</f>
        <v/>
      </c>
      <c r="R102" s="167" t="str">
        <f>IFERROR(SUMIFS('caseload data'!T:T,'caseload data'!$C:$C,'divisional &amp; regional caseload%'!$B$99,'caseload data'!$D:$D,"PSO")/SUMIF('caseload data'!$C:$C,'divisional &amp; regional caseload%'!$B$99,'caseload data'!T:T),"")</f>
        <v/>
      </c>
      <c r="T102" s="97" t="s">
        <v>1002</v>
      </c>
      <c r="U102" s="167" t="str">
        <f>IFERROR(SUMIFS('caseload data'!E:E,'caseload data'!$C:$C,'divisional &amp; regional caseload%'!$T$99,'caseload data'!$D:$D,"PSO")/SUMIF('caseload data'!$C:$C,'divisional &amp; regional caseload%'!$T$99,'caseload data'!E:E),"")</f>
        <v/>
      </c>
      <c r="V102" s="167" t="str">
        <f>IFERROR(SUMIFS('caseload data'!F:F,'caseload data'!$C:$C,'divisional &amp; regional caseload%'!$T$99,'caseload data'!$D:$D,"PSO")/SUMIF('caseload data'!$C:$C,'divisional &amp; regional caseload%'!$T$99,'caseload data'!F:F),"")</f>
        <v/>
      </c>
      <c r="W102" s="167" t="str">
        <f>IFERROR(SUMIFS('caseload data'!G:G,'caseload data'!$C:$C,'divisional &amp; regional caseload%'!$T$99,'caseload data'!$D:$D,"PSO")/SUMIF('caseload data'!$C:$C,'divisional &amp; regional caseload%'!$T$99,'caseload data'!G:G),"")</f>
        <v/>
      </c>
      <c r="X102" s="167" t="str">
        <f>IFERROR(SUMIFS('caseload data'!H:H,'caseload data'!$C:$C,'divisional &amp; regional caseload%'!$T$99,'caseload data'!$D:$D,"PSO")/SUMIF('caseload data'!$C:$C,'divisional &amp; regional caseload%'!$T$99,'caseload data'!H:H),"")</f>
        <v/>
      </c>
      <c r="Y102" s="167" t="str">
        <f>IFERROR(SUMIFS('caseload data'!I:I,'caseload data'!$C:$C,'divisional &amp; regional caseload%'!$T$99,'caseload data'!$D:$D,"PSO")/SUMIF('caseload data'!$C:$C,'divisional &amp; regional caseload%'!$T$99,'caseload data'!I:I),"")</f>
        <v/>
      </c>
      <c r="Z102" s="167" t="str">
        <f>IFERROR(SUMIFS('caseload data'!J:J,'caseload data'!$C:$C,'divisional &amp; regional caseload%'!$T$99,'caseload data'!$D:$D,"PSO")/SUMIF('caseload data'!$C:$C,'divisional &amp; regional caseload%'!$T$99,'caseload data'!J:J),"")</f>
        <v/>
      </c>
      <c r="AA102" s="167" t="str">
        <f>IFERROR(SUMIFS('caseload data'!K:K,'caseload data'!$C:$C,'divisional &amp; regional caseload%'!$T$99,'caseload data'!$D:$D,"PSO")/SUMIF('caseload data'!$C:$C,'divisional &amp; regional caseload%'!$T$99,'caseload data'!K:K),"")</f>
        <v/>
      </c>
      <c r="AB102" s="167" t="str">
        <f>IFERROR(SUMIFS('caseload data'!L:L,'caseload data'!$C:$C,'divisional &amp; regional caseload%'!$T$99,'caseload data'!$D:$D,"PSO")/SUMIF('caseload data'!$C:$C,'divisional &amp; regional caseload%'!$T$99,'caseload data'!L:L),"")</f>
        <v/>
      </c>
      <c r="AC102" s="167" t="str">
        <f>IFERROR(SUMIFS('caseload data'!M:M,'caseload data'!$C:$C,'divisional &amp; regional caseload%'!$T$99,'caseload data'!$D:$D,"PSO")/SUMIF('caseload data'!$C:$C,'divisional &amp; regional caseload%'!$T$99,'caseload data'!M:M),"")</f>
        <v/>
      </c>
      <c r="AD102" s="167" t="str">
        <f>IFERROR(SUMIFS('caseload data'!N:N,'caseload data'!$C:$C,'divisional &amp; regional caseload%'!$T$99,'caseload data'!$D:$D,"PSO")/SUMIF('caseload data'!$C:$C,'divisional &amp; regional caseload%'!$T$99,'caseload data'!N:N),"")</f>
        <v/>
      </c>
      <c r="AE102" s="167" t="str">
        <f>IFERROR(SUMIFS('caseload data'!O:O,'caseload data'!$C:$C,'divisional &amp; regional caseload%'!$T$99,'caseload data'!$D:$D,"PSO")/SUMIF('caseload data'!$C:$C,'divisional &amp; regional caseload%'!$T$99,'caseload data'!O:O),"")</f>
        <v/>
      </c>
      <c r="AF102" s="167" t="str">
        <f>IFERROR(SUMIFS('caseload data'!P:P,'caseload data'!$C:$C,'divisional &amp; regional caseload%'!$T$99,'caseload data'!$D:$D,"PSO")/SUMIF('caseload data'!$C:$C,'divisional &amp; regional caseload%'!$T$99,'caseload data'!P:P),"")</f>
        <v/>
      </c>
      <c r="AG102" s="167" t="str">
        <f>IFERROR(SUMIFS('caseload data'!Q:Q,'caseload data'!$C:$C,'divisional &amp; regional caseload%'!$T$99,'caseload data'!$D:$D,"PSO")/SUMIF('caseload data'!$C:$C,'divisional &amp; regional caseload%'!$T$99,'caseload data'!Q:Q),"")</f>
        <v/>
      </c>
      <c r="AH102" s="167" t="str">
        <f>IFERROR(SUMIFS('caseload data'!R:R,'caseload data'!$C:$C,'divisional &amp; regional caseload%'!$T$99,'caseload data'!$D:$D,"PSO")/SUMIF('caseload data'!$C:$C,'divisional &amp; regional caseload%'!$T$99,'caseload data'!R:R),"")</f>
        <v/>
      </c>
      <c r="AI102" s="167" t="str">
        <f>IFERROR(SUMIFS('caseload data'!S:S,'caseload data'!$C:$C,'divisional &amp; regional caseload%'!$T$99,'caseload data'!$D:$D,"PSO")/SUMIF('caseload data'!$C:$C,'divisional &amp; regional caseload%'!$T$99,'caseload data'!S:S),"")</f>
        <v/>
      </c>
      <c r="AJ102" s="167" t="str">
        <f>IFERROR(SUMIFS('caseload data'!T:T,'caseload data'!$C:$C,'divisional &amp; regional caseload%'!$T$99,'caseload data'!$D:$D,"PSO")/SUMIF('caseload data'!$C:$C,'divisional &amp; regional caseload%'!$T$99,'caseload data'!T:T),"")</f>
        <v/>
      </c>
    </row>
    <row r="103" spans="2:36" x14ac:dyDescent="0.15">
      <c r="B103" s="97" t="s">
        <v>1003</v>
      </c>
      <c r="C103" s="167" t="str">
        <f>IFERROR(SUMIFS('caseload data'!E:E,'caseload data'!$C:$C,'divisional &amp; regional caseload%'!$B$99,'caseload data'!$D:$D,"TPO")/SUMIF('caseload data'!$C:$C,'divisional &amp; regional caseload%'!$B$99,'caseload data'!E:E),"")</f>
        <v/>
      </c>
      <c r="D103" s="167" t="str">
        <f>IFERROR(SUMIFS('caseload data'!F:F,'caseload data'!$C:$C,'divisional &amp; regional caseload%'!$B$99,'caseload data'!$D:$D,"TPO")/SUMIF('caseload data'!$C:$C,'divisional &amp; regional caseload%'!$B$99,'caseload data'!F:F),"")</f>
        <v/>
      </c>
      <c r="E103" s="167" t="str">
        <f>IFERROR(SUMIFS('caseload data'!G:G,'caseload data'!$C:$C,'divisional &amp; regional caseload%'!$B$99,'caseload data'!$D:$D,"TPO")/SUMIF('caseload data'!$C:$C,'divisional &amp; regional caseload%'!$B$99,'caseload data'!G:G),"")</f>
        <v/>
      </c>
      <c r="F103" s="167" t="str">
        <f>IFERROR(SUMIFS('caseload data'!H:H,'caseload data'!$C:$C,'divisional &amp; regional caseload%'!$B$99,'caseload data'!$D:$D,"TPO")/SUMIF('caseload data'!$C:$C,'divisional &amp; regional caseload%'!$B$99,'caseload data'!H:H),"")</f>
        <v/>
      </c>
      <c r="G103" s="167" t="str">
        <f>IFERROR(SUMIFS('caseload data'!I:I,'caseload data'!$C:$C,'divisional &amp; regional caseload%'!$B$99,'caseload data'!$D:$D,"TPO")/SUMIF('caseload data'!$C:$C,'divisional &amp; regional caseload%'!$B$99,'caseload data'!I:I),"")</f>
        <v/>
      </c>
      <c r="H103" s="167" t="str">
        <f>IFERROR(SUMIFS('caseload data'!J:J,'caseload data'!$C:$C,'divisional &amp; regional caseload%'!$B$99,'caseload data'!$D:$D,"TPO")/SUMIF('caseload data'!$C:$C,'divisional &amp; regional caseload%'!$B$99,'caseload data'!J:J),"")</f>
        <v/>
      </c>
      <c r="I103" s="167" t="str">
        <f>IFERROR(SUMIFS('caseload data'!K:K,'caseload data'!$C:$C,'divisional &amp; regional caseload%'!$B$99,'caseload data'!$D:$D,"TPO")/SUMIF('caseload data'!$C:$C,'divisional &amp; regional caseload%'!$B$99,'caseload data'!K:K),"")</f>
        <v/>
      </c>
      <c r="J103" s="167" t="str">
        <f>IFERROR(SUMIFS('caseload data'!L:L,'caseload data'!$C:$C,'divisional &amp; regional caseload%'!$B$99,'caseload data'!$D:$D,"TPO")/SUMIF('caseload data'!$C:$C,'divisional &amp; regional caseload%'!$B$99,'caseload data'!L:L),"")</f>
        <v/>
      </c>
      <c r="K103" s="167" t="str">
        <f>IFERROR(SUMIFS('caseload data'!M:M,'caseload data'!$C:$C,'divisional &amp; regional caseload%'!$B$99,'caseload data'!$D:$D,"TPO")/SUMIF('caseload data'!$C:$C,'divisional &amp; regional caseload%'!$B$99,'caseload data'!M:M),"")</f>
        <v/>
      </c>
      <c r="L103" s="167" t="str">
        <f>IFERROR(SUMIFS('caseload data'!N:N,'caseload data'!$C:$C,'divisional &amp; regional caseload%'!$B$99,'caseload data'!$D:$D,"TPO")/SUMIF('caseload data'!$C:$C,'divisional &amp; regional caseload%'!$B$99,'caseload data'!N:N),"")</f>
        <v/>
      </c>
      <c r="M103" s="167" t="str">
        <f>IFERROR(SUMIFS('caseload data'!O:O,'caseload data'!$C:$C,'divisional &amp; regional caseload%'!$B$99,'caseload data'!$D:$D,"TPO")/SUMIF('caseload data'!$C:$C,'divisional &amp; regional caseload%'!$B$99,'caseload data'!O:O),"")</f>
        <v/>
      </c>
      <c r="N103" s="167" t="str">
        <f>IFERROR(SUMIFS('caseload data'!P:P,'caseload data'!$C:$C,'divisional &amp; regional caseload%'!$B$99,'caseload data'!$D:$D,"TPO")/SUMIF('caseload data'!$C:$C,'divisional &amp; regional caseload%'!$B$99,'caseload data'!P:P),"")</f>
        <v/>
      </c>
      <c r="O103" s="167" t="str">
        <f>IFERROR(SUMIFS('caseload data'!Q:Q,'caseload data'!$C:$C,'divisional &amp; regional caseload%'!$B$99,'caseload data'!$D:$D,"TPO")/SUMIF('caseload data'!$C:$C,'divisional &amp; regional caseload%'!$B$99,'caseload data'!Q:Q),"")</f>
        <v/>
      </c>
      <c r="P103" s="167" t="str">
        <f>IFERROR(SUMIFS('caseload data'!R:R,'caseload data'!$C:$C,'divisional &amp; regional caseload%'!$B$99,'caseload data'!$D:$D,"TPO")/SUMIF('caseload data'!$C:$C,'divisional &amp; regional caseload%'!$B$99,'caseload data'!R:R),"")</f>
        <v/>
      </c>
      <c r="Q103" s="167" t="str">
        <f>IFERROR(SUMIFS('caseload data'!S:S,'caseload data'!$C:$C,'divisional &amp; regional caseload%'!$B$99,'caseload data'!$D:$D,"TPO")/SUMIF('caseload data'!$C:$C,'divisional &amp; regional caseload%'!$B$99,'caseload data'!S:S),"")</f>
        <v/>
      </c>
      <c r="R103" s="167" t="str">
        <f>IFERROR(SUMIFS('caseload data'!T:T,'caseload data'!$C:$C,'divisional &amp; regional caseload%'!$B$99,'caseload data'!$D:$D,"TPO")/SUMIF('caseload data'!$C:$C,'divisional &amp; regional caseload%'!$B$99,'caseload data'!T:T),"")</f>
        <v/>
      </c>
      <c r="T103" s="97" t="s">
        <v>1003</v>
      </c>
      <c r="U103" s="167" t="str">
        <f>IFERROR(SUMIFS('caseload data'!E:E,'caseload data'!$C:$C,'divisional &amp; regional caseload%'!$T$99,'caseload data'!$D:$D,"TPO")/SUMIF('caseload data'!$C:$C,'divisional &amp; regional caseload%'!$T$99,'caseload data'!E:E),"")</f>
        <v/>
      </c>
      <c r="V103" s="167" t="str">
        <f>IFERROR(SUMIFS('caseload data'!F:F,'caseload data'!$C:$C,'divisional &amp; regional caseload%'!$T$99,'caseload data'!$D:$D,"TPO")/SUMIF('caseload data'!$C:$C,'divisional &amp; regional caseload%'!$T$99,'caseload data'!F:F),"")</f>
        <v/>
      </c>
      <c r="W103" s="167" t="str">
        <f>IFERROR(SUMIFS('caseload data'!G:G,'caseload data'!$C:$C,'divisional &amp; regional caseload%'!$T$99,'caseload data'!$D:$D,"TPO")/SUMIF('caseload data'!$C:$C,'divisional &amp; regional caseload%'!$T$99,'caseload data'!G:G),"")</f>
        <v/>
      </c>
      <c r="X103" s="167" t="str">
        <f>IFERROR(SUMIFS('caseload data'!H:H,'caseload data'!$C:$C,'divisional &amp; regional caseload%'!$T$99,'caseload data'!$D:$D,"TPO")/SUMIF('caseload data'!$C:$C,'divisional &amp; regional caseload%'!$T$99,'caseload data'!H:H),"")</f>
        <v/>
      </c>
      <c r="Y103" s="167" t="str">
        <f>IFERROR(SUMIFS('caseload data'!I:I,'caseload data'!$C:$C,'divisional &amp; regional caseload%'!$T$99,'caseload data'!$D:$D,"TPO")/SUMIF('caseload data'!$C:$C,'divisional &amp; regional caseload%'!$T$99,'caseload data'!I:I),"")</f>
        <v/>
      </c>
      <c r="Z103" s="167" t="str">
        <f>IFERROR(SUMIFS('caseload data'!J:J,'caseload data'!$C:$C,'divisional &amp; regional caseload%'!$T$99,'caseload data'!$D:$D,"TPO")/SUMIF('caseload data'!$C:$C,'divisional &amp; regional caseload%'!$T$99,'caseload data'!J:J),"")</f>
        <v/>
      </c>
      <c r="AA103" s="167" t="str">
        <f>IFERROR(SUMIFS('caseload data'!K:K,'caseload data'!$C:$C,'divisional &amp; regional caseload%'!$T$99,'caseload data'!$D:$D,"TPO")/SUMIF('caseload data'!$C:$C,'divisional &amp; regional caseload%'!$T$99,'caseload data'!K:K),"")</f>
        <v/>
      </c>
      <c r="AB103" s="167" t="str">
        <f>IFERROR(SUMIFS('caseload data'!L:L,'caseload data'!$C:$C,'divisional &amp; regional caseload%'!$T$99,'caseload data'!$D:$D,"TPO")/SUMIF('caseload data'!$C:$C,'divisional &amp; regional caseload%'!$T$99,'caseload data'!L:L),"")</f>
        <v/>
      </c>
      <c r="AC103" s="167" t="str">
        <f>IFERROR(SUMIFS('caseload data'!M:M,'caseload data'!$C:$C,'divisional &amp; regional caseload%'!$T$99,'caseload data'!$D:$D,"TPO")/SUMIF('caseload data'!$C:$C,'divisional &amp; regional caseload%'!$T$99,'caseload data'!M:M),"")</f>
        <v/>
      </c>
      <c r="AD103" s="167" t="str">
        <f>IFERROR(SUMIFS('caseload data'!N:N,'caseload data'!$C:$C,'divisional &amp; regional caseload%'!$T$99,'caseload data'!$D:$D,"TPO")/SUMIF('caseload data'!$C:$C,'divisional &amp; regional caseload%'!$T$99,'caseload data'!N:N),"")</f>
        <v/>
      </c>
      <c r="AE103" s="167" t="str">
        <f>IFERROR(SUMIFS('caseload data'!O:O,'caseload data'!$C:$C,'divisional &amp; regional caseload%'!$T$99,'caseload data'!$D:$D,"TPO")/SUMIF('caseload data'!$C:$C,'divisional &amp; regional caseload%'!$T$99,'caseload data'!O:O),"")</f>
        <v/>
      </c>
      <c r="AF103" s="167" t="str">
        <f>IFERROR(SUMIFS('caseload data'!P:P,'caseload data'!$C:$C,'divisional &amp; regional caseload%'!$T$99,'caseload data'!$D:$D,"TPO")/SUMIF('caseload data'!$C:$C,'divisional &amp; regional caseload%'!$T$99,'caseload data'!P:P),"")</f>
        <v/>
      </c>
      <c r="AG103" s="167" t="str">
        <f>IFERROR(SUMIFS('caseload data'!Q:Q,'caseload data'!$C:$C,'divisional &amp; regional caseload%'!$T$99,'caseload data'!$D:$D,"TPO")/SUMIF('caseload data'!$C:$C,'divisional &amp; regional caseload%'!$T$99,'caseload data'!Q:Q),"")</f>
        <v/>
      </c>
      <c r="AH103" s="167" t="str">
        <f>IFERROR(SUMIFS('caseload data'!R:R,'caseload data'!$C:$C,'divisional &amp; regional caseload%'!$T$99,'caseload data'!$D:$D,"TPO")/SUMIF('caseload data'!$C:$C,'divisional &amp; regional caseload%'!$T$99,'caseload data'!R:R),"")</f>
        <v/>
      </c>
      <c r="AI103" s="167" t="str">
        <f>IFERROR(SUMIFS('caseload data'!S:S,'caseload data'!$C:$C,'divisional &amp; regional caseload%'!$T$99,'caseload data'!$D:$D,"TPO")/SUMIF('caseload data'!$C:$C,'divisional &amp; regional caseload%'!$T$99,'caseload data'!S:S),"")</f>
        <v/>
      </c>
      <c r="AJ103" s="167" t="str">
        <f>IFERROR(SUMIFS('caseload data'!T:T,'caseload data'!$C:$C,'divisional &amp; regional caseload%'!$T$99,'caseload data'!$D:$D,"TPO")/SUMIF('caseload data'!$C:$C,'divisional &amp; regional caseload%'!$T$99,'caseload data'!T:T),"")</f>
        <v/>
      </c>
    </row>
    <row r="104" spans="2:36" x14ac:dyDescent="0.15">
      <c r="B104" s="98" t="s">
        <v>1004</v>
      </c>
      <c r="C104" s="167" t="str">
        <f>IFERROR(SUMIFS('caseload data'!E:E,'caseload data'!$C:$C,'divisional &amp; regional caseload%'!$B$99,'caseload data'!$D:$D,"SPO")/SUMIF('caseload data'!$C:$C,'divisional &amp; regional caseload%'!$B$99,'caseload data'!E:E),"")</f>
        <v/>
      </c>
      <c r="D104" s="167" t="str">
        <f>IFERROR(SUMIFS('caseload data'!F:F,'caseload data'!$C:$C,'divisional &amp; regional caseload%'!$B$99,'caseload data'!$D:$D,"SPO")/SUMIF('caseload data'!$C:$C,'divisional &amp; regional caseload%'!$B$99,'caseload data'!F:F),"")</f>
        <v/>
      </c>
      <c r="E104" s="167" t="str">
        <f>IFERROR(SUMIFS('caseload data'!G:G,'caseload data'!$C:$C,'divisional &amp; regional caseload%'!$B$99,'caseload data'!$D:$D,"SPO")/SUMIF('caseload data'!$C:$C,'divisional &amp; regional caseload%'!$B$99,'caseload data'!G:G),"")</f>
        <v/>
      </c>
      <c r="F104" s="167" t="str">
        <f>IFERROR(SUMIFS('caseload data'!H:H,'caseload data'!$C:$C,'divisional &amp; regional caseload%'!$B$99,'caseload data'!$D:$D,"SPO")/SUMIF('caseload data'!$C:$C,'divisional &amp; regional caseload%'!$B$99,'caseload data'!H:H),"")</f>
        <v/>
      </c>
      <c r="G104" s="167" t="str">
        <f>IFERROR(SUMIFS('caseload data'!I:I,'caseload data'!$C:$C,'divisional &amp; regional caseload%'!$B$99,'caseload data'!$D:$D,"SPO")/SUMIF('caseload data'!$C:$C,'divisional &amp; regional caseload%'!$B$99,'caseload data'!I:I),"")</f>
        <v/>
      </c>
      <c r="H104" s="167" t="str">
        <f>IFERROR(SUMIFS('caseload data'!J:J,'caseload data'!$C:$C,'divisional &amp; regional caseload%'!$B$99,'caseload data'!$D:$D,"SPO")/SUMIF('caseload data'!$C:$C,'divisional &amp; regional caseload%'!$B$99,'caseload data'!J:J),"")</f>
        <v/>
      </c>
      <c r="I104" s="167" t="str">
        <f>IFERROR(SUMIFS('caseload data'!K:K,'caseload data'!$C:$C,'divisional &amp; regional caseload%'!$B$99,'caseload data'!$D:$D,"SPO")/SUMIF('caseload data'!$C:$C,'divisional &amp; regional caseload%'!$B$99,'caseload data'!K:K),"")</f>
        <v/>
      </c>
      <c r="J104" s="167" t="str">
        <f>IFERROR(SUMIFS('caseload data'!L:L,'caseload data'!$C:$C,'divisional &amp; regional caseload%'!$B$99,'caseload data'!$D:$D,"SPO")/SUMIF('caseload data'!$C:$C,'divisional &amp; regional caseload%'!$B$99,'caseload data'!L:L),"")</f>
        <v/>
      </c>
      <c r="K104" s="167" t="str">
        <f>IFERROR(SUMIFS('caseload data'!M:M,'caseload data'!$C:$C,'divisional &amp; regional caseload%'!$B$99,'caseload data'!$D:$D,"SPO")/SUMIF('caseload data'!$C:$C,'divisional &amp; regional caseload%'!$B$99,'caseload data'!M:M),"")</f>
        <v/>
      </c>
      <c r="L104" s="167" t="str">
        <f>IFERROR(SUMIFS('caseload data'!N:N,'caseload data'!$C:$C,'divisional &amp; regional caseload%'!$B$99,'caseload data'!$D:$D,"SPO")/SUMIF('caseload data'!$C:$C,'divisional &amp; regional caseload%'!$B$99,'caseload data'!N:N),"")</f>
        <v/>
      </c>
      <c r="M104" s="167" t="str">
        <f>IFERROR(SUMIFS('caseload data'!O:O,'caseload data'!$C:$C,'divisional &amp; regional caseload%'!$B$99,'caseload data'!$D:$D,"SPO")/SUMIF('caseload data'!$C:$C,'divisional &amp; regional caseload%'!$B$99,'caseload data'!O:O),"")</f>
        <v/>
      </c>
      <c r="N104" s="167" t="str">
        <f>IFERROR(SUMIFS('caseload data'!P:P,'caseload data'!$C:$C,'divisional &amp; regional caseload%'!$B$99,'caseload data'!$D:$D,"SPO")/SUMIF('caseload data'!$C:$C,'divisional &amp; regional caseload%'!$B$99,'caseload data'!P:P),"")</f>
        <v/>
      </c>
      <c r="O104" s="167" t="str">
        <f>IFERROR(SUMIFS('caseload data'!Q:Q,'caseload data'!$C:$C,'divisional &amp; regional caseload%'!$B$99,'caseload data'!$D:$D,"SPO")/SUMIF('caseload data'!$C:$C,'divisional &amp; regional caseload%'!$B$99,'caseload data'!Q:Q),"")</f>
        <v/>
      </c>
      <c r="P104" s="167" t="str">
        <f>IFERROR(SUMIFS('caseload data'!R:R,'caseload data'!$C:$C,'divisional &amp; regional caseload%'!$B$99,'caseload data'!$D:$D,"SPO")/SUMIF('caseload data'!$C:$C,'divisional &amp; regional caseload%'!$B$99,'caseload data'!R:R),"")</f>
        <v/>
      </c>
      <c r="Q104" s="167" t="str">
        <f>IFERROR(SUMIFS('caseload data'!S:S,'caseload data'!$C:$C,'divisional &amp; regional caseload%'!$B$99,'caseload data'!$D:$D,"SPO")/SUMIF('caseload data'!$C:$C,'divisional &amp; regional caseload%'!$B$99,'caseload data'!S:S),"")</f>
        <v/>
      </c>
      <c r="R104" s="167" t="str">
        <f>IFERROR(SUMIFS('caseload data'!T:T,'caseload data'!$C:$C,'divisional &amp; regional caseload%'!$B$99,'caseload data'!$D:$D,"SPO")/SUMIF('caseload data'!$C:$C,'divisional &amp; regional caseload%'!$B$99,'caseload data'!T:T),"")</f>
        <v/>
      </c>
      <c r="T104" s="98" t="s">
        <v>1004</v>
      </c>
      <c r="U104" s="167" t="str">
        <f>IFERROR(SUMIFS('caseload data'!E:E,'caseload data'!$C:$C,'divisional &amp; regional caseload%'!$T$99,'caseload data'!$D:$D,"SPO")/SUMIF('caseload data'!$C:$C,'divisional &amp; regional caseload%'!$T$99,'caseload data'!E:E),"")</f>
        <v/>
      </c>
      <c r="V104" s="167" t="str">
        <f>IFERROR(SUMIFS('caseload data'!F:F,'caseload data'!$C:$C,'divisional &amp; regional caseload%'!$T$99,'caseload data'!$D:$D,"SPO")/SUMIF('caseload data'!$C:$C,'divisional &amp; regional caseload%'!$T$99,'caseload data'!F:F),"")</f>
        <v/>
      </c>
      <c r="W104" s="167" t="str">
        <f>IFERROR(SUMIFS('caseload data'!G:G,'caseload data'!$C:$C,'divisional &amp; regional caseload%'!$T$99,'caseload data'!$D:$D,"SPO")/SUMIF('caseload data'!$C:$C,'divisional &amp; regional caseload%'!$T$99,'caseload data'!G:G),"")</f>
        <v/>
      </c>
      <c r="X104" s="167" t="str">
        <f>IFERROR(SUMIFS('caseload data'!H:H,'caseload data'!$C:$C,'divisional &amp; regional caseload%'!$T$99,'caseload data'!$D:$D,"SPO")/SUMIF('caseload data'!$C:$C,'divisional &amp; regional caseload%'!$T$99,'caseload data'!H:H),"")</f>
        <v/>
      </c>
      <c r="Y104" s="167" t="str">
        <f>IFERROR(SUMIFS('caseload data'!I:I,'caseload data'!$C:$C,'divisional &amp; regional caseload%'!$T$99,'caseload data'!$D:$D,"SPO")/SUMIF('caseload data'!$C:$C,'divisional &amp; regional caseload%'!$T$99,'caseload data'!I:I),"")</f>
        <v/>
      </c>
      <c r="Z104" s="167" t="str">
        <f>IFERROR(SUMIFS('caseload data'!J:J,'caseload data'!$C:$C,'divisional &amp; regional caseload%'!$T$99,'caseload data'!$D:$D,"SPO")/SUMIF('caseload data'!$C:$C,'divisional &amp; regional caseload%'!$T$99,'caseload data'!J:J),"")</f>
        <v/>
      </c>
      <c r="AA104" s="167" t="str">
        <f>IFERROR(SUMIFS('caseload data'!K:K,'caseload data'!$C:$C,'divisional &amp; regional caseload%'!$T$99,'caseload data'!$D:$D,"SPO")/SUMIF('caseload data'!$C:$C,'divisional &amp; regional caseload%'!$T$99,'caseload data'!K:K),"")</f>
        <v/>
      </c>
      <c r="AB104" s="167" t="str">
        <f>IFERROR(SUMIFS('caseload data'!L:L,'caseload data'!$C:$C,'divisional &amp; regional caseload%'!$T$99,'caseload data'!$D:$D,"SPO")/SUMIF('caseload data'!$C:$C,'divisional &amp; regional caseload%'!$T$99,'caseload data'!L:L),"")</f>
        <v/>
      </c>
      <c r="AC104" s="167" t="str">
        <f>IFERROR(SUMIFS('caseload data'!M:M,'caseload data'!$C:$C,'divisional &amp; regional caseload%'!$T$99,'caseload data'!$D:$D,"SPO")/SUMIF('caseload data'!$C:$C,'divisional &amp; regional caseload%'!$T$99,'caseload data'!M:M),"")</f>
        <v/>
      </c>
      <c r="AD104" s="167" t="str">
        <f>IFERROR(SUMIFS('caseload data'!N:N,'caseload data'!$C:$C,'divisional &amp; regional caseload%'!$T$99,'caseload data'!$D:$D,"SPO")/SUMIF('caseload data'!$C:$C,'divisional &amp; regional caseload%'!$T$99,'caseload data'!N:N),"")</f>
        <v/>
      </c>
      <c r="AE104" s="167" t="str">
        <f>IFERROR(SUMIFS('caseload data'!O:O,'caseload data'!$C:$C,'divisional &amp; regional caseload%'!$T$99,'caseload data'!$D:$D,"SPO")/SUMIF('caseload data'!$C:$C,'divisional &amp; regional caseload%'!$T$99,'caseload data'!O:O),"")</f>
        <v/>
      </c>
      <c r="AF104" s="167" t="str">
        <f>IFERROR(SUMIFS('caseload data'!P:P,'caseload data'!$C:$C,'divisional &amp; regional caseload%'!$T$99,'caseload data'!$D:$D,"SPO")/SUMIF('caseload data'!$C:$C,'divisional &amp; regional caseload%'!$T$99,'caseload data'!P:P),"")</f>
        <v/>
      </c>
      <c r="AG104" s="167" t="str">
        <f>IFERROR(SUMIFS('caseload data'!Q:Q,'caseload data'!$C:$C,'divisional &amp; regional caseload%'!$T$99,'caseload data'!$D:$D,"SPO")/SUMIF('caseload data'!$C:$C,'divisional &amp; regional caseload%'!$T$99,'caseload data'!Q:Q),"")</f>
        <v/>
      </c>
      <c r="AH104" s="167" t="str">
        <f>IFERROR(SUMIFS('caseload data'!R:R,'caseload data'!$C:$C,'divisional &amp; regional caseload%'!$T$99,'caseload data'!$D:$D,"SPO")/SUMIF('caseload data'!$C:$C,'divisional &amp; regional caseload%'!$T$99,'caseload data'!R:R),"")</f>
        <v/>
      </c>
      <c r="AI104" s="167" t="str">
        <f>IFERROR(SUMIFS('caseload data'!S:S,'caseload data'!$C:$C,'divisional &amp; regional caseload%'!$T$99,'caseload data'!$D:$D,"SPO")/SUMIF('caseload data'!$C:$C,'divisional &amp; regional caseload%'!$T$99,'caseload data'!S:S),"")</f>
        <v/>
      </c>
      <c r="AJ104" s="167" t="str">
        <f>IFERROR(SUMIFS('caseload data'!T:T,'caseload data'!$C:$C,'divisional &amp; regional caseload%'!$T$99,'caseload data'!$D:$D,"SPO")/SUMIF('caseload data'!$C:$C,'divisional &amp; regional caseload%'!$T$99,'caseload data'!T:T),"")</f>
        <v/>
      </c>
    </row>
  </sheetData>
  <mergeCells count="58">
    <mergeCell ref="C85:O85"/>
    <mergeCell ref="P85:R85"/>
    <mergeCell ref="C92:O92"/>
    <mergeCell ref="P92:R92"/>
    <mergeCell ref="C99:O99"/>
    <mergeCell ref="P99:R99"/>
    <mergeCell ref="U85:AG85"/>
    <mergeCell ref="AH85:AJ85"/>
    <mergeCell ref="U92:AG92"/>
    <mergeCell ref="AH92:AJ92"/>
    <mergeCell ref="U99:AG99"/>
    <mergeCell ref="AH99:AJ99"/>
    <mergeCell ref="C71:O71"/>
    <mergeCell ref="P71:R71"/>
    <mergeCell ref="U71:AG71"/>
    <mergeCell ref="AH71:AJ71"/>
    <mergeCell ref="C78:O78"/>
    <mergeCell ref="P78:R78"/>
    <mergeCell ref="U78:AG78"/>
    <mergeCell ref="AH78:AJ78"/>
    <mergeCell ref="A1:AJ1"/>
    <mergeCell ref="C64:O64"/>
    <mergeCell ref="P64:R64"/>
    <mergeCell ref="U64:AG64"/>
    <mergeCell ref="AH64:AJ64"/>
    <mergeCell ref="C8:O8"/>
    <mergeCell ref="P8:R8"/>
    <mergeCell ref="U8:AG8"/>
    <mergeCell ref="AH8:AJ8"/>
    <mergeCell ref="A2:AJ2"/>
    <mergeCell ref="C15:O15"/>
    <mergeCell ref="P15:R15"/>
    <mergeCell ref="U15:AG15"/>
    <mergeCell ref="AH15:AJ15"/>
    <mergeCell ref="C22:O22"/>
    <mergeCell ref="P22:R22"/>
    <mergeCell ref="U22:AG22"/>
    <mergeCell ref="AH22:AJ22"/>
    <mergeCell ref="C29:O29"/>
    <mergeCell ref="P29:R29"/>
    <mergeCell ref="U29:AG29"/>
    <mergeCell ref="AH29:AJ29"/>
    <mergeCell ref="C36:O36"/>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4093" priority="1007" operator="equal">
      <formula>0</formula>
    </cfRule>
    <cfRule type="cellIs" dxfId="4092" priority="1008" operator="notEqual">
      <formula>0</formula>
    </cfRule>
  </conditionalFormatting>
  <conditionalFormatting sqref="C10">
    <cfRule type="cellIs" dxfId="4091" priority="1006" operator="equal">
      <formula>1</formula>
    </cfRule>
  </conditionalFormatting>
  <conditionalFormatting sqref="D11:D12">
    <cfRule type="cellIs" dxfId="4090" priority="1004" operator="equal">
      <formula>0</formula>
    </cfRule>
    <cfRule type="cellIs" dxfId="4089" priority="1005" operator="notEqual">
      <formula>0</formula>
    </cfRule>
  </conditionalFormatting>
  <conditionalFormatting sqref="D10">
    <cfRule type="cellIs" dxfId="4088" priority="1003" operator="equal">
      <formula>1</formula>
    </cfRule>
  </conditionalFormatting>
  <conditionalFormatting sqref="E11:E12">
    <cfRule type="cellIs" dxfId="4087" priority="1001" operator="equal">
      <formula>0</formula>
    </cfRule>
    <cfRule type="cellIs" dxfId="4086" priority="1002" operator="notEqual">
      <formula>0</formula>
    </cfRule>
  </conditionalFormatting>
  <conditionalFormatting sqref="E10">
    <cfRule type="cellIs" dxfId="4085" priority="1000" operator="equal">
      <formula>1</formula>
    </cfRule>
  </conditionalFormatting>
  <conditionalFormatting sqref="F11:F12">
    <cfRule type="cellIs" dxfId="4084" priority="998" operator="equal">
      <formula>0</formula>
    </cfRule>
    <cfRule type="cellIs" dxfId="4083" priority="999" operator="notEqual">
      <formula>0</formula>
    </cfRule>
  </conditionalFormatting>
  <conditionalFormatting sqref="F10">
    <cfRule type="cellIs" dxfId="4082" priority="997" operator="equal">
      <formula>1</formula>
    </cfRule>
  </conditionalFormatting>
  <conditionalFormatting sqref="G11:G12">
    <cfRule type="cellIs" dxfId="4081" priority="995" operator="equal">
      <formula>0</formula>
    </cfRule>
    <cfRule type="cellIs" dxfId="4080" priority="996" operator="notEqual">
      <formula>0</formula>
    </cfRule>
  </conditionalFormatting>
  <conditionalFormatting sqref="H11:H12">
    <cfRule type="cellIs" dxfId="4079" priority="993" operator="equal">
      <formula>0</formula>
    </cfRule>
    <cfRule type="cellIs" dxfId="4078" priority="994" operator="notEqual">
      <formula>0</formula>
    </cfRule>
  </conditionalFormatting>
  <conditionalFormatting sqref="I11:I12">
    <cfRule type="cellIs" dxfId="4077" priority="991" operator="equal">
      <formula>0</formula>
    </cfRule>
    <cfRule type="cellIs" dxfId="4076" priority="992" operator="notEqual">
      <formula>0</formula>
    </cfRule>
  </conditionalFormatting>
  <conditionalFormatting sqref="J11:J12">
    <cfRule type="cellIs" dxfId="4075" priority="989" operator="equal">
      <formula>0</formula>
    </cfRule>
    <cfRule type="cellIs" dxfId="4074" priority="990" operator="notEqual">
      <formula>0</formula>
    </cfRule>
  </conditionalFormatting>
  <conditionalFormatting sqref="O10">
    <cfRule type="cellIs" dxfId="4073" priority="987" operator="equal">
      <formula>0</formula>
    </cfRule>
    <cfRule type="cellIs" dxfId="4072" priority="988" operator="notEqual">
      <formula>0</formula>
    </cfRule>
  </conditionalFormatting>
  <conditionalFormatting sqref="O13">
    <cfRule type="cellIs" dxfId="4071" priority="985" operator="equal">
      <formula>0</formula>
    </cfRule>
    <cfRule type="cellIs" dxfId="4070" priority="986" operator="notEqual">
      <formula>0</formula>
    </cfRule>
  </conditionalFormatting>
  <conditionalFormatting sqref="P10">
    <cfRule type="cellIs" dxfId="4069" priority="983" operator="equal">
      <formula>0</formula>
    </cfRule>
    <cfRule type="cellIs" dxfId="4068" priority="984" operator="notEqual">
      <formula>0</formula>
    </cfRule>
  </conditionalFormatting>
  <conditionalFormatting sqref="P13">
    <cfRule type="cellIs" dxfId="4067" priority="981" operator="equal">
      <formula>0</formula>
    </cfRule>
    <cfRule type="cellIs" dxfId="4066" priority="982" operator="notEqual">
      <formula>0</formula>
    </cfRule>
  </conditionalFormatting>
  <conditionalFormatting sqref="Q10">
    <cfRule type="cellIs" dxfId="4065" priority="979" operator="equal">
      <formula>0</formula>
    </cfRule>
    <cfRule type="cellIs" dxfId="4064" priority="980" operator="notEqual">
      <formula>0</formula>
    </cfRule>
  </conditionalFormatting>
  <conditionalFormatting sqref="Q13">
    <cfRule type="cellIs" dxfId="4063" priority="977" operator="equal">
      <formula>0</formula>
    </cfRule>
    <cfRule type="cellIs" dxfId="4062" priority="978" operator="notEqual">
      <formula>0</formula>
    </cfRule>
  </conditionalFormatting>
  <conditionalFormatting sqref="R10">
    <cfRule type="cellIs" dxfId="4061" priority="975" operator="equal">
      <formula>0</formula>
    </cfRule>
    <cfRule type="cellIs" dxfId="4060" priority="976" operator="notEqual">
      <formula>0</formula>
    </cfRule>
  </conditionalFormatting>
  <conditionalFormatting sqref="R13">
    <cfRule type="cellIs" dxfId="4059" priority="973" operator="equal">
      <formula>0</formula>
    </cfRule>
    <cfRule type="cellIs" dxfId="4058" priority="974" operator="notEqual">
      <formula>0</formula>
    </cfRule>
  </conditionalFormatting>
  <conditionalFormatting sqref="C18:C19">
    <cfRule type="cellIs" dxfId="4057" priority="971" operator="equal">
      <formula>0</formula>
    </cfRule>
    <cfRule type="cellIs" dxfId="4056" priority="972" operator="notEqual">
      <formula>0</formula>
    </cfRule>
  </conditionalFormatting>
  <conditionalFormatting sqref="C17">
    <cfRule type="cellIs" dxfId="4055" priority="970" operator="equal">
      <formula>1</formula>
    </cfRule>
  </conditionalFormatting>
  <conditionalFormatting sqref="D18:D19">
    <cfRule type="cellIs" dxfId="4054" priority="968" operator="equal">
      <formula>0</formula>
    </cfRule>
    <cfRule type="cellIs" dxfId="4053" priority="969" operator="notEqual">
      <formula>0</formula>
    </cfRule>
  </conditionalFormatting>
  <conditionalFormatting sqref="D17">
    <cfRule type="cellIs" dxfId="4052" priority="967" operator="equal">
      <formula>1</formula>
    </cfRule>
  </conditionalFormatting>
  <conditionalFormatting sqref="E18:E19">
    <cfRule type="cellIs" dxfId="4051" priority="965" operator="equal">
      <formula>0</formula>
    </cfRule>
    <cfRule type="cellIs" dxfId="4050" priority="966" operator="notEqual">
      <formula>0</formula>
    </cfRule>
  </conditionalFormatting>
  <conditionalFormatting sqref="E17">
    <cfRule type="cellIs" dxfId="4049" priority="964" operator="equal">
      <formula>1</formula>
    </cfRule>
  </conditionalFormatting>
  <conditionalFormatting sqref="F18:F19">
    <cfRule type="cellIs" dxfId="4048" priority="962" operator="equal">
      <formula>0</formula>
    </cfRule>
    <cfRule type="cellIs" dxfId="4047" priority="963" operator="notEqual">
      <formula>0</formula>
    </cfRule>
  </conditionalFormatting>
  <conditionalFormatting sqref="F17">
    <cfRule type="cellIs" dxfId="4046" priority="961" operator="equal">
      <formula>1</formula>
    </cfRule>
  </conditionalFormatting>
  <conditionalFormatting sqref="G18:G19">
    <cfRule type="cellIs" dxfId="4045" priority="959" operator="equal">
      <formula>0</formula>
    </cfRule>
    <cfRule type="cellIs" dxfId="4044" priority="960" operator="notEqual">
      <formula>0</formula>
    </cfRule>
  </conditionalFormatting>
  <conditionalFormatting sqref="H18:H19">
    <cfRule type="cellIs" dxfId="4043" priority="957" operator="equal">
      <formula>0</formula>
    </cfRule>
    <cfRule type="cellIs" dxfId="4042" priority="958" operator="notEqual">
      <formula>0</formula>
    </cfRule>
  </conditionalFormatting>
  <conditionalFormatting sqref="I18:I19">
    <cfRule type="cellIs" dxfId="4041" priority="955" operator="equal">
      <formula>0</formula>
    </cfRule>
    <cfRule type="cellIs" dxfId="4040" priority="956" operator="notEqual">
      <formula>0</formula>
    </cfRule>
  </conditionalFormatting>
  <conditionalFormatting sqref="J18:J19">
    <cfRule type="cellIs" dxfId="4039" priority="953" operator="equal">
      <formula>0</formula>
    </cfRule>
    <cfRule type="cellIs" dxfId="4038" priority="954" operator="notEqual">
      <formula>0</formula>
    </cfRule>
  </conditionalFormatting>
  <conditionalFormatting sqref="O17">
    <cfRule type="cellIs" dxfId="4037" priority="951" operator="equal">
      <formula>0</formula>
    </cfRule>
    <cfRule type="cellIs" dxfId="4036" priority="952" operator="notEqual">
      <formula>0</formula>
    </cfRule>
  </conditionalFormatting>
  <conditionalFormatting sqref="O20">
    <cfRule type="cellIs" dxfId="4035" priority="949" operator="equal">
      <formula>0</formula>
    </cfRule>
    <cfRule type="cellIs" dxfId="4034" priority="950" operator="notEqual">
      <formula>0</formula>
    </cfRule>
  </conditionalFormatting>
  <conditionalFormatting sqref="P17">
    <cfRule type="cellIs" dxfId="4033" priority="947" operator="equal">
      <formula>0</formula>
    </cfRule>
    <cfRule type="cellIs" dxfId="4032" priority="948" operator="notEqual">
      <formula>0</formula>
    </cfRule>
  </conditionalFormatting>
  <conditionalFormatting sqref="P20">
    <cfRule type="cellIs" dxfId="4031" priority="945" operator="equal">
      <formula>0</formula>
    </cfRule>
    <cfRule type="cellIs" dxfId="4030" priority="946" operator="notEqual">
      <formula>0</formula>
    </cfRule>
  </conditionalFormatting>
  <conditionalFormatting sqref="Q17">
    <cfRule type="cellIs" dxfId="4029" priority="943" operator="equal">
      <formula>0</formula>
    </cfRule>
    <cfRule type="cellIs" dxfId="4028" priority="944" operator="notEqual">
      <formula>0</formula>
    </cfRule>
  </conditionalFormatting>
  <conditionalFormatting sqref="Q20">
    <cfRule type="cellIs" dxfId="4027" priority="941" operator="equal">
      <formula>0</formula>
    </cfRule>
    <cfRule type="cellIs" dxfId="4026" priority="942" operator="notEqual">
      <formula>0</formula>
    </cfRule>
  </conditionalFormatting>
  <conditionalFormatting sqref="R17">
    <cfRule type="cellIs" dxfId="4025" priority="939" operator="equal">
      <formula>0</formula>
    </cfRule>
    <cfRule type="cellIs" dxfId="4024" priority="940" operator="notEqual">
      <formula>0</formula>
    </cfRule>
  </conditionalFormatting>
  <conditionalFormatting sqref="R20">
    <cfRule type="cellIs" dxfId="4023" priority="937" operator="equal">
      <formula>0</formula>
    </cfRule>
    <cfRule type="cellIs" dxfId="4022" priority="938" operator="notEqual">
      <formula>0</formula>
    </cfRule>
  </conditionalFormatting>
  <conditionalFormatting sqref="C25:C26">
    <cfRule type="cellIs" dxfId="4021" priority="935" operator="equal">
      <formula>0</formula>
    </cfRule>
    <cfRule type="cellIs" dxfId="4020" priority="936" operator="notEqual">
      <formula>0</formula>
    </cfRule>
  </conditionalFormatting>
  <conditionalFormatting sqref="C24">
    <cfRule type="cellIs" dxfId="4019" priority="934" operator="equal">
      <formula>1</formula>
    </cfRule>
  </conditionalFormatting>
  <conditionalFormatting sqref="D25:D26">
    <cfRule type="cellIs" dxfId="4018" priority="932" operator="equal">
      <formula>0</formula>
    </cfRule>
    <cfRule type="cellIs" dxfId="4017" priority="933" operator="notEqual">
      <formula>0</formula>
    </cfRule>
  </conditionalFormatting>
  <conditionalFormatting sqref="D24">
    <cfRule type="cellIs" dxfId="4016" priority="931" operator="equal">
      <formula>1</formula>
    </cfRule>
  </conditionalFormatting>
  <conditionalFormatting sqref="E25:E26">
    <cfRule type="cellIs" dxfId="4015" priority="929" operator="equal">
      <formula>0</formula>
    </cfRule>
    <cfRule type="cellIs" dxfId="4014" priority="930" operator="notEqual">
      <formula>0</formula>
    </cfRule>
  </conditionalFormatting>
  <conditionalFormatting sqref="E24">
    <cfRule type="cellIs" dxfId="4013" priority="928" operator="equal">
      <formula>1</formula>
    </cfRule>
  </conditionalFormatting>
  <conditionalFormatting sqref="F25:F26">
    <cfRule type="cellIs" dxfId="4012" priority="926" operator="equal">
      <formula>0</formula>
    </cfRule>
    <cfRule type="cellIs" dxfId="4011" priority="927" operator="notEqual">
      <formula>0</formula>
    </cfRule>
  </conditionalFormatting>
  <conditionalFormatting sqref="F24">
    <cfRule type="cellIs" dxfId="4010" priority="925" operator="equal">
      <formula>1</formula>
    </cfRule>
  </conditionalFormatting>
  <conditionalFormatting sqref="G25:G26">
    <cfRule type="cellIs" dxfId="4009" priority="923" operator="equal">
      <formula>0</formula>
    </cfRule>
    <cfRule type="cellIs" dxfId="4008" priority="924" operator="notEqual">
      <formula>0</formula>
    </cfRule>
  </conditionalFormatting>
  <conditionalFormatting sqref="H25:H26">
    <cfRule type="cellIs" dxfId="4007" priority="921" operator="equal">
      <formula>0</formula>
    </cfRule>
    <cfRule type="cellIs" dxfId="4006" priority="922" operator="notEqual">
      <formula>0</formula>
    </cfRule>
  </conditionalFormatting>
  <conditionalFormatting sqref="I25:I26">
    <cfRule type="cellIs" dxfId="4005" priority="919" operator="equal">
      <formula>0</formula>
    </cfRule>
    <cfRule type="cellIs" dxfId="4004" priority="920" operator="notEqual">
      <formula>0</formula>
    </cfRule>
  </conditionalFormatting>
  <conditionalFormatting sqref="J25:J26">
    <cfRule type="cellIs" dxfId="4003" priority="917" operator="equal">
      <formula>0</formula>
    </cfRule>
    <cfRule type="cellIs" dxfId="4002" priority="918" operator="notEqual">
      <formula>0</formula>
    </cfRule>
  </conditionalFormatting>
  <conditionalFormatting sqref="O24">
    <cfRule type="cellIs" dxfId="4001" priority="915" operator="equal">
      <formula>0</formula>
    </cfRule>
    <cfRule type="cellIs" dxfId="4000" priority="916" operator="notEqual">
      <formula>0</formula>
    </cfRule>
  </conditionalFormatting>
  <conditionalFormatting sqref="O27">
    <cfRule type="cellIs" dxfId="3999" priority="913" operator="equal">
      <formula>0</formula>
    </cfRule>
    <cfRule type="cellIs" dxfId="3998" priority="914" operator="notEqual">
      <formula>0</formula>
    </cfRule>
  </conditionalFormatting>
  <conditionalFormatting sqref="P24">
    <cfRule type="cellIs" dxfId="3997" priority="911" operator="equal">
      <formula>0</formula>
    </cfRule>
    <cfRule type="cellIs" dxfId="3996" priority="912" operator="notEqual">
      <formula>0</formula>
    </cfRule>
  </conditionalFormatting>
  <conditionalFormatting sqref="P27">
    <cfRule type="cellIs" dxfId="3995" priority="909" operator="equal">
      <formula>0</formula>
    </cfRule>
    <cfRule type="cellIs" dxfId="3994" priority="910" operator="notEqual">
      <formula>0</formula>
    </cfRule>
  </conditionalFormatting>
  <conditionalFormatting sqref="Q24">
    <cfRule type="cellIs" dxfId="3993" priority="907" operator="equal">
      <formula>0</formula>
    </cfRule>
    <cfRule type="cellIs" dxfId="3992" priority="908" operator="notEqual">
      <formula>0</formula>
    </cfRule>
  </conditionalFormatting>
  <conditionalFormatting sqref="Q27">
    <cfRule type="cellIs" dxfId="3991" priority="905" operator="equal">
      <formula>0</formula>
    </cfRule>
    <cfRule type="cellIs" dxfId="3990" priority="906" operator="notEqual">
      <formula>0</formula>
    </cfRule>
  </conditionalFormatting>
  <conditionalFormatting sqref="R24">
    <cfRule type="cellIs" dxfId="3989" priority="903" operator="equal">
      <formula>0</formula>
    </cfRule>
    <cfRule type="cellIs" dxfId="3988" priority="904" operator="notEqual">
      <formula>0</formula>
    </cfRule>
  </conditionalFormatting>
  <conditionalFormatting sqref="R27">
    <cfRule type="cellIs" dxfId="3987" priority="901" operator="equal">
      <formula>0</formula>
    </cfRule>
    <cfRule type="cellIs" dxfId="3986" priority="902" operator="notEqual">
      <formula>0</formula>
    </cfRule>
  </conditionalFormatting>
  <conditionalFormatting sqref="C32:C33">
    <cfRule type="cellIs" dxfId="3985" priority="899" operator="equal">
      <formula>0</formula>
    </cfRule>
    <cfRule type="cellIs" dxfId="3984" priority="900" operator="notEqual">
      <formula>0</formula>
    </cfRule>
  </conditionalFormatting>
  <conditionalFormatting sqref="C31">
    <cfRule type="cellIs" dxfId="3983" priority="898" operator="equal">
      <formula>1</formula>
    </cfRule>
  </conditionalFormatting>
  <conditionalFormatting sqref="D32:D33">
    <cfRule type="cellIs" dxfId="3982" priority="896" operator="equal">
      <formula>0</formula>
    </cfRule>
    <cfRule type="cellIs" dxfId="3981" priority="897" operator="notEqual">
      <formula>0</formula>
    </cfRule>
  </conditionalFormatting>
  <conditionalFormatting sqref="D31">
    <cfRule type="cellIs" dxfId="3980" priority="895" operator="equal">
      <formula>1</formula>
    </cfRule>
  </conditionalFormatting>
  <conditionalFormatting sqref="E32:E33">
    <cfRule type="cellIs" dxfId="3979" priority="893" operator="equal">
      <formula>0</formula>
    </cfRule>
    <cfRule type="cellIs" dxfId="3978" priority="894" operator="notEqual">
      <formula>0</formula>
    </cfRule>
  </conditionalFormatting>
  <conditionalFormatting sqref="E31">
    <cfRule type="cellIs" dxfId="3977" priority="892" operator="equal">
      <formula>1</formula>
    </cfRule>
  </conditionalFormatting>
  <conditionalFormatting sqref="F32:F33">
    <cfRule type="cellIs" dxfId="3976" priority="890" operator="equal">
      <formula>0</formula>
    </cfRule>
    <cfRule type="cellIs" dxfId="3975" priority="891" operator="notEqual">
      <formula>0</formula>
    </cfRule>
  </conditionalFormatting>
  <conditionalFormatting sqref="F31">
    <cfRule type="cellIs" dxfId="3974" priority="889" operator="equal">
      <formula>1</formula>
    </cfRule>
  </conditionalFormatting>
  <conditionalFormatting sqref="G32:G33">
    <cfRule type="cellIs" dxfId="3973" priority="887" operator="equal">
      <formula>0</formula>
    </cfRule>
    <cfRule type="cellIs" dxfId="3972" priority="888" operator="notEqual">
      <formula>0</formula>
    </cfRule>
  </conditionalFormatting>
  <conditionalFormatting sqref="H32:H33">
    <cfRule type="cellIs" dxfId="3971" priority="885" operator="equal">
      <formula>0</formula>
    </cfRule>
    <cfRule type="cellIs" dxfId="3970" priority="886" operator="notEqual">
      <formula>0</formula>
    </cfRule>
  </conditionalFormatting>
  <conditionalFormatting sqref="I32:I33">
    <cfRule type="cellIs" dxfId="3969" priority="883" operator="equal">
      <formula>0</formula>
    </cfRule>
    <cfRule type="cellIs" dxfId="3968" priority="884" operator="notEqual">
      <formula>0</formula>
    </cfRule>
  </conditionalFormatting>
  <conditionalFormatting sqref="J32:J33">
    <cfRule type="cellIs" dxfId="3967" priority="881" operator="equal">
      <formula>0</formula>
    </cfRule>
    <cfRule type="cellIs" dxfId="3966" priority="882" operator="notEqual">
      <formula>0</formula>
    </cfRule>
  </conditionalFormatting>
  <conditionalFormatting sqref="O31">
    <cfRule type="cellIs" dxfId="3965" priority="879" operator="equal">
      <formula>0</formula>
    </cfRule>
    <cfRule type="cellIs" dxfId="3964" priority="880" operator="notEqual">
      <formula>0</formula>
    </cfRule>
  </conditionalFormatting>
  <conditionalFormatting sqref="O34">
    <cfRule type="cellIs" dxfId="3963" priority="877" operator="equal">
      <formula>0</formula>
    </cfRule>
    <cfRule type="cellIs" dxfId="3962" priority="878" operator="notEqual">
      <formula>0</formula>
    </cfRule>
  </conditionalFormatting>
  <conditionalFormatting sqref="P31">
    <cfRule type="cellIs" dxfId="3961" priority="875" operator="equal">
      <formula>0</formula>
    </cfRule>
    <cfRule type="cellIs" dxfId="3960" priority="876" operator="notEqual">
      <formula>0</formula>
    </cfRule>
  </conditionalFormatting>
  <conditionalFormatting sqref="P34">
    <cfRule type="cellIs" dxfId="3959" priority="873" operator="equal">
      <formula>0</formula>
    </cfRule>
    <cfRule type="cellIs" dxfId="3958" priority="874" operator="notEqual">
      <formula>0</formula>
    </cfRule>
  </conditionalFormatting>
  <conditionalFormatting sqref="Q31">
    <cfRule type="cellIs" dxfId="3957" priority="871" operator="equal">
      <formula>0</formula>
    </cfRule>
    <cfRule type="cellIs" dxfId="3956" priority="872" operator="notEqual">
      <formula>0</formula>
    </cfRule>
  </conditionalFormatting>
  <conditionalFormatting sqref="Q34">
    <cfRule type="cellIs" dxfId="3955" priority="869" operator="equal">
      <formula>0</formula>
    </cfRule>
    <cfRule type="cellIs" dxfId="3954" priority="870" operator="notEqual">
      <formula>0</formula>
    </cfRule>
  </conditionalFormatting>
  <conditionalFormatting sqref="R31">
    <cfRule type="cellIs" dxfId="3953" priority="867" operator="equal">
      <formula>0</formula>
    </cfRule>
    <cfRule type="cellIs" dxfId="3952" priority="868" operator="notEqual">
      <formula>0</formula>
    </cfRule>
  </conditionalFormatting>
  <conditionalFormatting sqref="R34">
    <cfRule type="cellIs" dxfId="3951" priority="865" operator="equal">
      <formula>0</formula>
    </cfRule>
    <cfRule type="cellIs" dxfId="3950" priority="866" operator="notEqual">
      <formula>0</formula>
    </cfRule>
  </conditionalFormatting>
  <conditionalFormatting sqref="C39:C40">
    <cfRule type="cellIs" dxfId="3949" priority="863" operator="equal">
      <formula>0</formula>
    </cfRule>
    <cfRule type="cellIs" dxfId="3948" priority="864" operator="notEqual">
      <formula>0</formula>
    </cfRule>
  </conditionalFormatting>
  <conditionalFormatting sqref="C38">
    <cfRule type="cellIs" dxfId="3947" priority="862" operator="equal">
      <formula>1</formula>
    </cfRule>
  </conditionalFormatting>
  <conditionalFormatting sqref="D39:D40">
    <cfRule type="cellIs" dxfId="3946" priority="860" operator="equal">
      <formula>0</formula>
    </cfRule>
    <cfRule type="cellIs" dxfId="3945" priority="861" operator="notEqual">
      <formula>0</formula>
    </cfRule>
  </conditionalFormatting>
  <conditionalFormatting sqref="D38">
    <cfRule type="cellIs" dxfId="3944" priority="859" operator="equal">
      <formula>1</formula>
    </cfRule>
  </conditionalFormatting>
  <conditionalFormatting sqref="E39:E40">
    <cfRule type="cellIs" dxfId="3943" priority="857" operator="equal">
      <formula>0</formula>
    </cfRule>
    <cfRule type="cellIs" dxfId="3942" priority="858" operator="notEqual">
      <formula>0</formula>
    </cfRule>
  </conditionalFormatting>
  <conditionalFormatting sqref="E38">
    <cfRule type="cellIs" dxfId="3941" priority="856" operator="equal">
      <formula>1</formula>
    </cfRule>
  </conditionalFormatting>
  <conditionalFormatting sqref="F39:F40">
    <cfRule type="cellIs" dxfId="3940" priority="854" operator="equal">
      <formula>0</formula>
    </cfRule>
    <cfRule type="cellIs" dxfId="3939" priority="855" operator="notEqual">
      <formula>0</formula>
    </cfRule>
  </conditionalFormatting>
  <conditionalFormatting sqref="F38">
    <cfRule type="cellIs" dxfId="3938" priority="853" operator="equal">
      <formula>1</formula>
    </cfRule>
  </conditionalFormatting>
  <conditionalFormatting sqref="G39:G40">
    <cfRule type="cellIs" dxfId="3937" priority="851" operator="equal">
      <formula>0</formula>
    </cfRule>
    <cfRule type="cellIs" dxfId="3936" priority="852" operator="notEqual">
      <formula>0</formula>
    </cfRule>
  </conditionalFormatting>
  <conditionalFormatting sqref="H39:H40">
    <cfRule type="cellIs" dxfId="3935" priority="849" operator="equal">
      <formula>0</formula>
    </cfRule>
    <cfRule type="cellIs" dxfId="3934" priority="850" operator="notEqual">
      <formula>0</formula>
    </cfRule>
  </conditionalFormatting>
  <conditionalFormatting sqref="I39:I40">
    <cfRule type="cellIs" dxfId="3933" priority="847" operator="equal">
      <formula>0</formula>
    </cfRule>
    <cfRule type="cellIs" dxfId="3932" priority="848" operator="notEqual">
      <formula>0</formula>
    </cfRule>
  </conditionalFormatting>
  <conditionalFormatting sqref="J39:J40">
    <cfRule type="cellIs" dxfId="3931" priority="845" operator="equal">
      <formula>0</formula>
    </cfRule>
    <cfRule type="cellIs" dxfId="3930" priority="846" operator="notEqual">
      <formula>0</formula>
    </cfRule>
  </conditionalFormatting>
  <conditionalFormatting sqref="O38">
    <cfRule type="cellIs" dxfId="3929" priority="843" operator="equal">
      <formula>0</formula>
    </cfRule>
    <cfRule type="cellIs" dxfId="3928" priority="844" operator="notEqual">
      <formula>0</formula>
    </cfRule>
  </conditionalFormatting>
  <conditionalFormatting sqref="O41">
    <cfRule type="cellIs" dxfId="3927" priority="841" operator="equal">
      <formula>0</formula>
    </cfRule>
    <cfRule type="cellIs" dxfId="3926" priority="842" operator="notEqual">
      <formula>0</formula>
    </cfRule>
  </conditionalFormatting>
  <conditionalFormatting sqref="P38">
    <cfRule type="cellIs" dxfId="3925" priority="839" operator="equal">
      <formula>0</formula>
    </cfRule>
    <cfRule type="cellIs" dxfId="3924" priority="840" operator="notEqual">
      <formula>0</formula>
    </cfRule>
  </conditionalFormatting>
  <conditionalFormatting sqref="P41">
    <cfRule type="cellIs" dxfId="3923" priority="837" operator="equal">
      <formula>0</formula>
    </cfRule>
    <cfRule type="cellIs" dxfId="3922" priority="838" operator="notEqual">
      <formula>0</formula>
    </cfRule>
  </conditionalFormatting>
  <conditionalFormatting sqref="Q38">
    <cfRule type="cellIs" dxfId="3921" priority="835" operator="equal">
      <formula>0</formula>
    </cfRule>
    <cfRule type="cellIs" dxfId="3920" priority="836" operator="notEqual">
      <formula>0</formula>
    </cfRule>
  </conditionalFormatting>
  <conditionalFormatting sqref="Q41">
    <cfRule type="cellIs" dxfId="3919" priority="833" operator="equal">
      <formula>0</formula>
    </cfRule>
    <cfRule type="cellIs" dxfId="3918" priority="834" operator="notEqual">
      <formula>0</formula>
    </cfRule>
  </conditionalFormatting>
  <conditionalFormatting sqref="R38">
    <cfRule type="cellIs" dxfId="3917" priority="831" operator="equal">
      <formula>0</formula>
    </cfRule>
    <cfRule type="cellIs" dxfId="3916" priority="832" operator="notEqual">
      <formula>0</formula>
    </cfRule>
  </conditionalFormatting>
  <conditionalFormatting sqref="R41">
    <cfRule type="cellIs" dxfId="3915" priority="829" operator="equal">
      <formula>0</formula>
    </cfRule>
    <cfRule type="cellIs" dxfId="3914" priority="830" operator="notEqual">
      <formula>0</formula>
    </cfRule>
  </conditionalFormatting>
  <conditionalFormatting sqref="C46:C47">
    <cfRule type="cellIs" dxfId="3913" priority="827" operator="equal">
      <formula>0</formula>
    </cfRule>
    <cfRule type="cellIs" dxfId="3912" priority="828" operator="notEqual">
      <formula>0</formula>
    </cfRule>
  </conditionalFormatting>
  <conditionalFormatting sqref="C45">
    <cfRule type="cellIs" dxfId="3911" priority="826" operator="equal">
      <formula>1</formula>
    </cfRule>
  </conditionalFormatting>
  <conditionalFormatting sqref="D46:D47">
    <cfRule type="cellIs" dxfId="3910" priority="824" operator="equal">
      <formula>0</formula>
    </cfRule>
    <cfRule type="cellIs" dxfId="3909" priority="825" operator="notEqual">
      <formula>0</formula>
    </cfRule>
  </conditionalFormatting>
  <conditionalFormatting sqref="D45">
    <cfRule type="cellIs" dxfId="3908" priority="823" operator="equal">
      <formula>1</formula>
    </cfRule>
  </conditionalFormatting>
  <conditionalFormatting sqref="E46:E47">
    <cfRule type="cellIs" dxfId="3907" priority="821" operator="equal">
      <formula>0</formula>
    </cfRule>
    <cfRule type="cellIs" dxfId="3906" priority="822" operator="notEqual">
      <formula>0</formula>
    </cfRule>
  </conditionalFormatting>
  <conditionalFormatting sqref="E45">
    <cfRule type="cellIs" dxfId="3905" priority="820" operator="equal">
      <formula>1</formula>
    </cfRule>
  </conditionalFormatting>
  <conditionalFormatting sqref="F46:F47">
    <cfRule type="cellIs" dxfId="3904" priority="818" operator="equal">
      <formula>0</formula>
    </cfRule>
    <cfRule type="cellIs" dxfId="3903" priority="819" operator="notEqual">
      <formula>0</formula>
    </cfRule>
  </conditionalFormatting>
  <conditionalFormatting sqref="F45">
    <cfRule type="cellIs" dxfId="3902" priority="817" operator="equal">
      <formula>1</formula>
    </cfRule>
  </conditionalFormatting>
  <conditionalFormatting sqref="G46:G47">
    <cfRule type="cellIs" dxfId="3901" priority="815" operator="equal">
      <formula>0</formula>
    </cfRule>
    <cfRule type="cellIs" dxfId="3900" priority="816" operator="notEqual">
      <formula>0</formula>
    </cfRule>
  </conditionalFormatting>
  <conditionalFormatting sqref="H46:H47">
    <cfRule type="cellIs" dxfId="3899" priority="813" operator="equal">
      <formula>0</formula>
    </cfRule>
    <cfRule type="cellIs" dxfId="3898" priority="814" operator="notEqual">
      <formula>0</formula>
    </cfRule>
  </conditionalFormatting>
  <conditionalFormatting sqref="I46:I47">
    <cfRule type="cellIs" dxfId="3897" priority="811" operator="equal">
      <formula>0</formula>
    </cfRule>
    <cfRule type="cellIs" dxfId="3896" priority="812" operator="notEqual">
      <formula>0</formula>
    </cfRule>
  </conditionalFormatting>
  <conditionalFormatting sqref="J46:J47">
    <cfRule type="cellIs" dxfId="3895" priority="809" operator="equal">
      <formula>0</formula>
    </cfRule>
    <cfRule type="cellIs" dxfId="3894" priority="810" operator="notEqual">
      <formula>0</formula>
    </cfRule>
  </conditionalFormatting>
  <conditionalFormatting sqref="O45">
    <cfRule type="cellIs" dxfId="3893" priority="807" operator="equal">
      <formula>0</formula>
    </cfRule>
    <cfRule type="cellIs" dxfId="3892" priority="808" operator="notEqual">
      <formula>0</formula>
    </cfRule>
  </conditionalFormatting>
  <conditionalFormatting sqref="O48">
    <cfRule type="cellIs" dxfId="3891" priority="805" operator="equal">
      <formula>0</formula>
    </cfRule>
    <cfRule type="cellIs" dxfId="3890" priority="806" operator="notEqual">
      <formula>0</formula>
    </cfRule>
  </conditionalFormatting>
  <conditionalFormatting sqref="P45">
    <cfRule type="cellIs" dxfId="3889" priority="803" operator="equal">
      <formula>0</formula>
    </cfRule>
    <cfRule type="cellIs" dxfId="3888" priority="804" operator="notEqual">
      <formula>0</formula>
    </cfRule>
  </conditionalFormatting>
  <conditionalFormatting sqref="P48">
    <cfRule type="cellIs" dxfId="3887" priority="801" operator="equal">
      <formula>0</formula>
    </cfRule>
    <cfRule type="cellIs" dxfId="3886" priority="802" operator="notEqual">
      <formula>0</formula>
    </cfRule>
  </conditionalFormatting>
  <conditionalFormatting sqref="Q45">
    <cfRule type="cellIs" dxfId="3885" priority="799" operator="equal">
      <formula>0</formula>
    </cfRule>
    <cfRule type="cellIs" dxfId="3884" priority="800" operator="notEqual">
      <formula>0</formula>
    </cfRule>
  </conditionalFormatting>
  <conditionalFormatting sqref="Q48">
    <cfRule type="cellIs" dxfId="3883" priority="797" operator="equal">
      <formula>0</formula>
    </cfRule>
    <cfRule type="cellIs" dxfId="3882" priority="798" operator="notEqual">
      <formula>0</formula>
    </cfRule>
  </conditionalFormatting>
  <conditionalFormatting sqref="R45">
    <cfRule type="cellIs" dxfId="3881" priority="795" operator="equal">
      <formula>0</formula>
    </cfRule>
    <cfRule type="cellIs" dxfId="3880" priority="796" operator="notEqual">
      <formula>0</formula>
    </cfRule>
  </conditionalFormatting>
  <conditionalFormatting sqref="R48">
    <cfRule type="cellIs" dxfId="3879" priority="793" operator="equal">
      <formula>0</formula>
    </cfRule>
    <cfRule type="cellIs" dxfId="3878" priority="794" operator="notEqual">
      <formula>0</formula>
    </cfRule>
  </conditionalFormatting>
  <conditionalFormatting sqref="C53:C54">
    <cfRule type="cellIs" dxfId="3877" priority="791" operator="equal">
      <formula>0</formula>
    </cfRule>
    <cfRule type="cellIs" dxfId="3876" priority="792" operator="notEqual">
      <formula>0</formula>
    </cfRule>
  </conditionalFormatting>
  <conditionalFormatting sqref="C52">
    <cfRule type="cellIs" dxfId="3875" priority="790" operator="equal">
      <formula>1</formula>
    </cfRule>
  </conditionalFormatting>
  <conditionalFormatting sqref="D53:D54">
    <cfRule type="cellIs" dxfId="3874" priority="788" operator="equal">
      <formula>0</formula>
    </cfRule>
    <cfRule type="cellIs" dxfId="3873" priority="789" operator="notEqual">
      <formula>0</formula>
    </cfRule>
  </conditionalFormatting>
  <conditionalFormatting sqref="D52">
    <cfRule type="cellIs" dxfId="3872" priority="787" operator="equal">
      <formula>1</formula>
    </cfRule>
  </conditionalFormatting>
  <conditionalFormatting sqref="E53:E54">
    <cfRule type="cellIs" dxfId="3871" priority="785" operator="equal">
      <formula>0</formula>
    </cfRule>
    <cfRule type="cellIs" dxfId="3870" priority="786" operator="notEqual">
      <formula>0</formula>
    </cfRule>
  </conditionalFormatting>
  <conditionalFormatting sqref="E52">
    <cfRule type="cellIs" dxfId="3869" priority="784" operator="equal">
      <formula>1</formula>
    </cfRule>
  </conditionalFormatting>
  <conditionalFormatting sqref="F53:F54">
    <cfRule type="cellIs" dxfId="3868" priority="782" operator="equal">
      <formula>0</formula>
    </cfRule>
    <cfRule type="cellIs" dxfId="3867" priority="783" operator="notEqual">
      <formula>0</formula>
    </cfRule>
  </conditionalFormatting>
  <conditionalFormatting sqref="F52">
    <cfRule type="cellIs" dxfId="3866" priority="781" operator="equal">
      <formula>1</formula>
    </cfRule>
  </conditionalFormatting>
  <conditionalFormatting sqref="G53:G54">
    <cfRule type="cellIs" dxfId="3865" priority="779" operator="equal">
      <formula>0</formula>
    </cfRule>
    <cfRule type="cellIs" dxfId="3864" priority="780" operator="notEqual">
      <formula>0</formula>
    </cfRule>
  </conditionalFormatting>
  <conditionalFormatting sqref="H53:H54">
    <cfRule type="cellIs" dxfId="3863" priority="777" operator="equal">
      <formula>0</formula>
    </cfRule>
    <cfRule type="cellIs" dxfId="3862" priority="778" operator="notEqual">
      <formula>0</formula>
    </cfRule>
  </conditionalFormatting>
  <conditionalFormatting sqref="I53:I54">
    <cfRule type="cellIs" dxfId="3861" priority="775" operator="equal">
      <formula>0</formula>
    </cfRule>
    <cfRule type="cellIs" dxfId="3860" priority="776" operator="notEqual">
      <formula>0</formula>
    </cfRule>
  </conditionalFormatting>
  <conditionalFormatting sqref="J53:J54">
    <cfRule type="cellIs" dxfId="3859" priority="773" operator="equal">
      <formula>0</formula>
    </cfRule>
    <cfRule type="cellIs" dxfId="3858" priority="774" operator="notEqual">
      <formula>0</formula>
    </cfRule>
  </conditionalFormatting>
  <conditionalFormatting sqref="O52">
    <cfRule type="cellIs" dxfId="3857" priority="771" operator="equal">
      <formula>0</formula>
    </cfRule>
    <cfRule type="cellIs" dxfId="3856" priority="772" operator="notEqual">
      <formula>0</formula>
    </cfRule>
  </conditionalFormatting>
  <conditionalFormatting sqref="O55">
    <cfRule type="cellIs" dxfId="3855" priority="769" operator="equal">
      <formula>0</formula>
    </cfRule>
    <cfRule type="cellIs" dxfId="3854" priority="770" operator="notEqual">
      <formula>0</formula>
    </cfRule>
  </conditionalFormatting>
  <conditionalFormatting sqref="P52">
    <cfRule type="cellIs" dxfId="3853" priority="767" operator="equal">
      <formula>0</formula>
    </cfRule>
    <cfRule type="cellIs" dxfId="3852" priority="768" operator="notEqual">
      <formula>0</formula>
    </cfRule>
  </conditionalFormatting>
  <conditionalFormatting sqref="P55">
    <cfRule type="cellIs" dxfId="3851" priority="765" operator="equal">
      <formula>0</formula>
    </cfRule>
    <cfRule type="cellIs" dxfId="3850" priority="766" operator="notEqual">
      <formula>0</formula>
    </cfRule>
  </conditionalFormatting>
  <conditionalFormatting sqref="Q52">
    <cfRule type="cellIs" dxfId="3849" priority="763" operator="equal">
      <formula>0</formula>
    </cfRule>
    <cfRule type="cellIs" dxfId="3848" priority="764" operator="notEqual">
      <formula>0</formula>
    </cfRule>
  </conditionalFormatting>
  <conditionalFormatting sqref="Q55">
    <cfRule type="cellIs" dxfId="3847" priority="761" operator="equal">
      <formula>0</formula>
    </cfRule>
    <cfRule type="cellIs" dxfId="3846" priority="762" operator="notEqual">
      <formula>0</formula>
    </cfRule>
  </conditionalFormatting>
  <conditionalFormatting sqref="R52">
    <cfRule type="cellIs" dxfId="3845" priority="759" operator="equal">
      <formula>0</formula>
    </cfRule>
    <cfRule type="cellIs" dxfId="3844" priority="760" operator="notEqual">
      <formula>0</formula>
    </cfRule>
  </conditionalFormatting>
  <conditionalFormatting sqref="R55">
    <cfRule type="cellIs" dxfId="3843" priority="757" operator="equal">
      <formula>0</formula>
    </cfRule>
    <cfRule type="cellIs" dxfId="3842" priority="758" operator="notEqual">
      <formula>0</formula>
    </cfRule>
  </conditionalFormatting>
  <conditionalFormatting sqref="C60:C61">
    <cfRule type="cellIs" dxfId="3841" priority="755" operator="equal">
      <formula>0</formula>
    </cfRule>
    <cfRule type="cellIs" dxfId="3840" priority="756" operator="notEqual">
      <formula>0</formula>
    </cfRule>
  </conditionalFormatting>
  <conditionalFormatting sqref="C59">
    <cfRule type="cellIs" dxfId="3839" priority="754" operator="equal">
      <formula>1</formula>
    </cfRule>
  </conditionalFormatting>
  <conditionalFormatting sqref="D60:D61">
    <cfRule type="cellIs" dxfId="3838" priority="752" operator="equal">
      <formula>0</formula>
    </cfRule>
    <cfRule type="cellIs" dxfId="3837" priority="753" operator="notEqual">
      <formula>0</formula>
    </cfRule>
  </conditionalFormatting>
  <conditionalFormatting sqref="D59">
    <cfRule type="cellIs" dxfId="3836" priority="751" operator="equal">
      <formula>1</formula>
    </cfRule>
  </conditionalFormatting>
  <conditionalFormatting sqref="E60:E61">
    <cfRule type="cellIs" dxfId="3835" priority="749" operator="equal">
      <formula>0</formula>
    </cfRule>
    <cfRule type="cellIs" dxfId="3834" priority="750" operator="notEqual">
      <formula>0</formula>
    </cfRule>
  </conditionalFormatting>
  <conditionalFormatting sqref="E59">
    <cfRule type="cellIs" dxfId="3833" priority="748" operator="equal">
      <formula>1</formula>
    </cfRule>
  </conditionalFormatting>
  <conditionalFormatting sqref="F60:F61">
    <cfRule type="cellIs" dxfId="3832" priority="746" operator="equal">
      <formula>0</formula>
    </cfRule>
    <cfRule type="cellIs" dxfId="3831" priority="747" operator="notEqual">
      <formula>0</formula>
    </cfRule>
  </conditionalFormatting>
  <conditionalFormatting sqref="F59">
    <cfRule type="cellIs" dxfId="3830" priority="745" operator="equal">
      <formula>1</formula>
    </cfRule>
  </conditionalFormatting>
  <conditionalFormatting sqref="G60:G61">
    <cfRule type="cellIs" dxfId="3829" priority="743" operator="equal">
      <formula>0</formula>
    </cfRule>
    <cfRule type="cellIs" dxfId="3828" priority="744" operator="notEqual">
      <formula>0</formula>
    </cfRule>
  </conditionalFormatting>
  <conditionalFormatting sqref="H60:H61">
    <cfRule type="cellIs" dxfId="3827" priority="741" operator="equal">
      <formula>0</formula>
    </cfRule>
    <cfRule type="cellIs" dxfId="3826" priority="742" operator="notEqual">
      <formula>0</formula>
    </cfRule>
  </conditionalFormatting>
  <conditionalFormatting sqref="I60:I61">
    <cfRule type="cellIs" dxfId="3825" priority="739" operator="equal">
      <formula>0</formula>
    </cfRule>
    <cfRule type="cellIs" dxfId="3824" priority="740" operator="notEqual">
      <formula>0</formula>
    </cfRule>
  </conditionalFormatting>
  <conditionalFormatting sqref="J60:J61">
    <cfRule type="cellIs" dxfId="3823" priority="737" operator="equal">
      <formula>0</formula>
    </cfRule>
    <cfRule type="cellIs" dxfId="3822" priority="738" operator="notEqual">
      <formula>0</formula>
    </cfRule>
  </conditionalFormatting>
  <conditionalFormatting sqref="O59">
    <cfRule type="cellIs" dxfId="3821" priority="735" operator="equal">
      <formula>0</formula>
    </cfRule>
    <cfRule type="cellIs" dxfId="3820" priority="736" operator="notEqual">
      <formula>0</formula>
    </cfRule>
  </conditionalFormatting>
  <conditionalFormatting sqref="O62">
    <cfRule type="cellIs" dxfId="3819" priority="733" operator="equal">
      <formula>0</formula>
    </cfRule>
    <cfRule type="cellIs" dxfId="3818" priority="734" operator="notEqual">
      <formula>0</formula>
    </cfRule>
  </conditionalFormatting>
  <conditionalFormatting sqref="P59">
    <cfRule type="cellIs" dxfId="3817" priority="731" operator="equal">
      <formula>0</formula>
    </cfRule>
    <cfRule type="cellIs" dxfId="3816" priority="732" operator="notEqual">
      <formula>0</formula>
    </cfRule>
  </conditionalFormatting>
  <conditionalFormatting sqref="P62">
    <cfRule type="cellIs" dxfId="3815" priority="729" operator="equal">
      <formula>0</formula>
    </cfRule>
    <cfRule type="cellIs" dxfId="3814" priority="730" operator="notEqual">
      <formula>0</formula>
    </cfRule>
  </conditionalFormatting>
  <conditionalFormatting sqref="Q59">
    <cfRule type="cellIs" dxfId="3813" priority="727" operator="equal">
      <formula>0</formula>
    </cfRule>
    <cfRule type="cellIs" dxfId="3812" priority="728" operator="notEqual">
      <formula>0</formula>
    </cfRule>
  </conditionalFormatting>
  <conditionalFormatting sqref="Q62">
    <cfRule type="cellIs" dxfId="3811" priority="725" operator="equal">
      <formula>0</formula>
    </cfRule>
    <cfRule type="cellIs" dxfId="3810" priority="726" operator="notEqual">
      <formula>0</formula>
    </cfRule>
  </conditionalFormatting>
  <conditionalFormatting sqref="R59">
    <cfRule type="cellIs" dxfId="3809" priority="723" operator="equal">
      <formula>0</formula>
    </cfRule>
    <cfRule type="cellIs" dxfId="3808" priority="724" operator="notEqual">
      <formula>0</formula>
    </cfRule>
  </conditionalFormatting>
  <conditionalFormatting sqref="R62">
    <cfRule type="cellIs" dxfId="3807" priority="721" operator="equal">
      <formula>0</formula>
    </cfRule>
    <cfRule type="cellIs" dxfId="3806" priority="722" operator="notEqual">
      <formula>0</formula>
    </cfRule>
  </conditionalFormatting>
  <conditionalFormatting sqref="C67:C68">
    <cfRule type="cellIs" dxfId="3805" priority="719" operator="equal">
      <formula>0</formula>
    </cfRule>
    <cfRule type="cellIs" dxfId="3804" priority="720" operator="notEqual">
      <formula>0</formula>
    </cfRule>
  </conditionalFormatting>
  <conditionalFormatting sqref="C66">
    <cfRule type="cellIs" dxfId="3803" priority="718" operator="equal">
      <formula>1</formula>
    </cfRule>
  </conditionalFormatting>
  <conditionalFormatting sqref="D67:D68">
    <cfRule type="cellIs" dxfId="3802" priority="716" operator="equal">
      <formula>0</formula>
    </cfRule>
    <cfRule type="cellIs" dxfId="3801" priority="717" operator="notEqual">
      <formula>0</formula>
    </cfRule>
  </conditionalFormatting>
  <conditionalFormatting sqref="D66">
    <cfRule type="cellIs" dxfId="3800" priority="715" operator="equal">
      <formula>1</formula>
    </cfRule>
  </conditionalFormatting>
  <conditionalFormatting sqref="E67:E68">
    <cfRule type="cellIs" dxfId="3799" priority="713" operator="equal">
      <formula>0</formula>
    </cfRule>
    <cfRule type="cellIs" dxfId="3798" priority="714" operator="notEqual">
      <formula>0</formula>
    </cfRule>
  </conditionalFormatting>
  <conditionalFormatting sqref="E66">
    <cfRule type="cellIs" dxfId="3797" priority="712" operator="equal">
      <formula>1</formula>
    </cfRule>
  </conditionalFormatting>
  <conditionalFormatting sqref="F67:F68">
    <cfRule type="cellIs" dxfId="3796" priority="710" operator="equal">
      <formula>0</formula>
    </cfRule>
    <cfRule type="cellIs" dxfId="3795" priority="711" operator="notEqual">
      <formula>0</formula>
    </cfRule>
  </conditionalFormatting>
  <conditionalFormatting sqref="F66">
    <cfRule type="cellIs" dxfId="3794" priority="709" operator="equal">
      <formula>1</formula>
    </cfRule>
  </conditionalFormatting>
  <conditionalFormatting sqref="G67:G68">
    <cfRule type="cellIs" dxfId="3793" priority="707" operator="equal">
      <formula>0</formula>
    </cfRule>
    <cfRule type="cellIs" dxfId="3792" priority="708" operator="notEqual">
      <formula>0</formula>
    </cfRule>
  </conditionalFormatting>
  <conditionalFormatting sqref="H67:H68">
    <cfRule type="cellIs" dxfId="3791" priority="705" operator="equal">
      <formula>0</formula>
    </cfRule>
    <cfRule type="cellIs" dxfId="3790" priority="706" operator="notEqual">
      <formula>0</formula>
    </cfRule>
  </conditionalFormatting>
  <conditionalFormatting sqref="I67:I68">
    <cfRule type="cellIs" dxfId="3789" priority="703" operator="equal">
      <formula>0</formula>
    </cfRule>
    <cfRule type="cellIs" dxfId="3788" priority="704" operator="notEqual">
      <formula>0</formula>
    </cfRule>
  </conditionalFormatting>
  <conditionalFormatting sqref="J67:J68">
    <cfRule type="cellIs" dxfId="3787" priority="701" operator="equal">
      <formula>0</formula>
    </cfRule>
    <cfRule type="cellIs" dxfId="3786" priority="702" operator="notEqual">
      <formula>0</formula>
    </cfRule>
  </conditionalFormatting>
  <conditionalFormatting sqref="O66">
    <cfRule type="cellIs" dxfId="3785" priority="699" operator="equal">
      <formula>0</formula>
    </cfRule>
    <cfRule type="cellIs" dxfId="3784" priority="700" operator="notEqual">
      <formula>0</formula>
    </cfRule>
  </conditionalFormatting>
  <conditionalFormatting sqref="O69">
    <cfRule type="cellIs" dxfId="3783" priority="697" operator="equal">
      <formula>0</formula>
    </cfRule>
    <cfRule type="cellIs" dxfId="3782" priority="698" operator="notEqual">
      <formula>0</formula>
    </cfRule>
  </conditionalFormatting>
  <conditionalFormatting sqref="P66">
    <cfRule type="cellIs" dxfId="3781" priority="695" operator="equal">
      <formula>0</formula>
    </cfRule>
    <cfRule type="cellIs" dxfId="3780" priority="696" operator="notEqual">
      <formula>0</formula>
    </cfRule>
  </conditionalFormatting>
  <conditionalFormatting sqref="P69">
    <cfRule type="cellIs" dxfId="3779" priority="693" operator="equal">
      <formula>0</formula>
    </cfRule>
    <cfRule type="cellIs" dxfId="3778" priority="694" operator="notEqual">
      <formula>0</formula>
    </cfRule>
  </conditionalFormatting>
  <conditionalFormatting sqref="Q66">
    <cfRule type="cellIs" dxfId="3777" priority="691" operator="equal">
      <formula>0</formula>
    </cfRule>
    <cfRule type="cellIs" dxfId="3776" priority="692" operator="notEqual">
      <formula>0</formula>
    </cfRule>
  </conditionalFormatting>
  <conditionalFormatting sqref="Q69">
    <cfRule type="cellIs" dxfId="3775" priority="689" operator="equal">
      <formula>0</formula>
    </cfRule>
    <cfRule type="cellIs" dxfId="3774" priority="690" operator="notEqual">
      <formula>0</formula>
    </cfRule>
  </conditionalFormatting>
  <conditionalFormatting sqref="R66">
    <cfRule type="cellIs" dxfId="3773" priority="687" operator="equal">
      <formula>0</formula>
    </cfRule>
    <cfRule type="cellIs" dxfId="3772" priority="688" operator="notEqual">
      <formula>0</formula>
    </cfRule>
  </conditionalFormatting>
  <conditionalFormatting sqref="R69">
    <cfRule type="cellIs" dxfId="3771" priority="685" operator="equal">
      <formula>0</formula>
    </cfRule>
    <cfRule type="cellIs" dxfId="3770" priority="686" operator="notEqual">
      <formula>0</formula>
    </cfRule>
  </conditionalFormatting>
  <conditionalFormatting sqref="C74:C75">
    <cfRule type="cellIs" dxfId="3769" priority="683" operator="equal">
      <formula>0</formula>
    </cfRule>
    <cfRule type="cellIs" dxfId="3768" priority="684" operator="notEqual">
      <formula>0</formula>
    </cfRule>
  </conditionalFormatting>
  <conditionalFormatting sqref="C73">
    <cfRule type="cellIs" dxfId="3767" priority="682" operator="equal">
      <formula>1</formula>
    </cfRule>
  </conditionalFormatting>
  <conditionalFormatting sqref="D74:D75">
    <cfRule type="cellIs" dxfId="3766" priority="680" operator="equal">
      <formula>0</formula>
    </cfRule>
    <cfRule type="cellIs" dxfId="3765" priority="681" operator="notEqual">
      <formula>0</formula>
    </cfRule>
  </conditionalFormatting>
  <conditionalFormatting sqref="D73">
    <cfRule type="cellIs" dxfId="3764" priority="679" operator="equal">
      <formula>1</formula>
    </cfRule>
  </conditionalFormatting>
  <conditionalFormatting sqref="E74:E75">
    <cfRule type="cellIs" dxfId="3763" priority="677" operator="equal">
      <formula>0</formula>
    </cfRule>
    <cfRule type="cellIs" dxfId="3762" priority="678" operator="notEqual">
      <formula>0</formula>
    </cfRule>
  </conditionalFormatting>
  <conditionalFormatting sqref="E73">
    <cfRule type="cellIs" dxfId="3761" priority="676" operator="equal">
      <formula>1</formula>
    </cfRule>
  </conditionalFormatting>
  <conditionalFormatting sqref="F74:F75">
    <cfRule type="cellIs" dxfId="3760" priority="674" operator="equal">
      <formula>0</formula>
    </cfRule>
    <cfRule type="cellIs" dxfId="3759" priority="675" operator="notEqual">
      <formula>0</formula>
    </cfRule>
  </conditionalFormatting>
  <conditionalFormatting sqref="F73">
    <cfRule type="cellIs" dxfId="3758" priority="673" operator="equal">
      <formula>1</formula>
    </cfRule>
  </conditionalFormatting>
  <conditionalFormatting sqref="G74:G75">
    <cfRule type="cellIs" dxfId="3757" priority="671" operator="equal">
      <formula>0</formula>
    </cfRule>
    <cfRule type="cellIs" dxfId="3756" priority="672" operator="notEqual">
      <formula>0</formula>
    </cfRule>
  </conditionalFormatting>
  <conditionalFormatting sqref="H74:H75">
    <cfRule type="cellIs" dxfId="3755" priority="669" operator="equal">
      <formula>0</formula>
    </cfRule>
    <cfRule type="cellIs" dxfId="3754" priority="670" operator="notEqual">
      <formula>0</formula>
    </cfRule>
  </conditionalFormatting>
  <conditionalFormatting sqref="I74:I75">
    <cfRule type="cellIs" dxfId="3753" priority="667" operator="equal">
      <formula>0</formula>
    </cfRule>
    <cfRule type="cellIs" dxfId="3752" priority="668" operator="notEqual">
      <formula>0</formula>
    </cfRule>
  </conditionalFormatting>
  <conditionalFormatting sqref="J74:J75">
    <cfRule type="cellIs" dxfId="3751" priority="665" operator="equal">
      <formula>0</formula>
    </cfRule>
    <cfRule type="cellIs" dxfId="3750" priority="666" operator="notEqual">
      <formula>0</formula>
    </cfRule>
  </conditionalFormatting>
  <conditionalFormatting sqref="O73">
    <cfRule type="cellIs" dxfId="3749" priority="663" operator="equal">
      <formula>0</formula>
    </cfRule>
    <cfRule type="cellIs" dxfId="3748" priority="664" operator="notEqual">
      <formula>0</formula>
    </cfRule>
  </conditionalFormatting>
  <conditionalFormatting sqref="O76">
    <cfRule type="cellIs" dxfId="3747" priority="661" operator="equal">
      <formula>0</formula>
    </cfRule>
    <cfRule type="cellIs" dxfId="3746" priority="662" operator="notEqual">
      <formula>0</formula>
    </cfRule>
  </conditionalFormatting>
  <conditionalFormatting sqref="P73">
    <cfRule type="cellIs" dxfId="3745" priority="659" operator="equal">
      <formula>0</formula>
    </cfRule>
    <cfRule type="cellIs" dxfId="3744" priority="660" operator="notEqual">
      <formula>0</formula>
    </cfRule>
  </conditionalFormatting>
  <conditionalFormatting sqref="P76">
    <cfRule type="cellIs" dxfId="3743" priority="657" operator="equal">
      <formula>0</formula>
    </cfRule>
    <cfRule type="cellIs" dxfId="3742" priority="658" operator="notEqual">
      <formula>0</formula>
    </cfRule>
  </conditionalFormatting>
  <conditionalFormatting sqref="Q73">
    <cfRule type="cellIs" dxfId="3741" priority="655" operator="equal">
      <formula>0</formula>
    </cfRule>
    <cfRule type="cellIs" dxfId="3740" priority="656" operator="notEqual">
      <formula>0</formula>
    </cfRule>
  </conditionalFormatting>
  <conditionalFormatting sqref="Q76">
    <cfRule type="cellIs" dxfId="3739" priority="653" operator="equal">
      <formula>0</formula>
    </cfRule>
    <cfRule type="cellIs" dxfId="3738" priority="654" operator="notEqual">
      <formula>0</formula>
    </cfRule>
  </conditionalFormatting>
  <conditionalFormatting sqref="R73">
    <cfRule type="cellIs" dxfId="3737" priority="651" operator="equal">
      <formula>0</formula>
    </cfRule>
    <cfRule type="cellIs" dxfId="3736" priority="652" operator="notEqual">
      <formula>0</formula>
    </cfRule>
  </conditionalFormatting>
  <conditionalFormatting sqref="R76">
    <cfRule type="cellIs" dxfId="3735" priority="649" operator="equal">
      <formula>0</formula>
    </cfRule>
    <cfRule type="cellIs" dxfId="3734" priority="650" operator="notEqual">
      <formula>0</formula>
    </cfRule>
  </conditionalFormatting>
  <conditionalFormatting sqref="U67:U68">
    <cfRule type="cellIs" dxfId="3733" priority="647" operator="equal">
      <formula>0</formula>
    </cfRule>
    <cfRule type="cellIs" dxfId="3732" priority="648" operator="notEqual">
      <formula>0</formula>
    </cfRule>
  </conditionalFormatting>
  <conditionalFormatting sqref="U66">
    <cfRule type="cellIs" dxfId="3731" priority="646" operator="equal">
      <formula>1</formula>
    </cfRule>
  </conditionalFormatting>
  <conditionalFormatting sqref="V67:V68">
    <cfRule type="cellIs" dxfId="3730" priority="644" operator="equal">
      <formula>0</formula>
    </cfRule>
    <cfRule type="cellIs" dxfId="3729" priority="645" operator="notEqual">
      <formula>0</formula>
    </cfRule>
  </conditionalFormatting>
  <conditionalFormatting sqref="V66">
    <cfRule type="cellIs" dxfId="3728" priority="643" operator="equal">
      <formula>1</formula>
    </cfRule>
  </conditionalFormatting>
  <conditionalFormatting sqref="W67:W68">
    <cfRule type="cellIs" dxfId="3727" priority="641" operator="equal">
      <formula>0</formula>
    </cfRule>
    <cfRule type="cellIs" dxfId="3726" priority="642" operator="notEqual">
      <formula>0</formula>
    </cfRule>
  </conditionalFormatting>
  <conditionalFormatting sqref="W66">
    <cfRule type="cellIs" dxfId="3725" priority="640" operator="equal">
      <formula>1</formula>
    </cfRule>
  </conditionalFormatting>
  <conditionalFormatting sqref="X67:X68">
    <cfRule type="cellIs" dxfId="3724" priority="638" operator="equal">
      <formula>0</formula>
    </cfRule>
    <cfRule type="cellIs" dxfId="3723" priority="639" operator="notEqual">
      <formula>0</formula>
    </cfRule>
  </conditionalFormatting>
  <conditionalFormatting sqref="X66">
    <cfRule type="cellIs" dxfId="3722" priority="637" operator="equal">
      <formula>1</formula>
    </cfRule>
  </conditionalFormatting>
  <conditionalFormatting sqref="Y67:Y68">
    <cfRule type="cellIs" dxfId="3721" priority="635" operator="equal">
      <formula>0</formula>
    </cfRule>
    <cfRule type="cellIs" dxfId="3720" priority="636" operator="notEqual">
      <formula>0</formula>
    </cfRule>
  </conditionalFormatting>
  <conditionalFormatting sqref="Z67:Z68">
    <cfRule type="cellIs" dxfId="3719" priority="633" operator="equal">
      <formula>0</formula>
    </cfRule>
    <cfRule type="cellIs" dxfId="3718" priority="634" operator="notEqual">
      <formula>0</formula>
    </cfRule>
  </conditionalFormatting>
  <conditionalFormatting sqref="AA67:AA68">
    <cfRule type="cellIs" dxfId="3717" priority="631" operator="equal">
      <formula>0</formula>
    </cfRule>
    <cfRule type="cellIs" dxfId="3716" priority="632" operator="notEqual">
      <formula>0</formula>
    </cfRule>
  </conditionalFormatting>
  <conditionalFormatting sqref="AB67:AB68">
    <cfRule type="cellIs" dxfId="3715" priority="629" operator="equal">
      <formula>0</formula>
    </cfRule>
    <cfRule type="cellIs" dxfId="3714" priority="630" operator="notEqual">
      <formula>0</formula>
    </cfRule>
  </conditionalFormatting>
  <conditionalFormatting sqref="AG66">
    <cfRule type="cellIs" dxfId="3713" priority="627" operator="equal">
      <formula>0</formula>
    </cfRule>
    <cfRule type="cellIs" dxfId="3712" priority="628" operator="notEqual">
      <formula>0</formula>
    </cfRule>
  </conditionalFormatting>
  <conditionalFormatting sqref="AG69">
    <cfRule type="cellIs" dxfId="3711" priority="625" operator="equal">
      <formula>0</formula>
    </cfRule>
    <cfRule type="cellIs" dxfId="3710" priority="626" operator="notEqual">
      <formula>0</formula>
    </cfRule>
  </conditionalFormatting>
  <conditionalFormatting sqref="AH66">
    <cfRule type="cellIs" dxfId="3709" priority="623" operator="equal">
      <formula>0</formula>
    </cfRule>
    <cfRule type="cellIs" dxfId="3708" priority="624" operator="notEqual">
      <formula>0</formula>
    </cfRule>
  </conditionalFormatting>
  <conditionalFormatting sqref="AH69">
    <cfRule type="cellIs" dxfId="3707" priority="621" operator="equal">
      <formula>0</formula>
    </cfRule>
    <cfRule type="cellIs" dxfId="3706" priority="622" operator="notEqual">
      <formula>0</formula>
    </cfRule>
  </conditionalFormatting>
  <conditionalFormatting sqref="AI66">
    <cfRule type="cellIs" dxfId="3705" priority="619" operator="equal">
      <formula>0</formula>
    </cfRule>
    <cfRule type="cellIs" dxfId="3704" priority="620" operator="notEqual">
      <formula>0</formula>
    </cfRule>
  </conditionalFormatting>
  <conditionalFormatting sqref="AI69">
    <cfRule type="cellIs" dxfId="3703" priority="617" operator="equal">
      <formula>0</formula>
    </cfRule>
    <cfRule type="cellIs" dxfId="3702" priority="618" operator="notEqual">
      <formula>0</formula>
    </cfRule>
  </conditionalFormatting>
  <conditionalFormatting sqref="AJ66">
    <cfRule type="cellIs" dxfId="3701" priority="615" operator="equal">
      <formula>0</formula>
    </cfRule>
    <cfRule type="cellIs" dxfId="3700" priority="616" operator="notEqual">
      <formula>0</formula>
    </cfRule>
  </conditionalFormatting>
  <conditionalFormatting sqref="AJ69">
    <cfRule type="cellIs" dxfId="3699" priority="613" operator="equal">
      <formula>0</formula>
    </cfRule>
    <cfRule type="cellIs" dxfId="3698" priority="614" operator="notEqual">
      <formula>0</formula>
    </cfRule>
  </conditionalFormatting>
  <conditionalFormatting sqref="U60:U61">
    <cfRule type="cellIs" dxfId="3697" priority="611" operator="equal">
      <formula>0</formula>
    </cfRule>
    <cfRule type="cellIs" dxfId="3696" priority="612" operator="notEqual">
      <formula>0</formula>
    </cfRule>
  </conditionalFormatting>
  <conditionalFormatting sqref="U59">
    <cfRule type="cellIs" dxfId="3695" priority="610" operator="equal">
      <formula>1</formula>
    </cfRule>
  </conditionalFormatting>
  <conditionalFormatting sqref="V60:V61">
    <cfRule type="cellIs" dxfId="3694" priority="608" operator="equal">
      <formula>0</formula>
    </cfRule>
    <cfRule type="cellIs" dxfId="3693" priority="609" operator="notEqual">
      <formula>0</formula>
    </cfRule>
  </conditionalFormatting>
  <conditionalFormatting sqref="V59">
    <cfRule type="cellIs" dxfId="3692" priority="607" operator="equal">
      <formula>1</formula>
    </cfRule>
  </conditionalFormatting>
  <conditionalFormatting sqref="W60:W61">
    <cfRule type="cellIs" dxfId="3691" priority="605" operator="equal">
      <formula>0</formula>
    </cfRule>
    <cfRule type="cellIs" dxfId="3690" priority="606" operator="notEqual">
      <formula>0</formula>
    </cfRule>
  </conditionalFormatting>
  <conditionalFormatting sqref="W59">
    <cfRule type="cellIs" dxfId="3689" priority="604" operator="equal">
      <formula>1</formula>
    </cfRule>
  </conditionalFormatting>
  <conditionalFormatting sqref="X60:X61">
    <cfRule type="cellIs" dxfId="3688" priority="602" operator="equal">
      <formula>0</formula>
    </cfRule>
    <cfRule type="cellIs" dxfId="3687" priority="603" operator="notEqual">
      <formula>0</formula>
    </cfRule>
  </conditionalFormatting>
  <conditionalFormatting sqref="X59">
    <cfRule type="cellIs" dxfId="3686" priority="601" operator="equal">
      <formula>1</formula>
    </cfRule>
  </conditionalFormatting>
  <conditionalFormatting sqref="Y60:Y61">
    <cfRule type="cellIs" dxfId="3685" priority="599" operator="equal">
      <formula>0</formula>
    </cfRule>
    <cfRule type="cellIs" dxfId="3684" priority="600" operator="notEqual">
      <formula>0</formula>
    </cfRule>
  </conditionalFormatting>
  <conditionalFormatting sqref="Z60:Z61">
    <cfRule type="cellIs" dxfId="3683" priority="597" operator="equal">
      <formula>0</formula>
    </cfRule>
    <cfRule type="cellIs" dxfId="3682" priority="598" operator="notEqual">
      <formula>0</formula>
    </cfRule>
  </conditionalFormatting>
  <conditionalFormatting sqref="AA60:AA61">
    <cfRule type="cellIs" dxfId="3681" priority="595" operator="equal">
      <formula>0</formula>
    </cfRule>
    <cfRule type="cellIs" dxfId="3680" priority="596" operator="notEqual">
      <formula>0</formula>
    </cfRule>
  </conditionalFormatting>
  <conditionalFormatting sqref="AB60:AB61">
    <cfRule type="cellIs" dxfId="3679" priority="593" operator="equal">
      <formula>0</formula>
    </cfRule>
    <cfRule type="cellIs" dxfId="3678" priority="594" operator="notEqual">
      <formula>0</formula>
    </cfRule>
  </conditionalFormatting>
  <conditionalFormatting sqref="AG59">
    <cfRule type="cellIs" dxfId="3677" priority="591" operator="equal">
      <formula>0</formula>
    </cfRule>
    <cfRule type="cellIs" dxfId="3676" priority="592" operator="notEqual">
      <formula>0</formula>
    </cfRule>
  </conditionalFormatting>
  <conditionalFormatting sqref="AG62">
    <cfRule type="cellIs" dxfId="3675" priority="589" operator="equal">
      <formula>0</formula>
    </cfRule>
    <cfRule type="cellIs" dxfId="3674" priority="590" operator="notEqual">
      <formula>0</formula>
    </cfRule>
  </conditionalFormatting>
  <conditionalFormatting sqref="AH59">
    <cfRule type="cellIs" dxfId="3673" priority="587" operator="equal">
      <formula>0</formula>
    </cfRule>
    <cfRule type="cellIs" dxfId="3672" priority="588" operator="notEqual">
      <formula>0</formula>
    </cfRule>
  </conditionalFormatting>
  <conditionalFormatting sqref="AH62">
    <cfRule type="cellIs" dxfId="3671" priority="585" operator="equal">
      <formula>0</formula>
    </cfRule>
    <cfRule type="cellIs" dxfId="3670" priority="586" operator="notEqual">
      <formula>0</formula>
    </cfRule>
  </conditionalFormatting>
  <conditionalFormatting sqref="AI59">
    <cfRule type="cellIs" dxfId="3669" priority="583" operator="equal">
      <formula>0</formula>
    </cfRule>
    <cfRule type="cellIs" dxfId="3668" priority="584" operator="notEqual">
      <formula>0</formula>
    </cfRule>
  </conditionalFormatting>
  <conditionalFormatting sqref="AI62">
    <cfRule type="cellIs" dxfId="3667" priority="581" operator="equal">
      <formula>0</formula>
    </cfRule>
    <cfRule type="cellIs" dxfId="3666" priority="582" operator="notEqual">
      <formula>0</formula>
    </cfRule>
  </conditionalFormatting>
  <conditionalFormatting sqref="AJ59">
    <cfRule type="cellIs" dxfId="3665" priority="579" operator="equal">
      <formula>0</formula>
    </cfRule>
    <cfRule type="cellIs" dxfId="3664" priority="580" operator="notEqual">
      <formula>0</formula>
    </cfRule>
  </conditionalFormatting>
  <conditionalFormatting sqref="AJ62">
    <cfRule type="cellIs" dxfId="3663" priority="577" operator="equal">
      <formula>0</formula>
    </cfRule>
    <cfRule type="cellIs" dxfId="3662" priority="578" operator="notEqual">
      <formula>0</formula>
    </cfRule>
  </conditionalFormatting>
  <conditionalFormatting sqref="U53:U54">
    <cfRule type="cellIs" dxfId="3661" priority="575" operator="equal">
      <formula>0</formula>
    </cfRule>
    <cfRule type="cellIs" dxfId="3660" priority="576" operator="notEqual">
      <formula>0</formula>
    </cfRule>
  </conditionalFormatting>
  <conditionalFormatting sqref="U52">
    <cfRule type="cellIs" dxfId="3659" priority="574" operator="equal">
      <formula>1</formula>
    </cfRule>
  </conditionalFormatting>
  <conditionalFormatting sqref="V53:V54">
    <cfRule type="cellIs" dxfId="3658" priority="572" operator="equal">
      <formula>0</formula>
    </cfRule>
    <cfRule type="cellIs" dxfId="3657" priority="573" operator="notEqual">
      <formula>0</formula>
    </cfRule>
  </conditionalFormatting>
  <conditionalFormatting sqref="V52">
    <cfRule type="cellIs" dxfId="3656" priority="571" operator="equal">
      <formula>1</formula>
    </cfRule>
  </conditionalFormatting>
  <conditionalFormatting sqref="W53:W54">
    <cfRule type="cellIs" dxfId="3655" priority="569" operator="equal">
      <formula>0</formula>
    </cfRule>
    <cfRule type="cellIs" dxfId="3654" priority="570" operator="notEqual">
      <formula>0</formula>
    </cfRule>
  </conditionalFormatting>
  <conditionalFormatting sqref="W52">
    <cfRule type="cellIs" dxfId="3653" priority="568" operator="equal">
      <formula>1</formula>
    </cfRule>
  </conditionalFormatting>
  <conditionalFormatting sqref="X53:X54">
    <cfRule type="cellIs" dxfId="3652" priority="566" operator="equal">
      <formula>0</formula>
    </cfRule>
    <cfRule type="cellIs" dxfId="3651" priority="567" operator="notEqual">
      <formula>0</formula>
    </cfRule>
  </conditionalFormatting>
  <conditionalFormatting sqref="X52">
    <cfRule type="cellIs" dxfId="3650" priority="565" operator="equal">
      <formula>1</formula>
    </cfRule>
  </conditionalFormatting>
  <conditionalFormatting sqref="Y53:Y54">
    <cfRule type="cellIs" dxfId="3649" priority="563" operator="equal">
      <formula>0</formula>
    </cfRule>
    <cfRule type="cellIs" dxfId="3648" priority="564" operator="notEqual">
      <formula>0</formula>
    </cfRule>
  </conditionalFormatting>
  <conditionalFormatting sqref="Z53:Z54">
    <cfRule type="cellIs" dxfId="3647" priority="561" operator="equal">
      <formula>0</formula>
    </cfRule>
    <cfRule type="cellIs" dxfId="3646" priority="562" operator="notEqual">
      <formula>0</formula>
    </cfRule>
  </conditionalFormatting>
  <conditionalFormatting sqref="AA53:AA54">
    <cfRule type="cellIs" dxfId="3645" priority="559" operator="equal">
      <formula>0</formula>
    </cfRule>
    <cfRule type="cellIs" dxfId="3644" priority="560" operator="notEqual">
      <formula>0</formula>
    </cfRule>
  </conditionalFormatting>
  <conditionalFormatting sqref="AB53:AB54">
    <cfRule type="cellIs" dxfId="3643" priority="557" operator="equal">
      <formula>0</formula>
    </cfRule>
    <cfRule type="cellIs" dxfId="3642" priority="558" operator="notEqual">
      <formula>0</formula>
    </cfRule>
  </conditionalFormatting>
  <conditionalFormatting sqref="AG52">
    <cfRule type="cellIs" dxfId="3641" priority="555" operator="equal">
      <formula>0</formula>
    </cfRule>
    <cfRule type="cellIs" dxfId="3640" priority="556" operator="notEqual">
      <formula>0</formula>
    </cfRule>
  </conditionalFormatting>
  <conditionalFormatting sqref="AG55">
    <cfRule type="cellIs" dxfId="3639" priority="553" operator="equal">
      <formula>0</formula>
    </cfRule>
    <cfRule type="cellIs" dxfId="3638" priority="554" operator="notEqual">
      <formula>0</formula>
    </cfRule>
  </conditionalFormatting>
  <conditionalFormatting sqref="AH52">
    <cfRule type="cellIs" dxfId="3637" priority="551" operator="equal">
      <formula>0</formula>
    </cfRule>
    <cfRule type="cellIs" dxfId="3636" priority="552" operator="notEqual">
      <formula>0</formula>
    </cfRule>
  </conditionalFormatting>
  <conditionalFormatting sqref="AH55">
    <cfRule type="cellIs" dxfId="3635" priority="549" operator="equal">
      <formula>0</formula>
    </cfRule>
    <cfRule type="cellIs" dxfId="3634" priority="550" operator="notEqual">
      <formula>0</formula>
    </cfRule>
  </conditionalFormatting>
  <conditionalFormatting sqref="AI52">
    <cfRule type="cellIs" dxfId="3633" priority="547" operator="equal">
      <formula>0</formula>
    </cfRule>
    <cfRule type="cellIs" dxfId="3632" priority="548" operator="notEqual">
      <formula>0</formula>
    </cfRule>
  </conditionalFormatting>
  <conditionalFormatting sqref="AI55">
    <cfRule type="cellIs" dxfId="3631" priority="545" operator="equal">
      <formula>0</formula>
    </cfRule>
    <cfRule type="cellIs" dxfId="3630" priority="546" operator="notEqual">
      <formula>0</formula>
    </cfRule>
  </conditionalFormatting>
  <conditionalFormatting sqref="AJ52">
    <cfRule type="cellIs" dxfId="3629" priority="543" operator="equal">
      <formula>0</formula>
    </cfRule>
    <cfRule type="cellIs" dxfId="3628" priority="544" operator="notEqual">
      <formula>0</formula>
    </cfRule>
  </conditionalFormatting>
  <conditionalFormatting sqref="AJ55">
    <cfRule type="cellIs" dxfId="3627" priority="541" operator="equal">
      <formula>0</formula>
    </cfRule>
    <cfRule type="cellIs" dxfId="3626" priority="542" operator="notEqual">
      <formula>0</formula>
    </cfRule>
  </conditionalFormatting>
  <conditionalFormatting sqref="U46:U47">
    <cfRule type="cellIs" dxfId="3625" priority="539" operator="equal">
      <formula>0</formula>
    </cfRule>
    <cfRule type="cellIs" dxfId="3624" priority="540" operator="notEqual">
      <formula>0</formula>
    </cfRule>
  </conditionalFormatting>
  <conditionalFormatting sqref="U45">
    <cfRule type="cellIs" dxfId="3623" priority="538" operator="equal">
      <formula>1</formula>
    </cfRule>
  </conditionalFormatting>
  <conditionalFormatting sqref="V46:V47">
    <cfRule type="cellIs" dxfId="3622" priority="536" operator="equal">
      <formula>0</formula>
    </cfRule>
    <cfRule type="cellIs" dxfId="3621" priority="537" operator="notEqual">
      <formula>0</formula>
    </cfRule>
  </conditionalFormatting>
  <conditionalFormatting sqref="V45">
    <cfRule type="cellIs" dxfId="3620" priority="535" operator="equal">
      <formula>1</formula>
    </cfRule>
  </conditionalFormatting>
  <conditionalFormatting sqref="W46:W47">
    <cfRule type="cellIs" dxfId="3619" priority="533" operator="equal">
      <formula>0</formula>
    </cfRule>
    <cfRule type="cellIs" dxfId="3618" priority="534" operator="notEqual">
      <formula>0</formula>
    </cfRule>
  </conditionalFormatting>
  <conditionalFormatting sqref="W45">
    <cfRule type="cellIs" dxfId="3617" priority="532" operator="equal">
      <formula>1</formula>
    </cfRule>
  </conditionalFormatting>
  <conditionalFormatting sqref="X46:X47">
    <cfRule type="cellIs" dxfId="3616" priority="530" operator="equal">
      <formula>0</formula>
    </cfRule>
    <cfRule type="cellIs" dxfId="3615" priority="531" operator="notEqual">
      <formula>0</formula>
    </cfRule>
  </conditionalFormatting>
  <conditionalFormatting sqref="X45">
    <cfRule type="cellIs" dxfId="3614" priority="529" operator="equal">
      <formula>1</formula>
    </cfRule>
  </conditionalFormatting>
  <conditionalFormatting sqref="Y46:Y47">
    <cfRule type="cellIs" dxfId="3613" priority="527" operator="equal">
      <formula>0</formula>
    </cfRule>
    <cfRule type="cellIs" dxfId="3612" priority="528" operator="notEqual">
      <formula>0</formula>
    </cfRule>
  </conditionalFormatting>
  <conditionalFormatting sqref="Z46:Z47">
    <cfRule type="cellIs" dxfId="3611" priority="525" operator="equal">
      <formula>0</formula>
    </cfRule>
    <cfRule type="cellIs" dxfId="3610" priority="526" operator="notEqual">
      <formula>0</formula>
    </cfRule>
  </conditionalFormatting>
  <conditionalFormatting sqref="AA46:AA47">
    <cfRule type="cellIs" dxfId="3609" priority="523" operator="equal">
      <formula>0</formula>
    </cfRule>
    <cfRule type="cellIs" dxfId="3608" priority="524" operator="notEqual">
      <formula>0</formula>
    </cfRule>
  </conditionalFormatting>
  <conditionalFormatting sqref="AB46:AB47">
    <cfRule type="cellIs" dxfId="3607" priority="521" operator="equal">
      <formula>0</formula>
    </cfRule>
    <cfRule type="cellIs" dxfId="3606" priority="522" operator="notEqual">
      <formula>0</formula>
    </cfRule>
  </conditionalFormatting>
  <conditionalFormatting sqref="AG45">
    <cfRule type="cellIs" dxfId="3605" priority="519" operator="equal">
      <formula>0</formula>
    </cfRule>
    <cfRule type="cellIs" dxfId="3604" priority="520" operator="notEqual">
      <formula>0</formula>
    </cfRule>
  </conditionalFormatting>
  <conditionalFormatting sqref="AG48">
    <cfRule type="cellIs" dxfId="3603" priority="517" operator="equal">
      <formula>0</formula>
    </cfRule>
    <cfRule type="cellIs" dxfId="3602" priority="518" operator="notEqual">
      <formula>0</formula>
    </cfRule>
  </conditionalFormatting>
  <conditionalFormatting sqref="AH45">
    <cfRule type="cellIs" dxfId="3601" priority="515" operator="equal">
      <formula>0</formula>
    </cfRule>
    <cfRule type="cellIs" dxfId="3600" priority="516" operator="notEqual">
      <formula>0</formula>
    </cfRule>
  </conditionalFormatting>
  <conditionalFormatting sqref="AH48">
    <cfRule type="cellIs" dxfId="3599" priority="513" operator="equal">
      <formula>0</formula>
    </cfRule>
    <cfRule type="cellIs" dxfId="3598" priority="514" operator="notEqual">
      <formula>0</formula>
    </cfRule>
  </conditionalFormatting>
  <conditionalFormatting sqref="AI45">
    <cfRule type="cellIs" dxfId="3597" priority="511" operator="equal">
      <formula>0</formula>
    </cfRule>
    <cfRule type="cellIs" dxfId="3596" priority="512" operator="notEqual">
      <formula>0</formula>
    </cfRule>
  </conditionalFormatting>
  <conditionalFormatting sqref="AI48">
    <cfRule type="cellIs" dxfId="3595" priority="509" operator="equal">
      <formula>0</formula>
    </cfRule>
    <cfRule type="cellIs" dxfId="3594" priority="510" operator="notEqual">
      <formula>0</formula>
    </cfRule>
  </conditionalFormatting>
  <conditionalFormatting sqref="AJ45">
    <cfRule type="cellIs" dxfId="3593" priority="507" operator="equal">
      <formula>0</formula>
    </cfRule>
    <cfRule type="cellIs" dxfId="3592" priority="508" operator="notEqual">
      <formula>0</formula>
    </cfRule>
  </conditionalFormatting>
  <conditionalFormatting sqref="AJ48">
    <cfRule type="cellIs" dxfId="3591" priority="505" operator="equal">
      <formula>0</formula>
    </cfRule>
    <cfRule type="cellIs" dxfId="3590" priority="506" operator="notEqual">
      <formula>0</formula>
    </cfRule>
  </conditionalFormatting>
  <conditionalFormatting sqref="U39:U40">
    <cfRule type="cellIs" dxfId="3589" priority="503" operator="equal">
      <formula>0</formula>
    </cfRule>
    <cfRule type="cellIs" dxfId="3588" priority="504" operator="notEqual">
      <formula>0</formula>
    </cfRule>
  </conditionalFormatting>
  <conditionalFormatting sqref="U38">
    <cfRule type="cellIs" dxfId="3587" priority="502" operator="equal">
      <formula>1</formula>
    </cfRule>
  </conditionalFormatting>
  <conditionalFormatting sqref="V39:V40">
    <cfRule type="cellIs" dxfId="3586" priority="500" operator="equal">
      <formula>0</formula>
    </cfRule>
    <cfRule type="cellIs" dxfId="3585" priority="501" operator="notEqual">
      <formula>0</formula>
    </cfRule>
  </conditionalFormatting>
  <conditionalFormatting sqref="V38">
    <cfRule type="cellIs" dxfId="3584" priority="499" operator="equal">
      <formula>1</formula>
    </cfRule>
  </conditionalFormatting>
  <conditionalFormatting sqref="W39:W40">
    <cfRule type="cellIs" dxfId="3583" priority="497" operator="equal">
      <formula>0</formula>
    </cfRule>
    <cfRule type="cellIs" dxfId="3582" priority="498" operator="notEqual">
      <formula>0</formula>
    </cfRule>
  </conditionalFormatting>
  <conditionalFormatting sqref="W38">
    <cfRule type="cellIs" dxfId="3581" priority="496" operator="equal">
      <formula>1</formula>
    </cfRule>
  </conditionalFormatting>
  <conditionalFormatting sqref="X39:X40">
    <cfRule type="cellIs" dxfId="3580" priority="494" operator="equal">
      <formula>0</formula>
    </cfRule>
    <cfRule type="cellIs" dxfId="3579" priority="495" operator="notEqual">
      <formula>0</formula>
    </cfRule>
  </conditionalFormatting>
  <conditionalFormatting sqref="X38">
    <cfRule type="cellIs" dxfId="3578" priority="493" operator="equal">
      <formula>1</formula>
    </cfRule>
  </conditionalFormatting>
  <conditionalFormatting sqref="Y39:Y40">
    <cfRule type="cellIs" dxfId="3577" priority="491" operator="equal">
      <formula>0</formula>
    </cfRule>
    <cfRule type="cellIs" dxfId="3576" priority="492" operator="notEqual">
      <formula>0</formula>
    </cfRule>
  </conditionalFormatting>
  <conditionalFormatting sqref="Z39:Z40">
    <cfRule type="cellIs" dxfId="3575" priority="489" operator="equal">
      <formula>0</formula>
    </cfRule>
    <cfRule type="cellIs" dxfId="3574" priority="490" operator="notEqual">
      <formula>0</formula>
    </cfRule>
  </conditionalFormatting>
  <conditionalFormatting sqref="AA39:AA40">
    <cfRule type="cellIs" dxfId="3573" priority="487" operator="equal">
      <formula>0</formula>
    </cfRule>
    <cfRule type="cellIs" dxfId="3572" priority="488" operator="notEqual">
      <formula>0</formula>
    </cfRule>
  </conditionalFormatting>
  <conditionalFormatting sqref="AB39:AB40">
    <cfRule type="cellIs" dxfId="3571" priority="485" operator="equal">
      <formula>0</formula>
    </cfRule>
    <cfRule type="cellIs" dxfId="3570" priority="486" operator="notEqual">
      <formula>0</formula>
    </cfRule>
  </conditionalFormatting>
  <conditionalFormatting sqref="AG38">
    <cfRule type="cellIs" dxfId="3569" priority="483" operator="equal">
      <formula>0</formula>
    </cfRule>
    <cfRule type="cellIs" dxfId="3568" priority="484" operator="notEqual">
      <formula>0</formula>
    </cfRule>
  </conditionalFormatting>
  <conditionalFormatting sqref="AG41">
    <cfRule type="cellIs" dxfId="3567" priority="481" operator="equal">
      <formula>0</formula>
    </cfRule>
    <cfRule type="cellIs" dxfId="3566" priority="482" operator="notEqual">
      <formula>0</formula>
    </cfRule>
  </conditionalFormatting>
  <conditionalFormatting sqref="AH38">
    <cfRule type="cellIs" dxfId="3565" priority="479" operator="equal">
      <formula>0</formula>
    </cfRule>
    <cfRule type="cellIs" dxfId="3564" priority="480" operator="notEqual">
      <formula>0</formula>
    </cfRule>
  </conditionalFormatting>
  <conditionalFormatting sqref="AH41">
    <cfRule type="cellIs" dxfId="3563" priority="477" operator="equal">
      <formula>0</formula>
    </cfRule>
    <cfRule type="cellIs" dxfId="3562" priority="478" operator="notEqual">
      <formula>0</formula>
    </cfRule>
  </conditionalFormatting>
  <conditionalFormatting sqref="AI38">
    <cfRule type="cellIs" dxfId="3561" priority="475" operator="equal">
      <formula>0</formula>
    </cfRule>
    <cfRule type="cellIs" dxfId="3560" priority="476" operator="notEqual">
      <formula>0</formula>
    </cfRule>
  </conditionalFormatting>
  <conditionalFormatting sqref="AI41">
    <cfRule type="cellIs" dxfId="3559" priority="473" operator="equal">
      <formula>0</formula>
    </cfRule>
    <cfRule type="cellIs" dxfId="3558" priority="474" operator="notEqual">
      <formula>0</formula>
    </cfRule>
  </conditionalFormatting>
  <conditionalFormatting sqref="AJ38">
    <cfRule type="cellIs" dxfId="3557" priority="471" operator="equal">
      <formula>0</formula>
    </cfRule>
    <cfRule type="cellIs" dxfId="3556" priority="472" operator="notEqual">
      <formula>0</formula>
    </cfRule>
  </conditionalFormatting>
  <conditionalFormatting sqref="AJ41">
    <cfRule type="cellIs" dxfId="3555" priority="469" operator="equal">
      <formula>0</formula>
    </cfRule>
    <cfRule type="cellIs" dxfId="3554" priority="470" operator="notEqual">
      <formula>0</formula>
    </cfRule>
  </conditionalFormatting>
  <conditionalFormatting sqref="U32:U33">
    <cfRule type="cellIs" dxfId="3553" priority="467" operator="equal">
      <formula>0</formula>
    </cfRule>
    <cfRule type="cellIs" dxfId="3552" priority="468" operator="notEqual">
      <formula>0</formula>
    </cfRule>
  </conditionalFormatting>
  <conditionalFormatting sqref="U31">
    <cfRule type="cellIs" dxfId="3551" priority="466" operator="equal">
      <formula>1</formula>
    </cfRule>
  </conditionalFormatting>
  <conditionalFormatting sqref="V32:V33">
    <cfRule type="cellIs" dxfId="3550" priority="464" operator="equal">
      <formula>0</formula>
    </cfRule>
    <cfRule type="cellIs" dxfId="3549" priority="465" operator="notEqual">
      <formula>0</formula>
    </cfRule>
  </conditionalFormatting>
  <conditionalFormatting sqref="V31">
    <cfRule type="cellIs" dxfId="3548" priority="463" operator="equal">
      <formula>1</formula>
    </cfRule>
  </conditionalFormatting>
  <conditionalFormatting sqref="W32:W33">
    <cfRule type="cellIs" dxfId="3547" priority="461" operator="equal">
      <formula>0</formula>
    </cfRule>
    <cfRule type="cellIs" dxfId="3546" priority="462" operator="notEqual">
      <formula>0</formula>
    </cfRule>
  </conditionalFormatting>
  <conditionalFormatting sqref="W31">
    <cfRule type="cellIs" dxfId="3545" priority="460" operator="equal">
      <formula>1</formula>
    </cfRule>
  </conditionalFormatting>
  <conditionalFormatting sqref="X32:X33">
    <cfRule type="cellIs" dxfId="3544" priority="458" operator="equal">
      <formula>0</formula>
    </cfRule>
    <cfRule type="cellIs" dxfId="3543" priority="459" operator="notEqual">
      <formula>0</formula>
    </cfRule>
  </conditionalFormatting>
  <conditionalFormatting sqref="X31">
    <cfRule type="cellIs" dxfId="3542" priority="457" operator="equal">
      <formula>1</formula>
    </cfRule>
  </conditionalFormatting>
  <conditionalFormatting sqref="Y32:Y33">
    <cfRule type="cellIs" dxfId="3541" priority="455" operator="equal">
      <formula>0</formula>
    </cfRule>
    <cfRule type="cellIs" dxfId="3540" priority="456" operator="notEqual">
      <formula>0</formula>
    </cfRule>
  </conditionalFormatting>
  <conditionalFormatting sqref="Z32:Z33">
    <cfRule type="cellIs" dxfId="3539" priority="453" operator="equal">
      <formula>0</formula>
    </cfRule>
    <cfRule type="cellIs" dxfId="3538" priority="454" operator="notEqual">
      <formula>0</formula>
    </cfRule>
  </conditionalFormatting>
  <conditionalFormatting sqref="AA32:AA33">
    <cfRule type="cellIs" dxfId="3537" priority="451" operator="equal">
      <formula>0</formula>
    </cfRule>
    <cfRule type="cellIs" dxfId="3536" priority="452" operator="notEqual">
      <formula>0</formula>
    </cfRule>
  </conditionalFormatting>
  <conditionalFormatting sqref="AB32:AB33">
    <cfRule type="cellIs" dxfId="3535" priority="449" operator="equal">
      <formula>0</formula>
    </cfRule>
    <cfRule type="cellIs" dxfId="3534" priority="450" operator="notEqual">
      <formula>0</formula>
    </cfRule>
  </conditionalFormatting>
  <conditionalFormatting sqref="AG31">
    <cfRule type="cellIs" dxfId="3533" priority="447" operator="equal">
      <formula>0</formula>
    </cfRule>
    <cfRule type="cellIs" dxfId="3532" priority="448" operator="notEqual">
      <formula>0</formula>
    </cfRule>
  </conditionalFormatting>
  <conditionalFormatting sqref="AG34">
    <cfRule type="cellIs" dxfId="3531" priority="445" operator="equal">
      <formula>0</formula>
    </cfRule>
    <cfRule type="cellIs" dxfId="3530" priority="446" operator="notEqual">
      <formula>0</formula>
    </cfRule>
  </conditionalFormatting>
  <conditionalFormatting sqref="AH31">
    <cfRule type="cellIs" dxfId="3529" priority="443" operator="equal">
      <formula>0</formula>
    </cfRule>
    <cfRule type="cellIs" dxfId="3528" priority="444" operator="notEqual">
      <formula>0</formula>
    </cfRule>
  </conditionalFormatting>
  <conditionalFormatting sqref="AH34">
    <cfRule type="cellIs" dxfId="3527" priority="441" operator="equal">
      <formula>0</formula>
    </cfRule>
    <cfRule type="cellIs" dxfId="3526" priority="442" operator="notEqual">
      <formula>0</formula>
    </cfRule>
  </conditionalFormatting>
  <conditionalFormatting sqref="AI31">
    <cfRule type="cellIs" dxfId="3525" priority="439" operator="equal">
      <formula>0</formula>
    </cfRule>
    <cfRule type="cellIs" dxfId="3524" priority="440" operator="notEqual">
      <formula>0</formula>
    </cfRule>
  </conditionalFormatting>
  <conditionalFormatting sqref="AI34">
    <cfRule type="cellIs" dxfId="3523" priority="437" operator="equal">
      <formula>0</formula>
    </cfRule>
    <cfRule type="cellIs" dxfId="3522" priority="438" operator="notEqual">
      <formula>0</formula>
    </cfRule>
  </conditionalFormatting>
  <conditionalFormatting sqref="AJ31">
    <cfRule type="cellIs" dxfId="3521" priority="435" operator="equal">
      <formula>0</formula>
    </cfRule>
    <cfRule type="cellIs" dxfId="3520" priority="436" operator="notEqual">
      <formula>0</formula>
    </cfRule>
  </conditionalFormatting>
  <conditionalFormatting sqref="AJ34">
    <cfRule type="cellIs" dxfId="3519" priority="433" operator="equal">
      <formula>0</formula>
    </cfRule>
    <cfRule type="cellIs" dxfId="3518" priority="434" operator="notEqual">
      <formula>0</formula>
    </cfRule>
  </conditionalFormatting>
  <conditionalFormatting sqref="U25:U26">
    <cfRule type="cellIs" dxfId="3517" priority="431" operator="equal">
      <formula>0</formula>
    </cfRule>
    <cfRule type="cellIs" dxfId="3516" priority="432" operator="notEqual">
      <formula>0</formula>
    </cfRule>
  </conditionalFormatting>
  <conditionalFormatting sqref="U24">
    <cfRule type="cellIs" dxfId="3515" priority="430" operator="equal">
      <formula>1</formula>
    </cfRule>
  </conditionalFormatting>
  <conditionalFormatting sqref="V25:V26">
    <cfRule type="cellIs" dxfId="3514" priority="428" operator="equal">
      <formula>0</formula>
    </cfRule>
    <cfRule type="cellIs" dxfId="3513" priority="429" operator="notEqual">
      <formula>0</formula>
    </cfRule>
  </conditionalFormatting>
  <conditionalFormatting sqref="V24">
    <cfRule type="cellIs" dxfId="3512" priority="427" operator="equal">
      <formula>1</formula>
    </cfRule>
  </conditionalFormatting>
  <conditionalFormatting sqref="W25:W26">
    <cfRule type="cellIs" dxfId="3511" priority="425" operator="equal">
      <formula>0</formula>
    </cfRule>
    <cfRule type="cellIs" dxfId="3510" priority="426" operator="notEqual">
      <formula>0</formula>
    </cfRule>
  </conditionalFormatting>
  <conditionalFormatting sqref="W24">
    <cfRule type="cellIs" dxfId="3509" priority="424" operator="equal">
      <formula>1</formula>
    </cfRule>
  </conditionalFormatting>
  <conditionalFormatting sqref="X25:X26">
    <cfRule type="cellIs" dxfId="3508" priority="422" operator="equal">
      <formula>0</formula>
    </cfRule>
    <cfRule type="cellIs" dxfId="3507" priority="423" operator="notEqual">
      <formula>0</formula>
    </cfRule>
  </conditionalFormatting>
  <conditionalFormatting sqref="X24">
    <cfRule type="cellIs" dxfId="3506" priority="421" operator="equal">
      <formula>1</formula>
    </cfRule>
  </conditionalFormatting>
  <conditionalFormatting sqref="Y25:Y26">
    <cfRule type="cellIs" dxfId="3505" priority="419" operator="equal">
      <formula>0</formula>
    </cfRule>
    <cfRule type="cellIs" dxfId="3504" priority="420" operator="notEqual">
      <formula>0</formula>
    </cfRule>
  </conditionalFormatting>
  <conditionalFormatting sqref="Z25:Z26">
    <cfRule type="cellIs" dxfId="3503" priority="417" operator="equal">
      <formula>0</formula>
    </cfRule>
    <cfRule type="cellIs" dxfId="3502" priority="418" operator="notEqual">
      <formula>0</formula>
    </cfRule>
  </conditionalFormatting>
  <conditionalFormatting sqref="AA25:AA26">
    <cfRule type="cellIs" dxfId="3501" priority="415" operator="equal">
      <formula>0</formula>
    </cfRule>
    <cfRule type="cellIs" dxfId="3500" priority="416" operator="notEqual">
      <formula>0</formula>
    </cfRule>
  </conditionalFormatting>
  <conditionalFormatting sqref="AB25:AB26">
    <cfRule type="cellIs" dxfId="3499" priority="413" operator="equal">
      <formula>0</formula>
    </cfRule>
    <cfRule type="cellIs" dxfId="3498" priority="414" operator="notEqual">
      <formula>0</formula>
    </cfRule>
  </conditionalFormatting>
  <conditionalFormatting sqref="AG24">
    <cfRule type="cellIs" dxfId="3497" priority="411" operator="equal">
      <formula>0</formula>
    </cfRule>
    <cfRule type="cellIs" dxfId="3496" priority="412" operator="notEqual">
      <formula>0</formula>
    </cfRule>
  </conditionalFormatting>
  <conditionalFormatting sqref="AG27">
    <cfRule type="cellIs" dxfId="3495" priority="409" operator="equal">
      <formula>0</formula>
    </cfRule>
    <cfRule type="cellIs" dxfId="3494" priority="410" operator="notEqual">
      <formula>0</formula>
    </cfRule>
  </conditionalFormatting>
  <conditionalFormatting sqref="AH24">
    <cfRule type="cellIs" dxfId="3493" priority="407" operator="equal">
      <formula>0</formula>
    </cfRule>
    <cfRule type="cellIs" dxfId="3492" priority="408" operator="notEqual">
      <formula>0</formula>
    </cfRule>
  </conditionalFormatting>
  <conditionalFormatting sqref="AH27">
    <cfRule type="cellIs" dxfId="3491" priority="405" operator="equal">
      <formula>0</formula>
    </cfRule>
    <cfRule type="cellIs" dxfId="3490" priority="406" operator="notEqual">
      <formula>0</formula>
    </cfRule>
  </conditionalFormatting>
  <conditionalFormatting sqref="AI24">
    <cfRule type="cellIs" dxfId="3489" priority="403" operator="equal">
      <formula>0</formula>
    </cfRule>
    <cfRule type="cellIs" dxfId="3488" priority="404" operator="notEqual">
      <formula>0</formula>
    </cfRule>
  </conditionalFormatting>
  <conditionalFormatting sqref="AI27">
    <cfRule type="cellIs" dxfId="3487" priority="401" operator="equal">
      <formula>0</formula>
    </cfRule>
    <cfRule type="cellIs" dxfId="3486" priority="402" operator="notEqual">
      <formula>0</formula>
    </cfRule>
  </conditionalFormatting>
  <conditionalFormatting sqref="AJ24">
    <cfRule type="cellIs" dxfId="3485" priority="399" operator="equal">
      <formula>0</formula>
    </cfRule>
    <cfRule type="cellIs" dxfId="3484" priority="400" operator="notEqual">
      <formula>0</formula>
    </cfRule>
  </conditionalFormatting>
  <conditionalFormatting sqref="AJ27">
    <cfRule type="cellIs" dxfId="3483" priority="397" operator="equal">
      <formula>0</formula>
    </cfRule>
    <cfRule type="cellIs" dxfId="3482" priority="398" operator="notEqual">
      <formula>0</formula>
    </cfRule>
  </conditionalFormatting>
  <conditionalFormatting sqref="U18:U19">
    <cfRule type="cellIs" dxfId="3481" priority="395" operator="equal">
      <formula>0</formula>
    </cfRule>
    <cfRule type="cellIs" dxfId="3480" priority="396" operator="notEqual">
      <formula>0</formula>
    </cfRule>
  </conditionalFormatting>
  <conditionalFormatting sqref="U17">
    <cfRule type="cellIs" dxfId="3479" priority="394" operator="equal">
      <formula>1</formula>
    </cfRule>
  </conditionalFormatting>
  <conditionalFormatting sqref="V18:V19">
    <cfRule type="cellIs" dxfId="3478" priority="392" operator="equal">
      <formula>0</formula>
    </cfRule>
    <cfRule type="cellIs" dxfId="3477" priority="393" operator="notEqual">
      <formula>0</formula>
    </cfRule>
  </conditionalFormatting>
  <conditionalFormatting sqref="V17">
    <cfRule type="cellIs" dxfId="3476" priority="391" operator="equal">
      <formula>1</formula>
    </cfRule>
  </conditionalFormatting>
  <conditionalFormatting sqref="W18:W19">
    <cfRule type="cellIs" dxfId="3475" priority="389" operator="equal">
      <formula>0</formula>
    </cfRule>
    <cfRule type="cellIs" dxfId="3474" priority="390" operator="notEqual">
      <formula>0</formula>
    </cfRule>
  </conditionalFormatting>
  <conditionalFormatting sqref="W17">
    <cfRule type="cellIs" dxfId="3473" priority="388" operator="equal">
      <formula>1</formula>
    </cfRule>
  </conditionalFormatting>
  <conditionalFormatting sqref="X18:X19">
    <cfRule type="cellIs" dxfId="3472" priority="386" operator="equal">
      <formula>0</formula>
    </cfRule>
    <cfRule type="cellIs" dxfId="3471" priority="387" operator="notEqual">
      <formula>0</formula>
    </cfRule>
  </conditionalFormatting>
  <conditionalFormatting sqref="X17">
    <cfRule type="cellIs" dxfId="3470" priority="385" operator="equal">
      <formula>1</formula>
    </cfRule>
  </conditionalFormatting>
  <conditionalFormatting sqref="Y18:Y19">
    <cfRule type="cellIs" dxfId="3469" priority="383" operator="equal">
      <formula>0</formula>
    </cfRule>
    <cfRule type="cellIs" dxfId="3468" priority="384" operator="notEqual">
      <formula>0</formula>
    </cfRule>
  </conditionalFormatting>
  <conditionalFormatting sqref="Z18:Z19">
    <cfRule type="cellIs" dxfId="3467" priority="381" operator="equal">
      <formula>0</formula>
    </cfRule>
    <cfRule type="cellIs" dxfId="3466" priority="382" operator="notEqual">
      <formula>0</formula>
    </cfRule>
  </conditionalFormatting>
  <conditionalFormatting sqref="AA18:AA19">
    <cfRule type="cellIs" dxfId="3465" priority="379" operator="equal">
      <formula>0</formula>
    </cfRule>
    <cfRule type="cellIs" dxfId="3464" priority="380" operator="notEqual">
      <formula>0</formula>
    </cfRule>
  </conditionalFormatting>
  <conditionalFormatting sqref="AB18:AB19">
    <cfRule type="cellIs" dxfId="3463" priority="377" operator="equal">
      <formula>0</formula>
    </cfRule>
    <cfRule type="cellIs" dxfId="3462" priority="378" operator="notEqual">
      <formula>0</formula>
    </cfRule>
  </conditionalFormatting>
  <conditionalFormatting sqref="AG17">
    <cfRule type="cellIs" dxfId="3461" priority="375" operator="equal">
      <formula>0</formula>
    </cfRule>
    <cfRule type="cellIs" dxfId="3460" priority="376" operator="notEqual">
      <formula>0</formula>
    </cfRule>
  </conditionalFormatting>
  <conditionalFormatting sqref="AG20">
    <cfRule type="cellIs" dxfId="3459" priority="373" operator="equal">
      <formula>0</formula>
    </cfRule>
    <cfRule type="cellIs" dxfId="3458" priority="374" operator="notEqual">
      <formula>0</formula>
    </cfRule>
  </conditionalFormatting>
  <conditionalFormatting sqref="AH17">
    <cfRule type="cellIs" dxfId="3457" priority="371" operator="equal">
      <formula>0</formula>
    </cfRule>
    <cfRule type="cellIs" dxfId="3456" priority="372" operator="notEqual">
      <formula>0</formula>
    </cfRule>
  </conditionalFormatting>
  <conditionalFormatting sqref="AH20">
    <cfRule type="cellIs" dxfId="3455" priority="369" operator="equal">
      <formula>0</formula>
    </cfRule>
    <cfRule type="cellIs" dxfId="3454" priority="370" operator="notEqual">
      <formula>0</formula>
    </cfRule>
  </conditionalFormatting>
  <conditionalFormatting sqref="AI17">
    <cfRule type="cellIs" dxfId="3453" priority="367" operator="equal">
      <formula>0</formula>
    </cfRule>
    <cfRule type="cellIs" dxfId="3452" priority="368" operator="notEqual">
      <formula>0</formula>
    </cfRule>
  </conditionalFormatting>
  <conditionalFormatting sqref="AI20">
    <cfRule type="cellIs" dxfId="3451" priority="365" operator="equal">
      <formula>0</formula>
    </cfRule>
    <cfRule type="cellIs" dxfId="3450" priority="366" operator="notEqual">
      <formula>0</formula>
    </cfRule>
  </conditionalFormatting>
  <conditionalFormatting sqref="AJ17">
    <cfRule type="cellIs" dxfId="3449" priority="363" operator="equal">
      <formula>0</formula>
    </cfRule>
    <cfRule type="cellIs" dxfId="3448" priority="364" operator="notEqual">
      <formula>0</formula>
    </cfRule>
  </conditionalFormatting>
  <conditionalFormatting sqref="AJ20">
    <cfRule type="cellIs" dxfId="3447" priority="361" operator="equal">
      <formula>0</formula>
    </cfRule>
    <cfRule type="cellIs" dxfId="3446" priority="362" operator="notEqual">
      <formula>0</formula>
    </cfRule>
  </conditionalFormatting>
  <conditionalFormatting sqref="U11:U12">
    <cfRule type="cellIs" dxfId="3445" priority="359" operator="equal">
      <formula>0</formula>
    </cfRule>
    <cfRule type="cellIs" dxfId="3444" priority="360" operator="notEqual">
      <formula>0</formula>
    </cfRule>
  </conditionalFormatting>
  <conditionalFormatting sqref="U10">
    <cfRule type="cellIs" dxfId="3443" priority="358" operator="equal">
      <formula>1</formula>
    </cfRule>
  </conditionalFormatting>
  <conditionalFormatting sqref="V11:V12">
    <cfRule type="cellIs" dxfId="3442" priority="356" operator="equal">
      <formula>0</formula>
    </cfRule>
    <cfRule type="cellIs" dxfId="3441" priority="357" operator="notEqual">
      <formula>0</formula>
    </cfRule>
  </conditionalFormatting>
  <conditionalFormatting sqref="V10">
    <cfRule type="cellIs" dxfId="3440" priority="355" operator="equal">
      <formula>1</formula>
    </cfRule>
  </conditionalFormatting>
  <conditionalFormatting sqref="W11:W12">
    <cfRule type="cellIs" dxfId="3439" priority="353" operator="equal">
      <formula>0</formula>
    </cfRule>
    <cfRule type="cellIs" dxfId="3438" priority="354" operator="notEqual">
      <formula>0</formula>
    </cfRule>
  </conditionalFormatting>
  <conditionalFormatting sqref="W10">
    <cfRule type="cellIs" dxfId="3437" priority="352" operator="equal">
      <formula>1</formula>
    </cfRule>
  </conditionalFormatting>
  <conditionalFormatting sqref="X11:X12">
    <cfRule type="cellIs" dxfId="3436" priority="350" operator="equal">
      <formula>0</formula>
    </cfRule>
    <cfRule type="cellIs" dxfId="3435" priority="351" operator="notEqual">
      <formula>0</formula>
    </cfRule>
  </conditionalFormatting>
  <conditionalFormatting sqref="X10">
    <cfRule type="cellIs" dxfId="3434" priority="349" operator="equal">
      <formula>1</formula>
    </cfRule>
  </conditionalFormatting>
  <conditionalFormatting sqref="Y11:Y12">
    <cfRule type="cellIs" dxfId="3433" priority="347" operator="equal">
      <formula>0</formula>
    </cfRule>
    <cfRule type="cellIs" dxfId="3432" priority="348" operator="notEqual">
      <formula>0</formula>
    </cfRule>
  </conditionalFormatting>
  <conditionalFormatting sqref="Z11:Z12">
    <cfRule type="cellIs" dxfId="3431" priority="345" operator="equal">
      <formula>0</formula>
    </cfRule>
    <cfRule type="cellIs" dxfId="3430" priority="346" operator="notEqual">
      <formula>0</formula>
    </cfRule>
  </conditionalFormatting>
  <conditionalFormatting sqref="AA11:AA12">
    <cfRule type="cellIs" dxfId="3429" priority="343" operator="equal">
      <formula>0</formula>
    </cfRule>
    <cfRule type="cellIs" dxfId="3428" priority="344" operator="notEqual">
      <formula>0</formula>
    </cfRule>
  </conditionalFormatting>
  <conditionalFormatting sqref="AB11:AB12">
    <cfRule type="cellIs" dxfId="3427" priority="341" operator="equal">
      <formula>0</formula>
    </cfRule>
    <cfRule type="cellIs" dxfId="3426" priority="342" operator="notEqual">
      <formula>0</formula>
    </cfRule>
  </conditionalFormatting>
  <conditionalFormatting sqref="AG10">
    <cfRule type="cellIs" dxfId="3425" priority="339" operator="equal">
      <formula>0</formula>
    </cfRule>
    <cfRule type="cellIs" dxfId="3424" priority="340" operator="notEqual">
      <formula>0</formula>
    </cfRule>
  </conditionalFormatting>
  <conditionalFormatting sqref="AG13">
    <cfRule type="cellIs" dxfId="3423" priority="337" operator="equal">
      <formula>0</formula>
    </cfRule>
    <cfRule type="cellIs" dxfId="3422" priority="338" operator="notEqual">
      <formula>0</formula>
    </cfRule>
  </conditionalFormatting>
  <conditionalFormatting sqref="AH10">
    <cfRule type="cellIs" dxfId="3421" priority="335" operator="equal">
      <formula>0</formula>
    </cfRule>
    <cfRule type="cellIs" dxfId="3420" priority="336" operator="notEqual">
      <formula>0</formula>
    </cfRule>
  </conditionalFormatting>
  <conditionalFormatting sqref="AH13">
    <cfRule type="cellIs" dxfId="3419" priority="333" operator="equal">
      <formula>0</formula>
    </cfRule>
    <cfRule type="cellIs" dxfId="3418" priority="334" operator="notEqual">
      <formula>0</formula>
    </cfRule>
  </conditionalFormatting>
  <conditionalFormatting sqref="AI10">
    <cfRule type="cellIs" dxfId="3417" priority="331" operator="equal">
      <formula>0</formula>
    </cfRule>
    <cfRule type="cellIs" dxfId="3416" priority="332" operator="notEqual">
      <formula>0</formula>
    </cfRule>
  </conditionalFormatting>
  <conditionalFormatting sqref="AI13">
    <cfRule type="cellIs" dxfId="3415" priority="329" operator="equal">
      <formula>0</formula>
    </cfRule>
    <cfRule type="cellIs" dxfId="3414" priority="330" operator="notEqual">
      <formula>0</formula>
    </cfRule>
  </conditionalFormatting>
  <conditionalFormatting sqref="AJ10">
    <cfRule type="cellIs" dxfId="3413" priority="327" operator="equal">
      <formula>0</formula>
    </cfRule>
    <cfRule type="cellIs" dxfId="3412" priority="328" operator="notEqual">
      <formula>0</formula>
    </cfRule>
  </conditionalFormatting>
  <conditionalFormatting sqref="AJ13">
    <cfRule type="cellIs" dxfId="3411" priority="325" operator="equal">
      <formula>0</formula>
    </cfRule>
    <cfRule type="cellIs" dxfId="3410" priority="326" operator="notEqual">
      <formula>0</formula>
    </cfRule>
  </conditionalFormatting>
  <conditionalFormatting sqref="U74:U75">
    <cfRule type="cellIs" dxfId="3409" priority="323" operator="equal">
      <formula>0</formula>
    </cfRule>
    <cfRule type="cellIs" dxfId="3408" priority="324" operator="notEqual">
      <formula>0</formula>
    </cfRule>
  </conditionalFormatting>
  <conditionalFormatting sqref="U73">
    <cfRule type="cellIs" dxfId="3407" priority="322" operator="equal">
      <formula>1</formula>
    </cfRule>
  </conditionalFormatting>
  <conditionalFormatting sqref="V74:V75">
    <cfRule type="cellIs" dxfId="3406" priority="320" operator="equal">
      <formula>0</formula>
    </cfRule>
    <cfRule type="cellIs" dxfId="3405" priority="321" operator="notEqual">
      <formula>0</formula>
    </cfRule>
  </conditionalFormatting>
  <conditionalFormatting sqref="V73">
    <cfRule type="cellIs" dxfId="3404" priority="319" operator="equal">
      <formula>1</formula>
    </cfRule>
  </conditionalFormatting>
  <conditionalFormatting sqref="W74:W75">
    <cfRule type="cellIs" dxfId="3403" priority="317" operator="equal">
      <formula>0</formula>
    </cfRule>
    <cfRule type="cellIs" dxfId="3402" priority="318" operator="notEqual">
      <formula>0</formula>
    </cfRule>
  </conditionalFormatting>
  <conditionalFormatting sqref="W73">
    <cfRule type="cellIs" dxfId="3401" priority="316" operator="equal">
      <formula>1</formula>
    </cfRule>
  </conditionalFormatting>
  <conditionalFormatting sqref="X74:X75">
    <cfRule type="cellIs" dxfId="3400" priority="314" operator="equal">
      <formula>0</formula>
    </cfRule>
    <cfRule type="cellIs" dxfId="3399" priority="315" operator="notEqual">
      <formula>0</formula>
    </cfRule>
  </conditionalFormatting>
  <conditionalFormatting sqref="X73">
    <cfRule type="cellIs" dxfId="3398" priority="313" operator="equal">
      <formula>1</formula>
    </cfRule>
  </conditionalFormatting>
  <conditionalFormatting sqref="Y74:Y75">
    <cfRule type="cellIs" dxfId="3397" priority="311" operator="equal">
      <formula>0</formula>
    </cfRule>
    <cfRule type="cellIs" dxfId="3396" priority="312" operator="notEqual">
      <formula>0</formula>
    </cfRule>
  </conditionalFormatting>
  <conditionalFormatting sqref="Z74:Z75">
    <cfRule type="cellIs" dxfId="3395" priority="309" operator="equal">
      <formula>0</formula>
    </cfRule>
    <cfRule type="cellIs" dxfId="3394" priority="310" operator="notEqual">
      <formula>0</formula>
    </cfRule>
  </conditionalFormatting>
  <conditionalFormatting sqref="AA74:AA75">
    <cfRule type="cellIs" dxfId="3393" priority="307" operator="equal">
      <formula>0</formula>
    </cfRule>
    <cfRule type="cellIs" dxfId="3392" priority="308" operator="notEqual">
      <formula>0</formula>
    </cfRule>
  </conditionalFormatting>
  <conditionalFormatting sqref="AB74:AB75">
    <cfRule type="cellIs" dxfId="3391" priority="305" operator="equal">
      <formula>0</formula>
    </cfRule>
    <cfRule type="cellIs" dxfId="3390" priority="306" operator="notEqual">
      <formula>0</formula>
    </cfRule>
  </conditionalFormatting>
  <conditionalFormatting sqref="AG73">
    <cfRule type="cellIs" dxfId="3389" priority="303" operator="equal">
      <formula>0</formula>
    </cfRule>
    <cfRule type="cellIs" dxfId="3388" priority="304" operator="notEqual">
      <formula>0</formula>
    </cfRule>
  </conditionalFormatting>
  <conditionalFormatting sqref="AG76">
    <cfRule type="cellIs" dxfId="3387" priority="301" operator="equal">
      <formula>0</formula>
    </cfRule>
    <cfRule type="cellIs" dxfId="3386" priority="302" operator="notEqual">
      <formula>0</formula>
    </cfRule>
  </conditionalFormatting>
  <conditionalFormatting sqref="AH73">
    <cfRule type="cellIs" dxfId="3385" priority="299" operator="equal">
      <formula>0</formula>
    </cfRule>
    <cfRule type="cellIs" dxfId="3384" priority="300" operator="notEqual">
      <formula>0</formula>
    </cfRule>
  </conditionalFormatting>
  <conditionalFormatting sqref="AH76">
    <cfRule type="cellIs" dxfId="3383" priority="297" operator="equal">
      <formula>0</formula>
    </cfRule>
    <cfRule type="cellIs" dxfId="3382" priority="298" operator="notEqual">
      <formula>0</formula>
    </cfRule>
  </conditionalFormatting>
  <conditionalFormatting sqref="AI73">
    <cfRule type="cellIs" dxfId="3381" priority="295" operator="equal">
      <formula>0</formula>
    </cfRule>
    <cfRule type="cellIs" dxfId="3380" priority="296" operator="notEqual">
      <formula>0</formula>
    </cfRule>
  </conditionalFormatting>
  <conditionalFormatting sqref="AI76">
    <cfRule type="cellIs" dxfId="3379" priority="293" operator="equal">
      <formula>0</formula>
    </cfRule>
    <cfRule type="cellIs" dxfId="3378" priority="294" operator="notEqual">
      <formula>0</formula>
    </cfRule>
  </conditionalFormatting>
  <conditionalFormatting sqref="AJ73">
    <cfRule type="cellIs" dxfId="3377" priority="291" operator="equal">
      <formula>0</formula>
    </cfRule>
    <cfRule type="cellIs" dxfId="3376" priority="292" operator="notEqual">
      <formula>0</formula>
    </cfRule>
  </conditionalFormatting>
  <conditionalFormatting sqref="AJ76">
    <cfRule type="cellIs" dxfId="3375" priority="289" operator="equal">
      <formula>0</formula>
    </cfRule>
    <cfRule type="cellIs" dxfId="3374" priority="290" operator="notEqual">
      <formula>0</formula>
    </cfRule>
  </conditionalFormatting>
  <conditionalFormatting sqref="U81:U82">
    <cfRule type="cellIs" dxfId="3373" priority="287" operator="equal">
      <formula>0</formula>
    </cfRule>
    <cfRule type="cellIs" dxfId="3372" priority="288" operator="notEqual">
      <formula>0</formula>
    </cfRule>
  </conditionalFormatting>
  <conditionalFormatting sqref="U80">
    <cfRule type="cellIs" dxfId="3371" priority="286" operator="equal">
      <formula>1</formula>
    </cfRule>
  </conditionalFormatting>
  <conditionalFormatting sqref="V81:V82">
    <cfRule type="cellIs" dxfId="3370" priority="284" operator="equal">
      <formula>0</formula>
    </cfRule>
    <cfRule type="cellIs" dxfId="3369" priority="285" operator="notEqual">
      <formula>0</formula>
    </cfRule>
  </conditionalFormatting>
  <conditionalFormatting sqref="V80">
    <cfRule type="cellIs" dxfId="3368" priority="283" operator="equal">
      <formula>1</formula>
    </cfRule>
  </conditionalFormatting>
  <conditionalFormatting sqref="W81:W82">
    <cfRule type="cellIs" dxfId="3367" priority="281" operator="equal">
      <formula>0</formula>
    </cfRule>
    <cfRule type="cellIs" dxfId="3366" priority="282" operator="notEqual">
      <formula>0</formula>
    </cfRule>
  </conditionalFormatting>
  <conditionalFormatting sqref="W80">
    <cfRule type="cellIs" dxfId="3365" priority="280" operator="equal">
      <formula>1</formula>
    </cfRule>
  </conditionalFormatting>
  <conditionalFormatting sqref="X81:X82">
    <cfRule type="cellIs" dxfId="3364" priority="278" operator="equal">
      <formula>0</formula>
    </cfRule>
    <cfRule type="cellIs" dxfId="3363" priority="279" operator="notEqual">
      <formula>0</formula>
    </cfRule>
  </conditionalFormatting>
  <conditionalFormatting sqref="X80">
    <cfRule type="cellIs" dxfId="3362" priority="277" operator="equal">
      <formula>1</formula>
    </cfRule>
  </conditionalFormatting>
  <conditionalFormatting sqref="Y81:Y82">
    <cfRule type="cellIs" dxfId="3361" priority="275" operator="equal">
      <formula>0</formula>
    </cfRule>
    <cfRule type="cellIs" dxfId="3360" priority="276" operator="notEqual">
      <formula>0</formula>
    </cfRule>
  </conditionalFormatting>
  <conditionalFormatting sqref="Z81:Z82">
    <cfRule type="cellIs" dxfId="3359" priority="273" operator="equal">
      <formula>0</formula>
    </cfRule>
    <cfRule type="cellIs" dxfId="3358" priority="274" operator="notEqual">
      <formula>0</formula>
    </cfRule>
  </conditionalFormatting>
  <conditionalFormatting sqref="AA81:AA82">
    <cfRule type="cellIs" dxfId="3357" priority="271" operator="equal">
      <formula>0</formula>
    </cfRule>
    <cfRule type="cellIs" dxfId="3356" priority="272" operator="notEqual">
      <formula>0</formula>
    </cfRule>
  </conditionalFormatting>
  <conditionalFormatting sqref="AB81:AB82">
    <cfRule type="cellIs" dxfId="3355" priority="269" operator="equal">
      <formula>0</formula>
    </cfRule>
    <cfRule type="cellIs" dxfId="3354" priority="270" operator="notEqual">
      <formula>0</formula>
    </cfRule>
  </conditionalFormatting>
  <conditionalFormatting sqref="AG80">
    <cfRule type="cellIs" dxfId="3353" priority="267" operator="equal">
      <formula>0</formula>
    </cfRule>
    <cfRule type="cellIs" dxfId="3352" priority="268" operator="notEqual">
      <formula>0</formula>
    </cfRule>
  </conditionalFormatting>
  <conditionalFormatting sqref="AG83">
    <cfRule type="cellIs" dxfId="3351" priority="265" operator="equal">
      <formula>0</formula>
    </cfRule>
    <cfRule type="cellIs" dxfId="3350" priority="266" operator="notEqual">
      <formula>0</formula>
    </cfRule>
  </conditionalFormatting>
  <conditionalFormatting sqref="AH80">
    <cfRule type="cellIs" dxfId="3349" priority="263" operator="equal">
      <formula>0</formula>
    </cfRule>
    <cfRule type="cellIs" dxfId="3348" priority="264" operator="notEqual">
      <formula>0</formula>
    </cfRule>
  </conditionalFormatting>
  <conditionalFormatting sqref="AH83">
    <cfRule type="cellIs" dxfId="3347" priority="261" operator="equal">
      <formula>0</formula>
    </cfRule>
    <cfRule type="cellIs" dxfId="3346" priority="262" operator="notEqual">
      <formula>0</formula>
    </cfRule>
  </conditionalFormatting>
  <conditionalFormatting sqref="AI80">
    <cfRule type="cellIs" dxfId="3345" priority="259" operator="equal">
      <formula>0</formula>
    </cfRule>
    <cfRule type="cellIs" dxfId="3344" priority="260" operator="notEqual">
      <formula>0</formula>
    </cfRule>
  </conditionalFormatting>
  <conditionalFormatting sqref="AI83">
    <cfRule type="cellIs" dxfId="3343" priority="257" operator="equal">
      <formula>0</formula>
    </cfRule>
    <cfRule type="cellIs" dxfId="3342" priority="258" operator="notEqual">
      <formula>0</formula>
    </cfRule>
  </conditionalFormatting>
  <conditionalFormatting sqref="AJ80">
    <cfRule type="cellIs" dxfId="3341" priority="255" operator="equal">
      <formula>0</formula>
    </cfRule>
    <cfRule type="cellIs" dxfId="3340" priority="256" operator="notEqual">
      <formula>0</formula>
    </cfRule>
  </conditionalFormatting>
  <conditionalFormatting sqref="AJ83">
    <cfRule type="cellIs" dxfId="3339" priority="253" operator="equal">
      <formula>0</formula>
    </cfRule>
    <cfRule type="cellIs" dxfId="3338" priority="254" operator="notEqual">
      <formula>0</formula>
    </cfRule>
  </conditionalFormatting>
  <conditionalFormatting sqref="U88:U89">
    <cfRule type="cellIs" dxfId="3337" priority="251" operator="equal">
      <formula>0</formula>
    </cfRule>
    <cfRule type="cellIs" dxfId="3336" priority="252" operator="notEqual">
      <formula>0</formula>
    </cfRule>
  </conditionalFormatting>
  <conditionalFormatting sqref="U87">
    <cfRule type="cellIs" dxfId="3335" priority="250" operator="equal">
      <formula>1</formula>
    </cfRule>
  </conditionalFormatting>
  <conditionalFormatting sqref="V88:V89">
    <cfRule type="cellIs" dxfId="3334" priority="248" operator="equal">
      <formula>0</formula>
    </cfRule>
    <cfRule type="cellIs" dxfId="3333" priority="249" operator="notEqual">
      <formula>0</formula>
    </cfRule>
  </conditionalFormatting>
  <conditionalFormatting sqref="V87">
    <cfRule type="cellIs" dxfId="3332" priority="247" operator="equal">
      <formula>1</formula>
    </cfRule>
  </conditionalFormatting>
  <conditionalFormatting sqref="W88:W89">
    <cfRule type="cellIs" dxfId="3331" priority="245" operator="equal">
      <formula>0</formula>
    </cfRule>
    <cfRule type="cellIs" dxfId="3330" priority="246" operator="notEqual">
      <formula>0</formula>
    </cfRule>
  </conditionalFormatting>
  <conditionalFormatting sqref="W87">
    <cfRule type="cellIs" dxfId="3329" priority="244" operator="equal">
      <formula>1</formula>
    </cfRule>
  </conditionalFormatting>
  <conditionalFormatting sqref="X88:X89">
    <cfRule type="cellIs" dxfId="3328" priority="242" operator="equal">
      <formula>0</formula>
    </cfRule>
    <cfRule type="cellIs" dxfId="3327" priority="243" operator="notEqual">
      <formula>0</formula>
    </cfRule>
  </conditionalFormatting>
  <conditionalFormatting sqref="X87">
    <cfRule type="cellIs" dxfId="3326" priority="241" operator="equal">
      <formula>1</formula>
    </cfRule>
  </conditionalFormatting>
  <conditionalFormatting sqref="Y88:Y89">
    <cfRule type="cellIs" dxfId="3325" priority="239" operator="equal">
      <formula>0</formula>
    </cfRule>
    <cfRule type="cellIs" dxfId="3324" priority="240" operator="notEqual">
      <formula>0</formula>
    </cfRule>
  </conditionalFormatting>
  <conditionalFormatting sqref="Z88:Z89">
    <cfRule type="cellIs" dxfId="3323" priority="237" operator="equal">
      <formula>0</formula>
    </cfRule>
    <cfRule type="cellIs" dxfId="3322" priority="238" operator="notEqual">
      <formula>0</formula>
    </cfRule>
  </conditionalFormatting>
  <conditionalFormatting sqref="AA88:AA89">
    <cfRule type="cellIs" dxfId="3321" priority="235" operator="equal">
      <formula>0</formula>
    </cfRule>
    <cfRule type="cellIs" dxfId="3320" priority="236" operator="notEqual">
      <formula>0</formula>
    </cfRule>
  </conditionalFormatting>
  <conditionalFormatting sqref="AB88:AB89">
    <cfRule type="cellIs" dxfId="3319" priority="233" operator="equal">
      <formula>0</formula>
    </cfRule>
    <cfRule type="cellIs" dxfId="3318" priority="234" operator="notEqual">
      <formula>0</formula>
    </cfRule>
  </conditionalFormatting>
  <conditionalFormatting sqref="AG87">
    <cfRule type="cellIs" dxfId="3317" priority="231" operator="equal">
      <formula>0</formula>
    </cfRule>
    <cfRule type="cellIs" dxfId="3316" priority="232" operator="notEqual">
      <formula>0</formula>
    </cfRule>
  </conditionalFormatting>
  <conditionalFormatting sqref="AG90">
    <cfRule type="cellIs" dxfId="3315" priority="229" operator="equal">
      <formula>0</formula>
    </cfRule>
    <cfRule type="cellIs" dxfId="3314" priority="230" operator="notEqual">
      <formula>0</formula>
    </cfRule>
  </conditionalFormatting>
  <conditionalFormatting sqref="AH87">
    <cfRule type="cellIs" dxfId="3313" priority="227" operator="equal">
      <formula>0</formula>
    </cfRule>
    <cfRule type="cellIs" dxfId="3312" priority="228" operator="notEqual">
      <formula>0</formula>
    </cfRule>
  </conditionalFormatting>
  <conditionalFormatting sqref="AH90">
    <cfRule type="cellIs" dxfId="3311" priority="225" operator="equal">
      <formula>0</formula>
    </cfRule>
    <cfRule type="cellIs" dxfId="3310" priority="226" operator="notEqual">
      <formula>0</formula>
    </cfRule>
  </conditionalFormatting>
  <conditionalFormatting sqref="AI87">
    <cfRule type="cellIs" dxfId="3309" priority="223" operator="equal">
      <formula>0</formula>
    </cfRule>
    <cfRule type="cellIs" dxfId="3308" priority="224" operator="notEqual">
      <formula>0</formula>
    </cfRule>
  </conditionalFormatting>
  <conditionalFormatting sqref="AI90">
    <cfRule type="cellIs" dxfId="3307" priority="221" operator="equal">
      <formula>0</formula>
    </cfRule>
    <cfRule type="cellIs" dxfId="3306" priority="222" operator="notEqual">
      <formula>0</formula>
    </cfRule>
  </conditionalFormatting>
  <conditionalFormatting sqref="AJ87">
    <cfRule type="cellIs" dxfId="3305" priority="219" operator="equal">
      <formula>0</formula>
    </cfRule>
    <cfRule type="cellIs" dxfId="3304" priority="220" operator="notEqual">
      <formula>0</formula>
    </cfRule>
  </conditionalFormatting>
  <conditionalFormatting sqref="AJ90">
    <cfRule type="cellIs" dxfId="3303" priority="217" operator="equal">
      <formula>0</formula>
    </cfRule>
    <cfRule type="cellIs" dxfId="3302" priority="218" operator="notEqual">
      <formula>0</formula>
    </cfRule>
  </conditionalFormatting>
  <conditionalFormatting sqref="U95:U96">
    <cfRule type="cellIs" dxfId="3301" priority="215" operator="equal">
      <formula>0</formula>
    </cfRule>
    <cfRule type="cellIs" dxfId="3300" priority="216" operator="notEqual">
      <formula>0</formula>
    </cfRule>
  </conditionalFormatting>
  <conditionalFormatting sqref="U94">
    <cfRule type="cellIs" dxfId="3299" priority="214" operator="equal">
      <formula>1</formula>
    </cfRule>
  </conditionalFormatting>
  <conditionalFormatting sqref="V95:V96">
    <cfRule type="cellIs" dxfId="3298" priority="212" operator="equal">
      <formula>0</formula>
    </cfRule>
    <cfRule type="cellIs" dxfId="3297" priority="213" operator="notEqual">
      <formula>0</formula>
    </cfRule>
  </conditionalFormatting>
  <conditionalFormatting sqref="V94">
    <cfRule type="cellIs" dxfId="3296" priority="211" operator="equal">
      <formula>1</formula>
    </cfRule>
  </conditionalFormatting>
  <conditionalFormatting sqref="W95:W96">
    <cfRule type="cellIs" dxfId="3295" priority="209" operator="equal">
      <formula>0</formula>
    </cfRule>
    <cfRule type="cellIs" dxfId="3294" priority="210" operator="notEqual">
      <formula>0</formula>
    </cfRule>
  </conditionalFormatting>
  <conditionalFormatting sqref="W94">
    <cfRule type="cellIs" dxfId="3293" priority="208" operator="equal">
      <formula>1</formula>
    </cfRule>
  </conditionalFormatting>
  <conditionalFormatting sqref="X95:X96">
    <cfRule type="cellIs" dxfId="3292" priority="206" operator="equal">
      <formula>0</formula>
    </cfRule>
    <cfRule type="cellIs" dxfId="3291" priority="207" operator="notEqual">
      <formula>0</formula>
    </cfRule>
  </conditionalFormatting>
  <conditionalFormatting sqref="X94">
    <cfRule type="cellIs" dxfId="3290" priority="205" operator="equal">
      <formula>1</formula>
    </cfRule>
  </conditionalFormatting>
  <conditionalFormatting sqref="Y95:Y96">
    <cfRule type="cellIs" dxfId="3289" priority="203" operator="equal">
      <formula>0</formula>
    </cfRule>
    <cfRule type="cellIs" dxfId="3288" priority="204" operator="notEqual">
      <formula>0</formula>
    </cfRule>
  </conditionalFormatting>
  <conditionalFormatting sqref="Z95:Z96">
    <cfRule type="cellIs" dxfId="3287" priority="201" operator="equal">
      <formula>0</formula>
    </cfRule>
    <cfRule type="cellIs" dxfId="3286" priority="202" operator="notEqual">
      <formula>0</formula>
    </cfRule>
  </conditionalFormatting>
  <conditionalFormatting sqref="AA95:AA96">
    <cfRule type="cellIs" dxfId="3285" priority="199" operator="equal">
      <formula>0</formula>
    </cfRule>
    <cfRule type="cellIs" dxfId="3284" priority="200" operator="notEqual">
      <formula>0</formula>
    </cfRule>
  </conditionalFormatting>
  <conditionalFormatting sqref="AB95:AB96">
    <cfRule type="cellIs" dxfId="3283" priority="197" operator="equal">
      <formula>0</formula>
    </cfRule>
    <cfRule type="cellIs" dxfId="3282" priority="198" operator="notEqual">
      <formula>0</formula>
    </cfRule>
  </conditionalFormatting>
  <conditionalFormatting sqref="AG94">
    <cfRule type="cellIs" dxfId="3281" priority="195" operator="equal">
      <formula>0</formula>
    </cfRule>
    <cfRule type="cellIs" dxfId="3280" priority="196" operator="notEqual">
      <formula>0</formula>
    </cfRule>
  </conditionalFormatting>
  <conditionalFormatting sqref="AG97">
    <cfRule type="cellIs" dxfId="3279" priority="193" operator="equal">
      <formula>0</formula>
    </cfRule>
    <cfRule type="cellIs" dxfId="3278" priority="194" operator="notEqual">
      <formula>0</formula>
    </cfRule>
  </conditionalFormatting>
  <conditionalFormatting sqref="AH94">
    <cfRule type="cellIs" dxfId="3277" priority="191" operator="equal">
      <formula>0</formula>
    </cfRule>
    <cfRule type="cellIs" dxfId="3276" priority="192" operator="notEqual">
      <formula>0</formula>
    </cfRule>
  </conditionalFormatting>
  <conditionalFormatting sqref="AH97">
    <cfRule type="cellIs" dxfId="3275" priority="189" operator="equal">
      <formula>0</formula>
    </cfRule>
    <cfRule type="cellIs" dxfId="3274" priority="190" operator="notEqual">
      <formula>0</formula>
    </cfRule>
  </conditionalFormatting>
  <conditionalFormatting sqref="AI94">
    <cfRule type="cellIs" dxfId="3273" priority="187" operator="equal">
      <formula>0</formula>
    </cfRule>
    <cfRule type="cellIs" dxfId="3272" priority="188" operator="notEqual">
      <formula>0</formula>
    </cfRule>
  </conditionalFormatting>
  <conditionalFormatting sqref="AI97">
    <cfRule type="cellIs" dxfId="3271" priority="185" operator="equal">
      <formula>0</formula>
    </cfRule>
    <cfRule type="cellIs" dxfId="3270" priority="186" operator="notEqual">
      <formula>0</formula>
    </cfRule>
  </conditionalFormatting>
  <conditionalFormatting sqref="AJ94">
    <cfRule type="cellIs" dxfId="3269" priority="183" operator="equal">
      <formula>0</formula>
    </cfRule>
    <cfRule type="cellIs" dxfId="3268" priority="184" operator="notEqual">
      <formula>0</formula>
    </cfRule>
  </conditionalFormatting>
  <conditionalFormatting sqref="AJ97">
    <cfRule type="cellIs" dxfId="3267" priority="181" operator="equal">
      <formula>0</formula>
    </cfRule>
    <cfRule type="cellIs" dxfId="3266" priority="182" operator="notEqual">
      <formula>0</formula>
    </cfRule>
  </conditionalFormatting>
  <conditionalFormatting sqref="U102:U103">
    <cfRule type="cellIs" dxfId="3265" priority="179" operator="equal">
      <formula>0</formula>
    </cfRule>
    <cfRule type="cellIs" dxfId="3264" priority="180" operator="notEqual">
      <formula>0</formula>
    </cfRule>
  </conditionalFormatting>
  <conditionalFormatting sqref="U101">
    <cfRule type="cellIs" dxfId="3263" priority="178" operator="equal">
      <formula>1</formula>
    </cfRule>
  </conditionalFormatting>
  <conditionalFormatting sqref="V102:V103">
    <cfRule type="cellIs" dxfId="3262" priority="176" operator="equal">
      <formula>0</formula>
    </cfRule>
    <cfRule type="cellIs" dxfId="3261" priority="177" operator="notEqual">
      <formula>0</formula>
    </cfRule>
  </conditionalFormatting>
  <conditionalFormatting sqref="V101">
    <cfRule type="cellIs" dxfId="3260" priority="175" operator="equal">
      <formula>1</formula>
    </cfRule>
  </conditionalFormatting>
  <conditionalFormatting sqref="W102:W103">
    <cfRule type="cellIs" dxfId="3259" priority="173" operator="equal">
      <formula>0</formula>
    </cfRule>
    <cfRule type="cellIs" dxfId="3258" priority="174" operator="notEqual">
      <formula>0</formula>
    </cfRule>
  </conditionalFormatting>
  <conditionalFormatting sqref="W101">
    <cfRule type="cellIs" dxfId="3257" priority="172" operator="equal">
      <formula>1</formula>
    </cfRule>
  </conditionalFormatting>
  <conditionalFormatting sqref="X102:X103">
    <cfRule type="cellIs" dxfId="3256" priority="170" operator="equal">
      <formula>0</formula>
    </cfRule>
    <cfRule type="cellIs" dxfId="3255" priority="171" operator="notEqual">
      <formula>0</formula>
    </cfRule>
  </conditionalFormatting>
  <conditionalFormatting sqref="X101">
    <cfRule type="cellIs" dxfId="3254" priority="169" operator="equal">
      <formula>1</formula>
    </cfRule>
  </conditionalFormatting>
  <conditionalFormatting sqref="Y102:Y103">
    <cfRule type="cellIs" dxfId="3253" priority="167" operator="equal">
      <formula>0</formula>
    </cfRule>
    <cfRule type="cellIs" dxfId="3252" priority="168" operator="notEqual">
      <formula>0</formula>
    </cfRule>
  </conditionalFormatting>
  <conditionalFormatting sqref="Z102:Z103">
    <cfRule type="cellIs" dxfId="3251" priority="165" operator="equal">
      <formula>0</formula>
    </cfRule>
    <cfRule type="cellIs" dxfId="3250" priority="166" operator="notEqual">
      <formula>0</formula>
    </cfRule>
  </conditionalFormatting>
  <conditionalFormatting sqref="AA102:AA103">
    <cfRule type="cellIs" dxfId="3249" priority="163" operator="equal">
      <formula>0</formula>
    </cfRule>
    <cfRule type="cellIs" dxfId="3248" priority="164" operator="notEqual">
      <formula>0</formula>
    </cfRule>
  </conditionalFormatting>
  <conditionalFormatting sqref="AB102:AB103">
    <cfRule type="cellIs" dxfId="3247" priority="161" operator="equal">
      <formula>0</formula>
    </cfRule>
    <cfRule type="cellIs" dxfId="3246" priority="162" operator="notEqual">
      <formula>0</formula>
    </cfRule>
  </conditionalFormatting>
  <conditionalFormatting sqref="AG101">
    <cfRule type="cellIs" dxfId="3245" priority="159" operator="equal">
      <formula>0</formula>
    </cfRule>
    <cfRule type="cellIs" dxfId="3244" priority="160" operator="notEqual">
      <formula>0</formula>
    </cfRule>
  </conditionalFormatting>
  <conditionalFormatting sqref="AG104">
    <cfRule type="cellIs" dxfId="3243" priority="157" operator="equal">
      <formula>0</formula>
    </cfRule>
    <cfRule type="cellIs" dxfId="3242" priority="158" operator="notEqual">
      <formula>0</formula>
    </cfRule>
  </conditionalFormatting>
  <conditionalFormatting sqref="AH101">
    <cfRule type="cellIs" dxfId="3241" priority="155" operator="equal">
      <formula>0</formula>
    </cfRule>
    <cfRule type="cellIs" dxfId="3240" priority="156" operator="notEqual">
      <formula>0</formula>
    </cfRule>
  </conditionalFormatting>
  <conditionalFormatting sqref="AH104">
    <cfRule type="cellIs" dxfId="3239" priority="153" operator="equal">
      <formula>0</formula>
    </cfRule>
    <cfRule type="cellIs" dxfId="3238" priority="154" operator="notEqual">
      <formula>0</formula>
    </cfRule>
  </conditionalFormatting>
  <conditionalFormatting sqref="AI101">
    <cfRule type="cellIs" dxfId="3237" priority="151" operator="equal">
      <formula>0</formula>
    </cfRule>
    <cfRule type="cellIs" dxfId="3236" priority="152" operator="notEqual">
      <formula>0</formula>
    </cfRule>
  </conditionalFormatting>
  <conditionalFormatting sqref="AI104">
    <cfRule type="cellIs" dxfId="3235" priority="149" operator="equal">
      <formula>0</formula>
    </cfRule>
    <cfRule type="cellIs" dxfId="3234" priority="150" operator="notEqual">
      <formula>0</formula>
    </cfRule>
  </conditionalFormatting>
  <conditionalFormatting sqref="AJ101">
    <cfRule type="cellIs" dxfId="3233" priority="147" operator="equal">
      <formula>0</formula>
    </cfRule>
    <cfRule type="cellIs" dxfId="3232" priority="148" operator="notEqual">
      <formula>0</formula>
    </cfRule>
  </conditionalFormatting>
  <conditionalFormatting sqref="AJ104">
    <cfRule type="cellIs" dxfId="3231" priority="145" operator="equal">
      <formula>0</formula>
    </cfRule>
    <cfRule type="cellIs" dxfId="3230" priority="146" operator="notEqual">
      <formula>0</formula>
    </cfRule>
  </conditionalFormatting>
  <conditionalFormatting sqref="C81:C82">
    <cfRule type="cellIs" dxfId="3229" priority="143" operator="equal">
      <formula>0</formula>
    </cfRule>
    <cfRule type="cellIs" dxfId="3228" priority="144" operator="notEqual">
      <formula>0</formula>
    </cfRule>
  </conditionalFormatting>
  <conditionalFormatting sqref="C80">
    <cfRule type="cellIs" dxfId="3227" priority="142" operator="equal">
      <formula>1</formula>
    </cfRule>
  </conditionalFormatting>
  <conditionalFormatting sqref="D81:D82">
    <cfRule type="cellIs" dxfId="3226" priority="140" operator="equal">
      <formula>0</formula>
    </cfRule>
    <cfRule type="cellIs" dxfId="3225" priority="141" operator="notEqual">
      <formula>0</formula>
    </cfRule>
  </conditionalFormatting>
  <conditionalFormatting sqref="D80">
    <cfRule type="cellIs" dxfId="3224" priority="139" operator="equal">
      <formula>1</formula>
    </cfRule>
  </conditionalFormatting>
  <conditionalFormatting sqref="E81:E82">
    <cfRule type="cellIs" dxfId="3223" priority="137" operator="equal">
      <formula>0</formula>
    </cfRule>
    <cfRule type="cellIs" dxfId="3222" priority="138" operator="notEqual">
      <formula>0</formula>
    </cfRule>
  </conditionalFormatting>
  <conditionalFormatting sqref="E80">
    <cfRule type="cellIs" dxfId="3221" priority="136" operator="equal">
      <formula>1</formula>
    </cfRule>
  </conditionalFormatting>
  <conditionalFormatting sqref="F81:F82">
    <cfRule type="cellIs" dxfId="3220" priority="134" operator="equal">
      <formula>0</formula>
    </cfRule>
    <cfRule type="cellIs" dxfId="3219" priority="135" operator="notEqual">
      <formula>0</formula>
    </cfRule>
  </conditionalFormatting>
  <conditionalFormatting sqref="F80">
    <cfRule type="cellIs" dxfId="3218" priority="133" operator="equal">
      <formula>1</formula>
    </cfRule>
  </conditionalFormatting>
  <conditionalFormatting sqref="G81:G82">
    <cfRule type="cellIs" dxfId="3217" priority="131" operator="equal">
      <formula>0</formula>
    </cfRule>
    <cfRule type="cellIs" dxfId="3216" priority="132" operator="notEqual">
      <formula>0</formula>
    </cfRule>
  </conditionalFormatting>
  <conditionalFormatting sqref="H81:H82">
    <cfRule type="cellIs" dxfId="3215" priority="129" operator="equal">
      <formula>0</formula>
    </cfRule>
    <cfRule type="cellIs" dxfId="3214" priority="130" operator="notEqual">
      <formula>0</formula>
    </cfRule>
  </conditionalFormatting>
  <conditionalFormatting sqref="I81:I82">
    <cfRule type="cellIs" dxfId="3213" priority="127" operator="equal">
      <formula>0</formula>
    </cfRule>
    <cfRule type="cellIs" dxfId="3212" priority="128" operator="notEqual">
      <formula>0</formula>
    </cfRule>
  </conditionalFormatting>
  <conditionalFormatting sqref="J81:J82">
    <cfRule type="cellIs" dxfId="3211" priority="125" operator="equal">
      <formula>0</formula>
    </cfRule>
    <cfRule type="cellIs" dxfId="3210" priority="126" operator="notEqual">
      <formula>0</formula>
    </cfRule>
  </conditionalFormatting>
  <conditionalFormatting sqref="O80">
    <cfRule type="cellIs" dxfId="3209" priority="123" operator="equal">
      <formula>0</formula>
    </cfRule>
    <cfRule type="cellIs" dxfId="3208" priority="124" operator="notEqual">
      <formula>0</formula>
    </cfRule>
  </conditionalFormatting>
  <conditionalFormatting sqref="O83">
    <cfRule type="cellIs" dxfId="3207" priority="121" operator="equal">
      <formula>0</formula>
    </cfRule>
    <cfRule type="cellIs" dxfId="3206" priority="122" operator="notEqual">
      <formula>0</formula>
    </cfRule>
  </conditionalFormatting>
  <conditionalFormatting sqref="P80">
    <cfRule type="cellIs" dxfId="3205" priority="119" operator="equal">
      <formula>0</formula>
    </cfRule>
    <cfRule type="cellIs" dxfId="3204" priority="120" operator="notEqual">
      <formula>0</formula>
    </cfRule>
  </conditionalFormatting>
  <conditionalFormatting sqref="P83">
    <cfRule type="cellIs" dxfId="3203" priority="117" operator="equal">
      <formula>0</formula>
    </cfRule>
    <cfRule type="cellIs" dxfId="3202" priority="118" operator="notEqual">
      <formula>0</formula>
    </cfRule>
  </conditionalFormatting>
  <conditionalFormatting sqref="Q80">
    <cfRule type="cellIs" dxfId="3201" priority="115" operator="equal">
      <formula>0</formula>
    </cfRule>
    <cfRule type="cellIs" dxfId="3200" priority="116" operator="notEqual">
      <formula>0</formula>
    </cfRule>
  </conditionalFormatting>
  <conditionalFormatting sqref="Q83">
    <cfRule type="cellIs" dxfId="3199" priority="113" operator="equal">
      <formula>0</formula>
    </cfRule>
    <cfRule type="cellIs" dxfId="3198" priority="114" operator="notEqual">
      <formula>0</formula>
    </cfRule>
  </conditionalFormatting>
  <conditionalFormatting sqref="R80">
    <cfRule type="cellIs" dxfId="3197" priority="111" operator="equal">
      <formula>0</formula>
    </cfRule>
    <cfRule type="cellIs" dxfId="3196" priority="112" operator="notEqual">
      <formula>0</formula>
    </cfRule>
  </conditionalFormatting>
  <conditionalFormatting sqref="R83">
    <cfRule type="cellIs" dxfId="3195" priority="109" operator="equal">
      <formula>0</formula>
    </cfRule>
    <cfRule type="cellIs" dxfId="3194" priority="110" operator="notEqual">
      <formula>0</formula>
    </cfRule>
  </conditionalFormatting>
  <conditionalFormatting sqref="C88:C89">
    <cfRule type="cellIs" dxfId="3193" priority="107" operator="equal">
      <formula>0</formula>
    </cfRule>
    <cfRule type="cellIs" dxfId="3192" priority="108" operator="notEqual">
      <formula>0</formula>
    </cfRule>
  </conditionalFormatting>
  <conditionalFormatting sqref="C87">
    <cfRule type="cellIs" dxfId="3191" priority="106" operator="equal">
      <formula>1</formula>
    </cfRule>
  </conditionalFormatting>
  <conditionalFormatting sqref="D88:D89">
    <cfRule type="cellIs" dxfId="3190" priority="104" operator="equal">
      <formula>0</formula>
    </cfRule>
    <cfRule type="cellIs" dxfId="3189" priority="105" operator="notEqual">
      <formula>0</formula>
    </cfRule>
  </conditionalFormatting>
  <conditionalFormatting sqref="D87">
    <cfRule type="cellIs" dxfId="3188" priority="103" operator="equal">
      <formula>1</formula>
    </cfRule>
  </conditionalFormatting>
  <conditionalFormatting sqref="E88:E89">
    <cfRule type="cellIs" dxfId="3187" priority="101" operator="equal">
      <formula>0</formula>
    </cfRule>
    <cfRule type="cellIs" dxfId="3186" priority="102" operator="notEqual">
      <formula>0</formula>
    </cfRule>
  </conditionalFormatting>
  <conditionalFormatting sqref="E87">
    <cfRule type="cellIs" dxfId="3185" priority="100" operator="equal">
      <formula>1</formula>
    </cfRule>
  </conditionalFormatting>
  <conditionalFormatting sqref="F88:F89">
    <cfRule type="cellIs" dxfId="3184" priority="98" operator="equal">
      <formula>0</formula>
    </cfRule>
    <cfRule type="cellIs" dxfId="3183" priority="99" operator="notEqual">
      <formula>0</formula>
    </cfRule>
  </conditionalFormatting>
  <conditionalFormatting sqref="F87">
    <cfRule type="cellIs" dxfId="3182" priority="97" operator="equal">
      <formula>1</formula>
    </cfRule>
  </conditionalFormatting>
  <conditionalFormatting sqref="G88:G89">
    <cfRule type="cellIs" dxfId="3181" priority="95" operator="equal">
      <formula>0</formula>
    </cfRule>
    <cfRule type="cellIs" dxfId="3180" priority="96" operator="notEqual">
      <formula>0</formula>
    </cfRule>
  </conditionalFormatting>
  <conditionalFormatting sqref="H88:H89">
    <cfRule type="cellIs" dxfId="3179" priority="93" operator="equal">
      <formula>0</formula>
    </cfRule>
    <cfRule type="cellIs" dxfId="3178" priority="94" operator="notEqual">
      <formula>0</formula>
    </cfRule>
  </conditionalFormatting>
  <conditionalFormatting sqref="I88:I89">
    <cfRule type="cellIs" dxfId="3177" priority="91" operator="equal">
      <formula>0</formula>
    </cfRule>
    <cfRule type="cellIs" dxfId="3176" priority="92" operator="notEqual">
      <formula>0</formula>
    </cfRule>
  </conditionalFormatting>
  <conditionalFormatting sqref="J88:J89">
    <cfRule type="cellIs" dxfId="3175" priority="89" operator="equal">
      <formula>0</formula>
    </cfRule>
    <cfRule type="cellIs" dxfId="3174" priority="90" operator="notEqual">
      <formula>0</formula>
    </cfRule>
  </conditionalFormatting>
  <conditionalFormatting sqref="O87">
    <cfRule type="cellIs" dxfId="3173" priority="87" operator="equal">
      <formula>0</formula>
    </cfRule>
    <cfRule type="cellIs" dxfId="3172" priority="88" operator="notEqual">
      <formula>0</formula>
    </cfRule>
  </conditionalFormatting>
  <conditionalFormatting sqref="O90">
    <cfRule type="cellIs" dxfId="3171" priority="85" operator="equal">
      <formula>0</formula>
    </cfRule>
    <cfRule type="cellIs" dxfId="3170" priority="86" operator="notEqual">
      <formula>0</formula>
    </cfRule>
  </conditionalFormatting>
  <conditionalFormatting sqref="P87">
    <cfRule type="cellIs" dxfId="3169" priority="83" operator="equal">
      <formula>0</formula>
    </cfRule>
    <cfRule type="cellIs" dxfId="3168" priority="84" operator="notEqual">
      <formula>0</formula>
    </cfRule>
  </conditionalFormatting>
  <conditionalFormatting sqref="P90">
    <cfRule type="cellIs" dxfId="3167" priority="81" operator="equal">
      <formula>0</formula>
    </cfRule>
    <cfRule type="cellIs" dxfId="3166" priority="82" operator="notEqual">
      <formula>0</formula>
    </cfRule>
  </conditionalFormatting>
  <conditionalFormatting sqref="Q87">
    <cfRule type="cellIs" dxfId="3165" priority="79" operator="equal">
      <formula>0</formula>
    </cfRule>
    <cfRule type="cellIs" dxfId="3164" priority="80" operator="notEqual">
      <formula>0</formula>
    </cfRule>
  </conditionalFormatting>
  <conditionalFormatting sqref="Q90">
    <cfRule type="cellIs" dxfId="3163" priority="77" operator="equal">
      <formula>0</formula>
    </cfRule>
    <cfRule type="cellIs" dxfId="3162" priority="78" operator="notEqual">
      <formula>0</formula>
    </cfRule>
  </conditionalFormatting>
  <conditionalFormatting sqref="R87">
    <cfRule type="cellIs" dxfId="3161" priority="75" operator="equal">
      <formula>0</formula>
    </cfRule>
    <cfRule type="cellIs" dxfId="3160" priority="76" operator="notEqual">
      <formula>0</formula>
    </cfRule>
  </conditionalFormatting>
  <conditionalFormatting sqref="R90">
    <cfRule type="cellIs" dxfId="3159" priority="73" operator="equal">
      <formula>0</formula>
    </cfRule>
    <cfRule type="cellIs" dxfId="3158" priority="74" operator="notEqual">
      <formula>0</formula>
    </cfRule>
  </conditionalFormatting>
  <conditionalFormatting sqref="C95:C96">
    <cfRule type="cellIs" dxfId="3157" priority="71" operator="equal">
      <formula>0</formula>
    </cfRule>
    <cfRule type="cellIs" dxfId="3156" priority="72" operator="notEqual">
      <formula>0</formula>
    </cfRule>
  </conditionalFormatting>
  <conditionalFormatting sqref="C94">
    <cfRule type="cellIs" dxfId="3155" priority="70" operator="equal">
      <formula>1</formula>
    </cfRule>
  </conditionalFormatting>
  <conditionalFormatting sqref="D95:D96">
    <cfRule type="cellIs" dxfId="3154" priority="68" operator="equal">
      <formula>0</formula>
    </cfRule>
    <cfRule type="cellIs" dxfId="3153" priority="69" operator="notEqual">
      <formula>0</formula>
    </cfRule>
  </conditionalFormatting>
  <conditionalFormatting sqref="D94">
    <cfRule type="cellIs" dxfId="3152" priority="67" operator="equal">
      <formula>1</formula>
    </cfRule>
  </conditionalFormatting>
  <conditionalFormatting sqref="E95:E96">
    <cfRule type="cellIs" dxfId="3151" priority="65" operator="equal">
      <formula>0</formula>
    </cfRule>
    <cfRule type="cellIs" dxfId="3150" priority="66" operator="notEqual">
      <formula>0</formula>
    </cfRule>
  </conditionalFormatting>
  <conditionalFormatting sqref="E94">
    <cfRule type="cellIs" dxfId="3149" priority="64" operator="equal">
      <formula>1</formula>
    </cfRule>
  </conditionalFormatting>
  <conditionalFormatting sqref="F95:F96">
    <cfRule type="cellIs" dxfId="3148" priority="62" operator="equal">
      <formula>0</formula>
    </cfRule>
    <cfRule type="cellIs" dxfId="3147" priority="63" operator="notEqual">
      <formula>0</formula>
    </cfRule>
  </conditionalFormatting>
  <conditionalFormatting sqref="F94">
    <cfRule type="cellIs" dxfId="3146" priority="61" operator="equal">
      <formula>1</formula>
    </cfRule>
  </conditionalFormatting>
  <conditionalFormatting sqref="G95:G96">
    <cfRule type="cellIs" dxfId="3145" priority="59" operator="equal">
      <formula>0</formula>
    </cfRule>
    <cfRule type="cellIs" dxfId="3144" priority="60" operator="notEqual">
      <formula>0</formula>
    </cfRule>
  </conditionalFormatting>
  <conditionalFormatting sqref="H95:H96">
    <cfRule type="cellIs" dxfId="3143" priority="57" operator="equal">
      <formula>0</formula>
    </cfRule>
    <cfRule type="cellIs" dxfId="3142" priority="58" operator="notEqual">
      <formula>0</formula>
    </cfRule>
  </conditionalFormatting>
  <conditionalFormatting sqref="I95:I96">
    <cfRule type="cellIs" dxfId="3141" priority="55" operator="equal">
      <formula>0</formula>
    </cfRule>
    <cfRule type="cellIs" dxfId="3140" priority="56" operator="notEqual">
      <formula>0</formula>
    </cfRule>
  </conditionalFormatting>
  <conditionalFormatting sqref="J95:J96">
    <cfRule type="cellIs" dxfId="3139" priority="53" operator="equal">
      <formula>0</formula>
    </cfRule>
    <cfRule type="cellIs" dxfId="3138" priority="54" operator="notEqual">
      <formula>0</formula>
    </cfRule>
  </conditionalFormatting>
  <conditionalFormatting sqref="O94">
    <cfRule type="cellIs" dxfId="3137" priority="51" operator="equal">
      <formula>0</formula>
    </cfRule>
    <cfRule type="cellIs" dxfId="3136" priority="52" operator="notEqual">
      <formula>0</formula>
    </cfRule>
  </conditionalFormatting>
  <conditionalFormatting sqref="O97">
    <cfRule type="cellIs" dxfId="3135" priority="49" operator="equal">
      <formula>0</formula>
    </cfRule>
    <cfRule type="cellIs" dxfId="3134" priority="50" operator="notEqual">
      <formula>0</formula>
    </cfRule>
  </conditionalFormatting>
  <conditionalFormatting sqref="P94">
    <cfRule type="cellIs" dxfId="3133" priority="47" operator="equal">
      <formula>0</formula>
    </cfRule>
    <cfRule type="cellIs" dxfId="3132" priority="48" operator="notEqual">
      <formula>0</formula>
    </cfRule>
  </conditionalFormatting>
  <conditionalFormatting sqref="P97">
    <cfRule type="cellIs" dxfId="3131" priority="45" operator="equal">
      <formula>0</formula>
    </cfRule>
    <cfRule type="cellIs" dxfId="3130" priority="46" operator="notEqual">
      <formula>0</formula>
    </cfRule>
  </conditionalFormatting>
  <conditionalFormatting sqref="Q94">
    <cfRule type="cellIs" dxfId="3129" priority="43" operator="equal">
      <formula>0</formula>
    </cfRule>
    <cfRule type="cellIs" dxfId="3128" priority="44" operator="notEqual">
      <formula>0</formula>
    </cfRule>
  </conditionalFormatting>
  <conditionalFormatting sqref="Q97">
    <cfRule type="cellIs" dxfId="3127" priority="41" operator="equal">
      <formula>0</formula>
    </cfRule>
    <cfRule type="cellIs" dxfId="3126" priority="42" operator="notEqual">
      <formula>0</formula>
    </cfRule>
  </conditionalFormatting>
  <conditionalFormatting sqref="R94">
    <cfRule type="cellIs" dxfId="3125" priority="39" operator="equal">
      <formula>0</formula>
    </cfRule>
    <cfRule type="cellIs" dxfId="3124" priority="40" operator="notEqual">
      <formula>0</formula>
    </cfRule>
  </conditionalFormatting>
  <conditionalFormatting sqref="R97">
    <cfRule type="cellIs" dxfId="3123" priority="37" operator="equal">
      <formula>0</formula>
    </cfRule>
    <cfRule type="cellIs" dxfId="3122" priority="38" operator="notEqual">
      <formula>0</formula>
    </cfRule>
  </conditionalFormatting>
  <conditionalFormatting sqref="C102:C103">
    <cfRule type="cellIs" dxfId="3121" priority="35" operator="equal">
      <formula>0</formula>
    </cfRule>
    <cfRule type="cellIs" dxfId="3120" priority="36" operator="notEqual">
      <formula>0</formula>
    </cfRule>
  </conditionalFormatting>
  <conditionalFormatting sqref="C101">
    <cfRule type="cellIs" dxfId="3119" priority="34" operator="equal">
      <formula>1</formula>
    </cfRule>
  </conditionalFormatting>
  <conditionalFormatting sqref="D102:D103">
    <cfRule type="cellIs" dxfId="3118" priority="32" operator="equal">
      <formula>0</formula>
    </cfRule>
    <cfRule type="cellIs" dxfId="3117" priority="33" operator="notEqual">
      <formula>0</formula>
    </cfRule>
  </conditionalFormatting>
  <conditionalFormatting sqref="D101">
    <cfRule type="cellIs" dxfId="3116" priority="31" operator="equal">
      <formula>1</formula>
    </cfRule>
  </conditionalFormatting>
  <conditionalFormatting sqref="E102:E103">
    <cfRule type="cellIs" dxfId="3115" priority="29" operator="equal">
      <formula>0</formula>
    </cfRule>
    <cfRule type="cellIs" dxfId="3114" priority="30" operator="notEqual">
      <formula>0</formula>
    </cfRule>
  </conditionalFormatting>
  <conditionalFormatting sqref="E101">
    <cfRule type="cellIs" dxfId="3113" priority="28" operator="equal">
      <formula>1</formula>
    </cfRule>
  </conditionalFormatting>
  <conditionalFormatting sqref="F102:F103">
    <cfRule type="cellIs" dxfId="3112" priority="26" operator="equal">
      <formula>0</formula>
    </cfRule>
    <cfRule type="cellIs" dxfId="3111" priority="27" operator="notEqual">
      <formula>0</formula>
    </cfRule>
  </conditionalFormatting>
  <conditionalFormatting sqref="F101">
    <cfRule type="cellIs" dxfId="3110" priority="25" operator="equal">
      <formula>1</formula>
    </cfRule>
  </conditionalFormatting>
  <conditionalFormatting sqref="G102:G103">
    <cfRule type="cellIs" dxfId="3109" priority="23" operator="equal">
      <formula>0</formula>
    </cfRule>
    <cfRule type="cellIs" dxfId="3108" priority="24" operator="notEqual">
      <formula>0</formula>
    </cfRule>
  </conditionalFormatting>
  <conditionalFormatting sqref="H102:H103">
    <cfRule type="cellIs" dxfId="3107" priority="21" operator="equal">
      <formula>0</formula>
    </cfRule>
    <cfRule type="cellIs" dxfId="3106" priority="22" operator="notEqual">
      <formula>0</formula>
    </cfRule>
  </conditionalFormatting>
  <conditionalFormatting sqref="I102:I103">
    <cfRule type="cellIs" dxfId="3105" priority="19" operator="equal">
      <formula>0</formula>
    </cfRule>
    <cfRule type="cellIs" dxfId="3104" priority="20" operator="notEqual">
      <formula>0</formula>
    </cfRule>
  </conditionalFormatting>
  <conditionalFormatting sqref="J102:J103">
    <cfRule type="cellIs" dxfId="3103" priority="17" operator="equal">
      <formula>0</formula>
    </cfRule>
    <cfRule type="cellIs" dxfId="3102" priority="18" operator="notEqual">
      <formula>0</formula>
    </cfRule>
  </conditionalFormatting>
  <conditionalFormatting sqref="O101">
    <cfRule type="cellIs" dxfId="3101" priority="15" operator="equal">
      <formula>0</formula>
    </cfRule>
    <cfRule type="cellIs" dxfId="3100" priority="16" operator="notEqual">
      <formula>0</formula>
    </cfRule>
  </conditionalFormatting>
  <conditionalFormatting sqref="O104">
    <cfRule type="cellIs" dxfId="3099" priority="13" operator="equal">
      <formula>0</formula>
    </cfRule>
    <cfRule type="cellIs" dxfId="3098" priority="14" operator="notEqual">
      <formula>0</formula>
    </cfRule>
  </conditionalFormatting>
  <conditionalFormatting sqref="P101">
    <cfRule type="cellIs" dxfId="3097" priority="11" operator="equal">
      <formula>0</formula>
    </cfRule>
    <cfRule type="cellIs" dxfId="3096" priority="12" operator="notEqual">
      <formula>0</formula>
    </cfRule>
  </conditionalFormatting>
  <conditionalFormatting sqref="P104">
    <cfRule type="cellIs" dxfId="3095" priority="9" operator="equal">
      <formula>0</formula>
    </cfRule>
    <cfRule type="cellIs" dxfId="3094" priority="10" operator="notEqual">
      <formula>0</formula>
    </cfRule>
  </conditionalFormatting>
  <conditionalFormatting sqref="Q101">
    <cfRule type="cellIs" dxfId="3093" priority="7" operator="equal">
      <formula>0</formula>
    </cfRule>
    <cfRule type="cellIs" dxfId="3092" priority="8" operator="notEqual">
      <formula>0</formula>
    </cfRule>
  </conditionalFormatting>
  <conditionalFormatting sqref="Q104">
    <cfRule type="cellIs" dxfId="3091" priority="5" operator="equal">
      <formula>0</formula>
    </cfRule>
    <cfRule type="cellIs" dxfId="3090" priority="6" operator="notEqual">
      <formula>0</formula>
    </cfRule>
  </conditionalFormatting>
  <conditionalFormatting sqref="R101">
    <cfRule type="cellIs" dxfId="3089" priority="3" operator="equal">
      <formula>0</formula>
    </cfRule>
    <cfRule type="cellIs" dxfId="3088" priority="4" operator="notEqual">
      <formula>0</formula>
    </cfRule>
  </conditionalFormatting>
  <conditionalFormatting sqref="R104">
    <cfRule type="cellIs" dxfId="3087" priority="1" operator="equal">
      <formula>0</formula>
    </cfRule>
    <cfRule type="cellIs" dxfId="3086" priority="2" operator="notEqual">
      <formula>0</formula>
    </cfRule>
  </conditionalFormatting>
  <dataValidations count="1">
    <dataValidation type="list" allowBlank="1" showInputMessage="1" showErrorMessage="1" sqref="B5" xr:uid="{B74D4E8E-22CB-44F5-A85F-8D6EF869C152}">
      <formula1>Regions</formula1>
    </dataValidation>
  </dataValidation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Z124"/>
  <sheetViews>
    <sheetView showGridLines="0" topLeftCell="B1" zoomScale="85" zoomScaleNormal="85" workbookViewId="0"/>
  </sheetViews>
  <sheetFormatPr baseColWidth="10" defaultColWidth="8.83203125" defaultRowHeight="14" x14ac:dyDescent="0.15"/>
  <cols>
    <col min="1" max="1" width="36.5" style="8" hidden="1" customWidth="1"/>
    <col min="2" max="2" width="58" customWidth="1"/>
    <col min="3" max="3" width="15" style="6" bestFit="1" customWidth="1"/>
    <col min="4" max="4" width="13.5" style="6" customWidth="1"/>
    <col min="5" max="5" width="15.83203125" style="6" customWidth="1"/>
    <col min="6" max="6" width="10.83203125" style="6" bestFit="1" customWidth="1"/>
    <col min="7" max="7" width="12.5" style="6" customWidth="1"/>
    <col min="8" max="8" width="14.83203125" style="6" bestFit="1" customWidth="1"/>
    <col min="9" max="9" width="13" style="6" customWidth="1"/>
    <col min="10" max="10" width="15.1640625" style="6" customWidth="1"/>
    <col min="11" max="11" width="13.5" style="6" customWidth="1"/>
    <col min="12" max="12" width="10.5" style="6" bestFit="1" customWidth="1"/>
    <col min="13" max="13" width="12" style="6" customWidth="1"/>
    <col min="14" max="15" width="13.5" style="6" customWidth="1"/>
    <col min="16" max="16" width="10.5" style="6" bestFit="1" customWidth="1"/>
    <col min="17" max="17" width="9.5" style="6" bestFit="1" customWidth="1"/>
    <col min="18" max="18" width="12.5" style="6" customWidth="1"/>
    <col min="19" max="19" width="14.83203125" style="6" bestFit="1" customWidth="1"/>
    <col min="20" max="20" width="15.1640625" style="6" customWidth="1"/>
    <col min="21" max="21" width="15.5" style="6" customWidth="1"/>
    <col min="22" max="22" width="16" style="6" customWidth="1"/>
    <col min="23" max="23" width="12.5" bestFit="1" customWidth="1"/>
  </cols>
  <sheetData>
    <row r="1" spans="1:26" ht="67.5" customHeight="1" x14ac:dyDescent="0.15">
      <c r="A1"/>
      <c r="B1" s="533" t="s">
        <v>1097</v>
      </c>
      <c r="C1" s="482"/>
      <c r="D1" s="482"/>
      <c r="E1" s="482"/>
      <c r="F1" s="482"/>
      <c r="G1" s="482"/>
      <c r="H1" s="482"/>
      <c r="I1" s="482"/>
      <c r="J1" s="482"/>
      <c r="K1" s="482"/>
      <c r="L1" s="257"/>
      <c r="M1" s="257"/>
      <c r="N1" s="257"/>
      <c r="O1" s="257"/>
      <c r="P1" s="257"/>
      <c r="Q1" s="257"/>
      <c r="R1" s="257"/>
      <c r="S1" s="257"/>
      <c r="T1" s="257"/>
      <c r="U1" s="257"/>
      <c r="V1" s="257"/>
      <c r="W1" s="257"/>
      <c r="X1" s="257"/>
      <c r="Y1" s="257"/>
      <c r="Z1" s="257"/>
    </row>
    <row r="2" spans="1:26" ht="42" customHeight="1" x14ac:dyDescent="0.15">
      <c r="A2"/>
      <c r="B2" s="534"/>
      <c r="C2" s="426"/>
      <c r="D2" s="426"/>
      <c r="E2" s="426"/>
      <c r="F2" s="426"/>
      <c r="G2" s="426"/>
      <c r="H2" s="426"/>
      <c r="I2" s="426"/>
      <c r="J2" s="426"/>
      <c r="K2" s="426"/>
      <c r="L2" s="258"/>
      <c r="M2" s="258"/>
      <c r="N2" s="258"/>
      <c r="O2" s="258"/>
      <c r="P2" s="258"/>
      <c r="Q2" s="258"/>
      <c r="R2" s="258"/>
      <c r="S2" s="258"/>
      <c r="T2" s="258"/>
      <c r="U2" s="258"/>
      <c r="V2" s="258"/>
      <c r="W2" s="258"/>
      <c r="X2" s="258"/>
      <c r="Y2" s="258"/>
      <c r="Z2" s="258"/>
    </row>
    <row r="3" spans="1:26" ht="58.5" customHeight="1" x14ac:dyDescent="0.15">
      <c r="A3"/>
      <c r="B3" s="189" t="s">
        <v>935</v>
      </c>
    </row>
    <row r="4" spans="1:26" ht="33" customHeight="1" x14ac:dyDescent="0.2">
      <c r="A4" s="10"/>
      <c r="B4" s="242" t="s">
        <v>17</v>
      </c>
      <c r="C4" s="2"/>
      <c r="D4" s="2"/>
      <c r="E4" s="2"/>
      <c r="F4" s="2"/>
      <c r="G4" s="2"/>
      <c r="H4" s="2"/>
      <c r="I4" s="2"/>
      <c r="J4" s="2"/>
      <c r="K4" s="2"/>
      <c r="L4" s="2"/>
      <c r="M4" s="2"/>
      <c r="N4" s="2"/>
      <c r="O4" s="2"/>
      <c r="P4" s="2"/>
      <c r="Q4" s="2"/>
      <c r="R4" s="2"/>
      <c r="S4" s="2"/>
      <c r="T4" s="2"/>
      <c r="U4" s="2"/>
      <c r="V4" s="2"/>
      <c r="W4" s="1"/>
    </row>
    <row r="5" spans="1:26" ht="16" x14ac:dyDescent="0.2">
      <c r="A5" s="10"/>
      <c r="B5" s="1"/>
      <c r="C5" s="2"/>
      <c r="D5" s="2"/>
      <c r="E5" s="2"/>
      <c r="F5" s="2"/>
      <c r="G5" s="2"/>
      <c r="H5" s="2"/>
      <c r="I5" s="2"/>
      <c r="J5" s="2"/>
      <c r="K5" s="2"/>
      <c r="L5" s="2"/>
      <c r="M5" s="2"/>
      <c r="N5" s="2"/>
      <c r="O5" s="2"/>
      <c r="P5" s="2"/>
      <c r="Q5" s="2"/>
      <c r="R5" s="2"/>
      <c r="S5" s="2"/>
      <c r="T5" s="2"/>
      <c r="U5" s="2"/>
      <c r="V5" s="2"/>
      <c r="W5" s="1"/>
    </row>
    <row r="6" spans="1:26" ht="105" customHeight="1" x14ac:dyDescent="0.15">
      <c r="A6" s="14"/>
      <c r="B6" s="219" t="s">
        <v>1098</v>
      </c>
      <c r="C6" s="219" t="s">
        <v>1099</v>
      </c>
      <c r="D6" s="219" t="s">
        <v>1100</v>
      </c>
      <c r="E6" s="219" t="s">
        <v>1101</v>
      </c>
      <c r="F6" s="153"/>
      <c r="G6" s="219" t="s">
        <v>941</v>
      </c>
      <c r="H6" s="219" t="s">
        <v>942</v>
      </c>
      <c r="I6" s="153"/>
      <c r="J6" s="219" t="s">
        <v>943</v>
      </c>
      <c r="K6" s="219" t="s">
        <v>944</v>
      </c>
    </row>
    <row r="7" spans="1:26" ht="16" x14ac:dyDescent="0.15">
      <c r="A7" s="11"/>
      <c r="B7" s="154" t="s">
        <v>1020</v>
      </c>
      <c r="C7" s="155" t="e">
        <f>SUM((SUMIF('capacity data'!E:E,"PO",'capacity data'!G:G))-SUMIF('capacity data'!E:E,"PO",'capacity data'!H:H))/SUMIF('capacity data'!E:E,"PO",'capacity data'!G:G)</f>
        <v>#DIV/0!</v>
      </c>
      <c r="D7" s="156" t="e">
        <f>SUM((SUMIF('capacity data'!E:E,"PSO",'capacity data'!G:G))-SUMIF('capacity data'!E:E,"PSO",'capacity data'!H:H))/SUMIF('capacity data'!E:E,"PSO",'capacity data'!G:G)</f>
        <v>#DIV/0!</v>
      </c>
      <c r="E7" s="156" t="e">
        <f>SUM((SUMIF('capacity data'!E:E,"TPO",'capacity data'!G:G))-SUMIF('capacity data'!E:E,"TPO",'capacity data'!H:H))/SUMIF('capacity data'!E:E,"TPO",'capacity data'!G:G)</f>
        <v>#DIV/0!</v>
      </c>
      <c r="F7" s="153"/>
      <c r="G7" s="203" t="e">
        <f>SUMIF('capacity data'!$E:$E,"PSO",'capacity data'!$L:$L)/SUM(SUMIF('capacity data'!$E:$E,"PSO",'capacity data'!$G:$G)-SUMIF('capacity data'!$E:$E,"PSO",'capacity data'!$H:$H))</f>
        <v>#DIV/0!</v>
      </c>
      <c r="H7" s="203" t="e">
        <f>SUMIF('capacity data'!$E:$E,"PSO",'capacity data'!$L:$L)/SUMIF('capacity data'!$E:$E,"PSO",'capacity data'!$G:$G)</f>
        <v>#DIV/0!</v>
      </c>
      <c r="I7" s="153"/>
      <c r="J7" s="204" t="e">
        <f>SUMIF('capacity data'!$E:$E,"TPO",'capacity data'!$L:$L)/SUM(SUMIF('capacity data'!$E:$E,"TPO",'capacity data'!$G:$G)-SUMIF('capacity data'!$E:$E,"TPO",'capacity data'!$H:$H))</f>
        <v>#DIV/0!</v>
      </c>
      <c r="K7" s="204" t="e">
        <f>SUMIF('capacity data'!$E:$E,"TPO",'capacity data'!$L:$L)/SUMIF('capacity data'!$E:$E,"TPO",'capacity data'!$G:$G)</f>
        <v>#DIV/0!</v>
      </c>
    </row>
    <row r="8" spans="1:26" ht="16" x14ac:dyDescent="0.2">
      <c r="A8" s="10"/>
      <c r="B8" s="62" t="str">
        <f>HLOOKUP($B$4,Region_Table,2,0)</f>
        <v>All East Midlands Region</v>
      </c>
      <c r="C8" s="67" t="str">
        <f>IFERROR(SUM((SUMIFS('capacity data'!$G:$G,'capacity data'!$E:$E,"PO",'capacity data'!$B:$B,'cluster capacity, unallocateds'!B8))-SUMIFS('capacity data'!$H:$H,'capacity data'!$E:$E,"PO",'capacity data'!$B:$B,'cluster capacity, unallocateds'!B8))/SUMIFS('capacity data'!$G:$G,'capacity data'!$E:$E,"PO",'capacity data'!$B:$B,'cluster capacity, unallocateds'!B8),"")</f>
        <v/>
      </c>
      <c r="D8" s="67" t="str">
        <f>IFERROR(SUM((SUMIFS('capacity data'!$G:$G,'capacity data'!$E:$E,"PSO",'capacity data'!$B:$B,'cluster capacity, unallocateds'!B8))-SUMIFS('capacity data'!$H:$H,'capacity data'!$E:$E,"PSO",'capacity data'!$B:$B,'cluster capacity, unallocateds'!B8))/SUMIFS('capacity data'!$G:$G,'capacity data'!$E:$E,"PSO",'capacity data'!$B:$B,'cluster capacity, unallocateds'!B8),"")</f>
        <v/>
      </c>
      <c r="E8" s="67" t="str">
        <f>IFERROR(SUM((SUMIFS('capacity data'!$G:$G,'capacity data'!$E:$E,"TPO",'capacity data'!$B:$B,'cluster capacity, unallocateds'!B8))-SUMIFS('capacity data'!$H:$H,'capacity data'!$E:$E,"TPO",'capacity data'!$B:$B,'cluster capacity, unallocateds'!B8))/SUMIFS('capacity data'!$G:$G,'capacity data'!$E:$E,"TPO",'capacity data'!$B:$B,'cluster capacity, unallocateds'!B8),"")</f>
        <v/>
      </c>
      <c r="F8" s="153"/>
      <c r="G8" s="211" t="str">
        <f>IFERROR(SUMIFS('capacity data'!$L:$L,'capacity data'!$B:$B,B8,'capacity data'!$E:$E,"PSO")/SUM((SUMIFS('capacity data'!$G:$G,'capacity data'!$E:$E,"PSO",'capacity data'!$B:$B,B8))-SUMIFS('capacity data'!$H:$H,'capacity data'!$E:$E,"PSO",'capacity data'!$B:$B,B8)),"")</f>
        <v/>
      </c>
      <c r="H8" s="211" t="str">
        <f>IFERROR(SUMIFS('capacity data'!$L:$L,'capacity data'!$B:$B,B8,'capacity data'!$E:$E,"PSO")/SUMIFS('capacity data'!$G:$G,'capacity data'!$E:$E,"PSO",'capacity data'!$B:$B,B8),"")</f>
        <v/>
      </c>
      <c r="I8" s="153"/>
      <c r="J8" s="66" t="str">
        <f>IFERROR(SUMIFS('capacity data'!$L:$L,'capacity data'!$B:$B,B8,'capacity data'!$E:$E,"TPO")/SUM((SUMIFS('capacity data'!$G:$G,'capacity data'!$E:$E,"TPO",'capacity data'!$B:$B,B8))-SUMIFS('capacity data'!$H:$H,'capacity data'!$E:$E,"TPO",'capacity data'!$B:$B,B8)),"")</f>
        <v/>
      </c>
      <c r="K8" s="66" t="str">
        <f>IFERROR(SUMIFS('capacity data'!$L:$L,'capacity data'!$B:$B,B8,'capacity data'!$E:$E,"TPO")/SUMIFS('capacity data'!$G:$G,'capacity data'!$E:$E,"TPO",'capacity data'!$B:$B,B8),"")</f>
        <v/>
      </c>
    </row>
    <row r="9" spans="1:26" ht="16" x14ac:dyDescent="0.2">
      <c r="A9" s="10"/>
      <c r="B9" s="62" t="str">
        <f>HLOOKUP($B$4,Region_Table,3,0)</f>
        <v>Derby City - N53</v>
      </c>
      <c r="C9" s="67" t="str">
        <f>IFERROR(SUM((SUMIFS('capacity data'!$G:$G,'capacity data'!$E:$E,"PO",'capacity data'!$B:$B,'cluster capacity, unallocateds'!B9))-SUMIFS('capacity data'!$H:$H,'capacity data'!$E:$E,"PO",'capacity data'!$B:$B,'cluster capacity, unallocateds'!B9))/SUMIFS('capacity data'!$G:$G,'capacity data'!$E:$E,"PO",'capacity data'!$B:$B,'cluster capacity, unallocateds'!B9),"")</f>
        <v/>
      </c>
      <c r="D9" s="67" t="str">
        <f>IFERROR(SUM((SUMIFS('capacity data'!$G:$G,'capacity data'!$E:$E,"PSO",'capacity data'!$B:$B,'cluster capacity, unallocateds'!B9))-SUMIFS('capacity data'!$H:$H,'capacity data'!$E:$E,"PSO",'capacity data'!$B:$B,'cluster capacity, unallocateds'!B9))/SUMIFS('capacity data'!$G:$G,'capacity data'!$E:$E,"PSO",'capacity data'!$B:$B,'cluster capacity, unallocateds'!B9),"")</f>
        <v/>
      </c>
      <c r="E9" s="67" t="str">
        <f>IFERROR(SUM((SUMIFS('capacity data'!$G:$G,'capacity data'!$E:$E,"TPO",'capacity data'!$B:$B,'cluster capacity, unallocateds'!B9))-SUMIFS('capacity data'!$H:$H,'capacity data'!$E:$E,"TPO",'capacity data'!$B:$B,'cluster capacity, unallocateds'!B9))/SUMIFS('capacity data'!$G:$G,'capacity data'!$E:$E,"TPO",'capacity data'!$B:$B,'cluster capacity, unallocateds'!B9),"")</f>
        <v/>
      </c>
      <c r="F9" s="153"/>
      <c r="G9" s="211" t="str">
        <f>IFERROR(SUMIFS('capacity data'!$L:$L,'capacity data'!$B:$B,B9,'capacity data'!$E:$E,"PSO")/SUM((SUMIFS('capacity data'!$G:$G,'capacity data'!$E:$E,"PSO",'capacity data'!$B:$B,B9))-SUMIFS('capacity data'!$H:$H,'capacity data'!$E:$E,"PSO",'capacity data'!$B:$B,B9)),"")</f>
        <v/>
      </c>
      <c r="H9" s="211" t="str">
        <f>IFERROR(SUMIFS('capacity data'!$L:$L,'capacity data'!$B:$B,B9,'capacity data'!$E:$E,"PSO")/SUMIFS('capacity data'!$G:$G,'capacity data'!$E:$E,"PSO",'capacity data'!$B:$B,B9),"")</f>
        <v/>
      </c>
      <c r="I9" s="153"/>
      <c r="J9" s="66" t="str">
        <f>IFERROR(SUMIFS('capacity data'!$L:$L,'capacity data'!$B:$B,B9,'capacity data'!$E:$E,"TPO")/SUM((SUMIFS('capacity data'!$G:$G,'capacity data'!$E:$E,"TPO",'capacity data'!$B:$B,B9))-SUMIFS('capacity data'!$H:$H,'capacity data'!$E:$E,"TPO",'capacity data'!$B:$B,B9)),"")</f>
        <v/>
      </c>
      <c r="K9" s="66" t="str">
        <f>IFERROR(SUMIFS('capacity data'!$L:$L,'capacity data'!$B:$B,B9,'capacity data'!$E:$E,"TPO")/SUMIFS('capacity data'!$G:$G,'capacity data'!$E:$E,"TPO",'capacity data'!$B:$B,B9),"")</f>
        <v/>
      </c>
    </row>
    <row r="10" spans="1:26" ht="16" x14ac:dyDescent="0.2">
      <c r="A10" s="10"/>
      <c r="B10" s="62" t="str">
        <f>HLOOKUP($B$4,Region_Table,4,0)</f>
        <v>Derbyshire - N53</v>
      </c>
      <c r="C10" s="67" t="str">
        <f>IFERROR(SUM((SUMIFS('capacity data'!$G:$G,'capacity data'!$E:$E,"PO",'capacity data'!$B:$B,'cluster capacity, unallocateds'!B10))-SUMIFS('capacity data'!$H:$H,'capacity data'!$E:$E,"PO",'capacity data'!$B:$B,'cluster capacity, unallocateds'!B10))/SUMIFS('capacity data'!$G:$G,'capacity data'!$E:$E,"PO",'capacity data'!$B:$B,'cluster capacity, unallocateds'!B10),"")</f>
        <v/>
      </c>
      <c r="D10" s="67" t="str">
        <f>IFERROR(SUM((SUMIFS('capacity data'!$G:$G,'capacity data'!$E:$E,"PSO",'capacity data'!$B:$B,'cluster capacity, unallocateds'!B10))-SUMIFS('capacity data'!$H:$H,'capacity data'!$E:$E,"PSO",'capacity data'!$B:$B,'cluster capacity, unallocateds'!B10))/SUMIFS('capacity data'!$G:$G,'capacity data'!$E:$E,"PSO",'capacity data'!$B:$B,'cluster capacity, unallocateds'!B10),"")</f>
        <v/>
      </c>
      <c r="E10" s="67" t="str">
        <f>IFERROR(SUM((SUMIFS('capacity data'!$G:$G,'capacity data'!$E:$E,"TPO",'capacity data'!$B:$B,'cluster capacity, unallocateds'!B10))-SUMIFS('capacity data'!$H:$H,'capacity data'!$E:$E,"TPO",'capacity data'!$B:$B,'cluster capacity, unallocateds'!B10))/SUMIFS('capacity data'!$G:$G,'capacity data'!$E:$E,"TPO",'capacity data'!$B:$B,'cluster capacity, unallocateds'!B10),"")</f>
        <v/>
      </c>
      <c r="F10" s="228"/>
      <c r="G10" s="211" t="str">
        <f>IFERROR(SUMIFS('capacity data'!$L:$L,'capacity data'!$B:$B,B10,'capacity data'!$E:$E,"PSO")/SUM((SUMIFS('capacity data'!$G:$G,'capacity data'!$E:$E,"PSO",'capacity data'!$B:$B,B10))-SUMIFS('capacity data'!$H:$H,'capacity data'!$E:$E,"PSO",'capacity data'!$B:$B,B10)),"")</f>
        <v/>
      </c>
      <c r="H10" s="211" t="str">
        <f>IFERROR(SUMIFS('capacity data'!$L:$L,'capacity data'!$B:$B,B10,'capacity data'!$E:$E,"PSO")/SUMIFS('capacity data'!$G:$G,'capacity data'!$E:$E,"PSO",'capacity data'!$B:$B,B10),"")</f>
        <v/>
      </c>
      <c r="I10" s="153"/>
      <c r="J10" s="66" t="str">
        <f>IFERROR(SUMIFS('capacity data'!$L:$L,'capacity data'!$B:$B,B10,'capacity data'!$E:$E,"TPO")/SUM((SUMIFS('capacity data'!$G:$G,'capacity data'!$E:$E,"TPO",'capacity data'!$B:$B,B10))-SUMIFS('capacity data'!$H:$H,'capacity data'!$E:$E,"TPO",'capacity data'!$B:$B,B10)),"")</f>
        <v/>
      </c>
      <c r="K10" s="66" t="str">
        <f>IFERROR(SUMIFS('capacity data'!$L:$L,'capacity data'!$B:$B,B10,'capacity data'!$E:$E,"TPO")/SUMIFS('capacity data'!$G:$G,'capacity data'!$E:$E,"TPO",'capacity data'!$B:$B,B10),"")</f>
        <v/>
      </c>
    </row>
    <row r="11" spans="1:26" ht="16" x14ac:dyDescent="0.2">
      <c r="A11" s="10"/>
      <c r="B11" s="62" t="str">
        <f>HLOOKUP($B$4,Region_Table,5,0)</f>
        <v>Leicester, Leicestershire and Rutland</v>
      </c>
      <c r="C11" s="67" t="str">
        <f>IFERROR(SUM((SUMIFS('capacity data'!$G:$G,'capacity data'!$E:$E,"PO",'capacity data'!$B:$B,'cluster capacity, unallocateds'!B11))-SUMIFS('capacity data'!$H:$H,'capacity data'!$E:$E,"PO",'capacity data'!$B:$B,'cluster capacity, unallocateds'!B11))/SUMIFS('capacity data'!$G:$G,'capacity data'!$E:$E,"PO",'capacity data'!$B:$B,'cluster capacity, unallocateds'!B11),"")</f>
        <v/>
      </c>
      <c r="D11" s="67" t="str">
        <f>IFERROR(SUM((SUMIFS('capacity data'!$G:$G,'capacity data'!$E:$E,"PSO",'capacity data'!$B:$B,'cluster capacity, unallocateds'!B11))-SUMIFS('capacity data'!$H:$H,'capacity data'!$E:$E,"PSO",'capacity data'!$B:$B,'cluster capacity, unallocateds'!B11))/SUMIFS('capacity data'!$G:$G,'capacity data'!$E:$E,"PSO",'capacity data'!$B:$B,'cluster capacity, unallocateds'!B11),"")</f>
        <v/>
      </c>
      <c r="E11" s="67" t="str">
        <f>IFERROR(SUM((SUMIFS('capacity data'!$G:$G,'capacity data'!$E:$E,"TPO",'capacity data'!$B:$B,'cluster capacity, unallocateds'!B11))-SUMIFS('capacity data'!$H:$H,'capacity data'!$E:$E,"TPO",'capacity data'!$B:$B,'cluster capacity, unallocateds'!B11))/SUMIFS('capacity data'!$G:$G,'capacity data'!$E:$E,"TPO",'capacity data'!$B:$B,'cluster capacity, unallocateds'!B11),"")</f>
        <v/>
      </c>
      <c r="F11" s="153"/>
      <c r="G11" s="211" t="str">
        <f>IFERROR(SUMIFS('capacity data'!$L:$L,'capacity data'!$B:$B,B11,'capacity data'!$E:$E,"PSO")/SUM((SUMIFS('capacity data'!$G:$G,'capacity data'!$E:$E,"PSO",'capacity data'!$B:$B,B11))-SUMIFS('capacity data'!$H:$H,'capacity data'!$E:$E,"PSO",'capacity data'!$B:$B,B11)),"")</f>
        <v/>
      </c>
      <c r="H11" s="211" t="str">
        <f>IFERROR(SUMIFS('capacity data'!$L:$L,'capacity data'!$B:$B,B11,'capacity data'!$E:$E,"PSO")/SUMIFS('capacity data'!$G:$G,'capacity data'!$E:$E,"PSO",'capacity data'!$B:$B,B11),"")</f>
        <v/>
      </c>
      <c r="I11" s="153"/>
      <c r="J11" s="66" t="str">
        <f>IFERROR(SUMIFS('capacity data'!$L:$L,'capacity data'!$B:$B,B11,'capacity data'!$E:$E,"TPO")/SUM((SUMIFS('capacity data'!$G:$G,'capacity data'!$E:$E,"TPO",'capacity data'!$B:$B,B11))-SUMIFS('capacity data'!$H:$H,'capacity data'!$E:$E,"TPO",'capacity data'!$B:$B,B11)),"")</f>
        <v/>
      </c>
      <c r="K11" s="66" t="str">
        <f>IFERROR(SUMIFS('capacity data'!$L:$L,'capacity data'!$B:$B,B11,'capacity data'!$E:$E,"TPO")/SUMIFS('capacity data'!$G:$G,'capacity data'!$E:$E,"TPO",'capacity data'!$B:$B,B11),"")</f>
        <v/>
      </c>
    </row>
    <row r="12" spans="1:26" ht="16" x14ac:dyDescent="0.2">
      <c r="A12" s="10"/>
      <c r="B12" s="62" t="str">
        <f>HLOOKUP($B$4,Region_Table,6,0)</f>
        <v>Lincolnshire East and West - N53</v>
      </c>
      <c r="C12" s="67" t="str">
        <f>IFERROR(SUM((SUMIFS('capacity data'!$G:$G,'capacity data'!$E:$E,"PO",'capacity data'!$B:$B,'cluster capacity, unallocateds'!B12))-SUMIFS('capacity data'!$H:$H,'capacity data'!$E:$E,"PO",'capacity data'!$B:$B,'cluster capacity, unallocateds'!B12))/SUMIFS('capacity data'!$G:$G,'capacity data'!$E:$E,"PO",'capacity data'!$B:$B,'cluster capacity, unallocateds'!B12),"")</f>
        <v/>
      </c>
      <c r="D12" s="67" t="str">
        <f>IFERROR(SUM((SUMIFS('capacity data'!$G:$G,'capacity data'!$E:$E,"PSO",'capacity data'!$B:$B,'cluster capacity, unallocateds'!B12))-SUMIFS('capacity data'!$H:$H,'capacity data'!$E:$E,"PSO",'capacity data'!$B:$B,'cluster capacity, unallocateds'!B12))/SUMIFS('capacity data'!$G:$G,'capacity data'!$E:$E,"PSO",'capacity data'!$B:$B,'cluster capacity, unallocateds'!B12),"")</f>
        <v/>
      </c>
      <c r="E12" s="67" t="str">
        <f>IFERROR(SUM((SUMIFS('capacity data'!$G:$G,'capacity data'!$E:$E,"TPO",'capacity data'!$B:$B,'cluster capacity, unallocateds'!B12))-SUMIFS('capacity data'!$H:$H,'capacity data'!$E:$E,"TPO",'capacity data'!$B:$B,'cluster capacity, unallocateds'!B12))/SUMIFS('capacity data'!$G:$G,'capacity data'!$E:$E,"TPO",'capacity data'!$B:$B,'cluster capacity, unallocateds'!B12),"")</f>
        <v/>
      </c>
      <c r="F12" s="153"/>
      <c r="G12" s="211" t="str">
        <f>IFERROR(SUMIFS('capacity data'!$L:$L,'capacity data'!$B:$B,B12,'capacity data'!$E:$E,"PSO")/SUM((SUMIFS('capacity data'!$G:$G,'capacity data'!$E:$E,"PSO",'capacity data'!$B:$B,B12))-SUMIFS('capacity data'!$H:$H,'capacity data'!$E:$E,"PSO",'capacity data'!$B:$B,B12)),"")</f>
        <v/>
      </c>
      <c r="H12" s="211" t="str">
        <f>IFERROR(SUMIFS('capacity data'!$L:$L,'capacity data'!$B:$B,B12,'capacity data'!$E:$E,"PSO")/SUMIFS('capacity data'!$G:$G,'capacity data'!$E:$E,"PSO",'capacity data'!$B:$B,B12),"")</f>
        <v/>
      </c>
      <c r="I12" s="153"/>
      <c r="J12" s="66" t="str">
        <f>IFERROR(SUMIFS('capacity data'!$L:$L,'capacity data'!$B:$B,B12,'capacity data'!$E:$E,"TPO")/SUM((SUMIFS('capacity data'!$G:$G,'capacity data'!$E:$E,"TPO",'capacity data'!$B:$B,B12))-SUMIFS('capacity data'!$H:$H,'capacity data'!$E:$E,"TPO",'capacity data'!$B:$B,B12)),"")</f>
        <v/>
      </c>
      <c r="K12" s="66" t="str">
        <f>IFERROR(SUMIFS('capacity data'!$L:$L,'capacity data'!$B:$B,B12,'capacity data'!$E:$E,"TPO")/SUMIFS('capacity data'!$G:$G,'capacity data'!$E:$E,"TPO",'capacity data'!$B:$B,B12),"")</f>
        <v/>
      </c>
    </row>
    <row r="13" spans="1:26" ht="16" x14ac:dyDescent="0.2">
      <c r="A13" s="10"/>
      <c r="B13" s="62" t="str">
        <f>HLOOKUP($B$4,Region_Table,7,0)</f>
        <v>Nottingham City</v>
      </c>
      <c r="C13" s="67" t="str">
        <f>IFERROR(SUM((SUMIFS('capacity data'!$G:$G,'capacity data'!$E:$E,"PO",'capacity data'!$B:$B,'cluster capacity, unallocateds'!B13))-SUMIFS('capacity data'!$H:$H,'capacity data'!$E:$E,"PO",'capacity data'!$B:$B,'cluster capacity, unallocateds'!B13))/SUMIFS('capacity data'!$G:$G,'capacity data'!$E:$E,"PO",'capacity data'!$B:$B,'cluster capacity, unallocateds'!B13),"")</f>
        <v/>
      </c>
      <c r="D13" s="67" t="str">
        <f>IFERROR(SUM((SUMIFS('capacity data'!$G:$G,'capacity data'!$E:$E,"PSO",'capacity data'!$B:$B,'cluster capacity, unallocateds'!B13))-SUMIFS('capacity data'!$H:$H,'capacity data'!$E:$E,"PSO",'capacity data'!$B:$B,'cluster capacity, unallocateds'!B13))/SUMIFS('capacity data'!$G:$G,'capacity data'!$E:$E,"PSO",'capacity data'!$B:$B,'cluster capacity, unallocateds'!B13),"")</f>
        <v/>
      </c>
      <c r="E13" s="67" t="str">
        <f>IFERROR(SUM((SUMIFS('capacity data'!$G:$G,'capacity data'!$E:$E,"TPO",'capacity data'!$B:$B,'cluster capacity, unallocateds'!B13))-SUMIFS('capacity data'!$H:$H,'capacity data'!$E:$E,"TPO",'capacity data'!$B:$B,'cluster capacity, unallocateds'!B13))/SUMIFS('capacity data'!$G:$G,'capacity data'!$E:$E,"TPO",'capacity data'!$B:$B,'cluster capacity, unallocateds'!B13),"")</f>
        <v/>
      </c>
      <c r="F13" s="153"/>
      <c r="G13" s="211" t="str">
        <f>IFERROR(SUMIFS('capacity data'!$L:$L,'capacity data'!$B:$B,B13,'capacity data'!$E:$E,"PSO")/SUM((SUMIFS('capacity data'!$G:$G,'capacity data'!$E:$E,"PSO",'capacity data'!$B:$B,B13))-SUMIFS('capacity data'!$H:$H,'capacity data'!$E:$E,"PSO",'capacity data'!$B:$B,B13)),"")</f>
        <v/>
      </c>
      <c r="H13" s="211" t="str">
        <f>IFERROR(SUMIFS('capacity data'!$L:$L,'capacity data'!$B:$B,B13,'capacity data'!$E:$E,"PSO")/SUMIFS('capacity data'!$G:$G,'capacity data'!$E:$E,"PSO",'capacity data'!$B:$B,B13),"")</f>
        <v/>
      </c>
      <c r="I13" s="153"/>
      <c r="J13" s="66" t="str">
        <f>IFERROR(SUMIFS('capacity data'!$L:$L,'capacity data'!$B:$B,B13,'capacity data'!$E:$E,"TPO")/SUM((SUMIFS('capacity data'!$G:$G,'capacity data'!$E:$E,"TPO",'capacity data'!$B:$B,B13))-SUMIFS('capacity data'!$H:$H,'capacity data'!$E:$E,"TPO",'capacity data'!$B:$B,B13)),"")</f>
        <v/>
      </c>
      <c r="K13" s="66" t="str">
        <f>IFERROR(SUMIFS('capacity data'!$L:$L,'capacity data'!$B:$B,B13,'capacity data'!$E:$E,"TPO")/SUMIFS('capacity data'!$G:$G,'capacity data'!$E:$E,"TPO",'capacity data'!$B:$B,B13),"")</f>
        <v/>
      </c>
    </row>
    <row r="14" spans="1:26" ht="16" x14ac:dyDescent="0.2">
      <c r="A14" s="10"/>
      <c r="B14" s="62" t="str">
        <f>HLOOKUP($B$4,Region_Table,8,0)</f>
        <v>Nottinghamshire - N53</v>
      </c>
      <c r="C14" s="67" t="str">
        <f>IFERROR(SUM((SUMIFS('capacity data'!$G:$G,'capacity data'!$E:$E,"PO",'capacity data'!$B:$B,'cluster capacity, unallocateds'!B14))-SUMIFS('capacity data'!$H:$H,'capacity data'!$E:$E,"PO",'capacity data'!$B:$B,'cluster capacity, unallocateds'!B14))/SUMIFS('capacity data'!$G:$G,'capacity data'!$E:$E,"PO",'capacity data'!$B:$B,'cluster capacity, unallocateds'!B14),"")</f>
        <v/>
      </c>
      <c r="D14" s="67" t="str">
        <f>IFERROR(SUM((SUMIFS('capacity data'!$G:$G,'capacity data'!$E:$E,"PSO",'capacity data'!$B:$B,'cluster capacity, unallocateds'!B14))-SUMIFS('capacity data'!$H:$H,'capacity data'!$E:$E,"PSO",'capacity data'!$B:$B,'cluster capacity, unallocateds'!B14))/SUMIFS('capacity data'!$G:$G,'capacity data'!$E:$E,"PSO",'capacity data'!$B:$B,'cluster capacity, unallocateds'!B14),"")</f>
        <v/>
      </c>
      <c r="E14" s="67" t="str">
        <f>IFERROR(SUM((SUMIFS('capacity data'!$G:$G,'capacity data'!$E:$E,"TPO",'capacity data'!$B:$B,'cluster capacity, unallocateds'!B14))-SUMIFS('capacity data'!$H:$H,'capacity data'!$E:$E,"TPO",'capacity data'!$B:$B,'cluster capacity, unallocateds'!B14))/SUMIFS('capacity data'!$G:$G,'capacity data'!$E:$E,"TPO",'capacity data'!$B:$B,'cluster capacity, unallocateds'!B14),"")</f>
        <v/>
      </c>
      <c r="F14" s="153"/>
      <c r="G14" s="211" t="str">
        <f>IFERROR(SUMIFS('capacity data'!$L:$L,'capacity data'!$B:$B,B14,'capacity data'!$E:$E,"PSO")/SUM((SUMIFS('capacity data'!$G:$G,'capacity data'!$E:$E,"PSO",'capacity data'!$B:$B,B14))-SUMIFS('capacity data'!$H:$H,'capacity data'!$E:$E,"PSO",'capacity data'!$B:$B,B14)),"")</f>
        <v/>
      </c>
      <c r="H14" s="211" t="str">
        <f>IFERROR(SUMIFS('capacity data'!$L:$L,'capacity data'!$B:$B,B14,'capacity data'!$E:$E,"PSO")/SUMIFS('capacity data'!$G:$G,'capacity data'!$E:$E,"PSO",'capacity data'!$B:$B,B14),"")</f>
        <v/>
      </c>
      <c r="I14" s="153"/>
      <c r="J14" s="66" t="str">
        <f>IFERROR(SUMIFS('capacity data'!$L:$L,'capacity data'!$B:$B,B14,'capacity data'!$E:$E,"TPO")/SUM((SUMIFS('capacity data'!$G:$G,'capacity data'!$E:$E,"TPO",'capacity data'!$B:$B,B14))-SUMIFS('capacity data'!$H:$H,'capacity data'!$E:$E,"TPO",'capacity data'!$B:$B,B14)),"")</f>
        <v/>
      </c>
      <c r="K14" s="66" t="str">
        <f>IFERROR(SUMIFS('capacity data'!$L:$L,'capacity data'!$B:$B,B14,'capacity data'!$E:$E,"TPO")/SUMIFS('capacity data'!$G:$G,'capacity data'!$E:$E,"TPO",'capacity data'!$B:$B,B14),"")</f>
        <v/>
      </c>
    </row>
    <row r="15" spans="1:26" ht="16" x14ac:dyDescent="0.2">
      <c r="A15" s="10"/>
      <c r="B15" s="62" t="str">
        <f>HLOOKUP($B$4,Region_Table,9,0)</f>
        <v>Unpaid Work and Attendance Centres - N53</v>
      </c>
      <c r="C15" s="67" t="str">
        <f>IFERROR(SUM((SUMIFS('capacity data'!$G:$G,'capacity data'!$E:$E,"PO",'capacity data'!$B:$B,'cluster capacity, unallocateds'!B15))-SUMIFS('capacity data'!$H:$H,'capacity data'!$E:$E,"PO",'capacity data'!$B:$B,'cluster capacity, unallocateds'!B15))/SUMIFS('capacity data'!$G:$G,'capacity data'!$E:$E,"PO",'capacity data'!$B:$B,'cluster capacity, unallocateds'!B15),"")</f>
        <v/>
      </c>
      <c r="D15" s="67" t="str">
        <f>IFERROR(SUM((SUMIFS('capacity data'!$G:$G,'capacity data'!$E:$E,"PSO",'capacity data'!$B:$B,'cluster capacity, unallocateds'!B15))-SUMIFS('capacity data'!$H:$H,'capacity data'!$E:$E,"PSO",'capacity data'!$B:$B,'cluster capacity, unallocateds'!B15))/SUMIFS('capacity data'!$G:$G,'capacity data'!$E:$E,"PSO",'capacity data'!$B:$B,'cluster capacity, unallocateds'!B15),"")</f>
        <v/>
      </c>
      <c r="E15" s="67" t="str">
        <f>IFERROR(SUM((SUMIFS('capacity data'!$G:$G,'capacity data'!$E:$E,"TPO",'capacity data'!$B:$B,'cluster capacity, unallocateds'!B15))-SUMIFS('capacity data'!$H:$H,'capacity data'!$E:$E,"TPO",'capacity data'!$B:$B,'cluster capacity, unallocateds'!B15))/SUMIFS('capacity data'!$G:$G,'capacity data'!$E:$E,"TPO",'capacity data'!$B:$B,'cluster capacity, unallocateds'!B15),"")</f>
        <v/>
      </c>
      <c r="F15" s="153"/>
      <c r="G15" s="211" t="str">
        <f>IFERROR(SUMIFS('capacity data'!$L:$L,'capacity data'!$B:$B,B15,'capacity data'!$E:$E,"PSO")/SUM((SUMIFS('capacity data'!$G:$G,'capacity data'!$E:$E,"PSO",'capacity data'!$B:$B,B15))-SUMIFS('capacity data'!$H:$H,'capacity data'!$E:$E,"PSO",'capacity data'!$B:$B,B15)),"")</f>
        <v/>
      </c>
      <c r="H15" s="211" t="str">
        <f>IFERROR(SUMIFS('capacity data'!$L:$L,'capacity data'!$B:$B,B15,'capacity data'!$E:$E,"PSO")/SUMIFS('capacity data'!$G:$G,'capacity data'!$E:$E,"PSO",'capacity data'!$B:$B,B15),"")</f>
        <v/>
      </c>
      <c r="I15" s="153"/>
      <c r="J15" s="66" t="str">
        <f>IFERROR(SUMIFS('capacity data'!$L:$L,'capacity data'!$B:$B,B15,'capacity data'!$E:$E,"TPO")/SUM((SUMIFS('capacity data'!$G:$G,'capacity data'!$E:$E,"TPO",'capacity data'!$B:$B,B15))-SUMIFS('capacity data'!$H:$H,'capacity data'!$E:$E,"TPO",'capacity data'!$B:$B,B15)),"")</f>
        <v/>
      </c>
      <c r="K15" s="66" t="str">
        <f>IFERROR(SUMIFS('capacity data'!$L:$L,'capacity data'!$B:$B,B15,'capacity data'!$E:$E,"TPO")/SUMIFS('capacity data'!$G:$G,'capacity data'!$E:$E,"TPO",'capacity data'!$B:$B,B15),"")</f>
        <v/>
      </c>
    </row>
    <row r="16" spans="1:26" ht="16" x14ac:dyDescent="0.2">
      <c r="A16" s="10"/>
      <c r="B16" s="62">
        <f>HLOOKUP($B$4,Region_Table,10,0)</f>
        <v>0</v>
      </c>
      <c r="C16" s="67" t="str">
        <f>IFERROR(SUM((SUMIFS('capacity data'!$G:$G,'capacity data'!$E:$E,"PO",'capacity data'!$B:$B,'cluster capacity, unallocateds'!B16))-SUMIFS('capacity data'!$H:$H,'capacity data'!$E:$E,"PO",'capacity data'!$B:$B,'cluster capacity, unallocateds'!B16))/SUMIFS('capacity data'!$G:$G,'capacity data'!$E:$E,"PO",'capacity data'!$B:$B,'cluster capacity, unallocateds'!B16),"")</f>
        <v/>
      </c>
      <c r="D16" s="67" t="str">
        <f>IFERROR(SUM((SUMIFS('capacity data'!$G:$G,'capacity data'!$E:$E,"PSO",'capacity data'!$B:$B,'cluster capacity, unallocateds'!B16))-SUMIFS('capacity data'!$H:$H,'capacity data'!$E:$E,"PSO",'capacity data'!$B:$B,'cluster capacity, unallocateds'!B16))/SUMIFS('capacity data'!$G:$G,'capacity data'!$E:$E,"PSO",'capacity data'!$B:$B,'cluster capacity, unallocateds'!B16),"")</f>
        <v/>
      </c>
      <c r="E16" s="67" t="str">
        <f>IFERROR(SUM((SUMIFS('capacity data'!$G:$G,'capacity data'!$E:$E,"TPO",'capacity data'!$B:$B,'cluster capacity, unallocateds'!B16))-SUMIFS('capacity data'!$H:$H,'capacity data'!$E:$E,"TPO",'capacity data'!$B:$B,'cluster capacity, unallocateds'!B16))/SUMIFS('capacity data'!$G:$G,'capacity data'!$E:$E,"TPO",'capacity data'!$B:$B,'cluster capacity, unallocateds'!B16),"")</f>
        <v/>
      </c>
      <c r="F16" s="153"/>
      <c r="G16" s="211" t="str">
        <f>IFERROR(SUMIFS('capacity data'!$L:$L,'capacity data'!$B:$B,B16,'capacity data'!$E:$E,"PSO")/SUM((SUMIFS('capacity data'!$G:$G,'capacity data'!$E:$E,"PSO",'capacity data'!$B:$B,B16))-SUMIFS('capacity data'!$H:$H,'capacity data'!$E:$E,"PSO",'capacity data'!$B:$B,B16)),"")</f>
        <v/>
      </c>
      <c r="H16" s="211" t="str">
        <f>IFERROR(SUMIFS('capacity data'!$L:$L,'capacity data'!$B:$B,B16,'capacity data'!$E:$E,"PSO")/SUMIFS('capacity data'!$G:$G,'capacity data'!$E:$E,"PSO",'capacity data'!$B:$B,B16),"")</f>
        <v/>
      </c>
      <c r="I16" s="153"/>
      <c r="J16" s="66" t="str">
        <f>IFERROR(SUMIFS('capacity data'!$L:$L,'capacity data'!$B:$B,B16,'capacity data'!$E:$E,"TPO")/SUM((SUMIFS('capacity data'!$G:$G,'capacity data'!$E:$E,"TPO",'capacity data'!$B:$B,B16))-SUMIFS('capacity data'!$H:$H,'capacity data'!$E:$E,"TPO",'capacity data'!$B:$B,B16)),"")</f>
        <v/>
      </c>
      <c r="K16" s="66" t="str">
        <f>IFERROR(SUMIFS('capacity data'!$L:$L,'capacity data'!$B:$B,B16,'capacity data'!$E:$E,"TPO")/SUMIFS('capacity data'!$G:$G,'capacity data'!$E:$E,"TPO",'capacity data'!$B:$B,B16),"")</f>
        <v/>
      </c>
    </row>
    <row r="17" spans="1:11" ht="16" x14ac:dyDescent="0.2">
      <c r="A17" s="12" t="s">
        <v>21</v>
      </c>
      <c r="B17" s="62">
        <f>HLOOKUP($B$4,Region_Table,11,0)</f>
        <v>0</v>
      </c>
      <c r="C17" s="67" t="str">
        <f>IFERROR(SUM((SUMIFS('capacity data'!$G:$G,'capacity data'!$E:$E,"PO",'capacity data'!$B:$B,'cluster capacity, unallocateds'!B17))-SUMIFS('capacity data'!$H:$H,'capacity data'!$E:$E,"PO",'capacity data'!$B:$B,'cluster capacity, unallocateds'!B17))/SUMIFS('capacity data'!$G:$G,'capacity data'!$E:$E,"PO",'capacity data'!$B:$B,'cluster capacity, unallocateds'!B17),"")</f>
        <v/>
      </c>
      <c r="D17" s="67" t="str">
        <f>IFERROR(SUM((SUMIFS('capacity data'!$G:$G,'capacity data'!$E:$E,"PSO",'capacity data'!$B:$B,'cluster capacity, unallocateds'!B17))-SUMIFS('capacity data'!$H:$H,'capacity data'!$E:$E,"PSO",'capacity data'!$B:$B,'cluster capacity, unallocateds'!B17))/SUMIFS('capacity data'!$G:$G,'capacity data'!$E:$E,"PSO",'capacity data'!$B:$B,'cluster capacity, unallocateds'!B17),"")</f>
        <v/>
      </c>
      <c r="E17" s="67" t="str">
        <f>IFERROR(SUM((SUMIFS('capacity data'!$G:$G,'capacity data'!$E:$E,"TPO",'capacity data'!$B:$B,'cluster capacity, unallocateds'!B17))-SUMIFS('capacity data'!$H:$H,'capacity data'!$E:$E,"TPO",'capacity data'!$B:$B,'cluster capacity, unallocateds'!B17))/SUMIFS('capacity data'!$G:$G,'capacity data'!$E:$E,"TPO",'capacity data'!$B:$B,'cluster capacity, unallocateds'!B17),"")</f>
        <v/>
      </c>
      <c r="F17" s="153"/>
      <c r="G17" s="211" t="str">
        <f>IFERROR(SUMIFS('capacity data'!$L:$L,'capacity data'!$B:$B,B17,'capacity data'!$E:$E,"PSO")/SUM((SUMIFS('capacity data'!$G:$G,'capacity data'!$E:$E,"PSO",'capacity data'!$B:$B,B17))-SUMIFS('capacity data'!$H:$H,'capacity data'!$E:$E,"PSO",'capacity data'!$B:$B,B17)),"")</f>
        <v/>
      </c>
      <c r="H17" s="211" t="str">
        <f>IFERROR(SUMIFS('capacity data'!$L:$L,'capacity data'!$B:$B,B17,'capacity data'!$E:$E,"PSO")/SUMIFS('capacity data'!$G:$G,'capacity data'!$E:$E,"PSO",'capacity data'!$B:$B,B17),"")</f>
        <v/>
      </c>
      <c r="I17" s="153"/>
      <c r="J17" s="66" t="str">
        <f>IFERROR(SUMIFS('capacity data'!$L:$L,'capacity data'!$B:$B,B17,'capacity data'!$E:$E,"TPO")/SUM((SUMIFS('capacity data'!$G:$G,'capacity data'!$E:$E,"TPO",'capacity data'!$B:$B,B17))-SUMIFS('capacity data'!$H:$H,'capacity data'!$E:$E,"TPO",'capacity data'!$B:$B,B17)),"")</f>
        <v/>
      </c>
      <c r="K17" s="66" t="str">
        <f>IFERROR(SUMIFS('capacity data'!$L:$L,'capacity data'!$B:$B,B17,'capacity data'!$E:$E,"TPO")/SUMIFS('capacity data'!$G:$G,'capacity data'!$E:$E,"TPO",'capacity data'!$B:$B,B17),"")</f>
        <v/>
      </c>
    </row>
    <row r="18" spans="1:11" ht="16" x14ac:dyDescent="0.2">
      <c r="A18" s="12" t="s">
        <v>1102</v>
      </c>
      <c r="B18" s="62">
        <f>HLOOKUP($B$4,Region_Table,12,0)</f>
        <v>0</v>
      </c>
      <c r="C18" s="67" t="str">
        <f>IFERROR(SUM((SUMIFS('capacity data'!$G:$G,'capacity data'!$E:$E,"PO",'capacity data'!$B:$B,'cluster capacity, unallocateds'!B18))-SUMIFS('capacity data'!$H:$H,'capacity data'!$E:$E,"PO",'capacity data'!$B:$B,'cluster capacity, unallocateds'!B18))/SUMIFS('capacity data'!$G:$G,'capacity data'!$E:$E,"PO",'capacity data'!$B:$B,'cluster capacity, unallocateds'!B18),"")</f>
        <v/>
      </c>
      <c r="D18" s="67" t="str">
        <f>IFERROR(SUM((SUMIFS('capacity data'!$G:$G,'capacity data'!$E:$E,"PSO",'capacity data'!$B:$B,'cluster capacity, unallocateds'!B18))-SUMIFS('capacity data'!$H:$H,'capacity data'!$E:$E,"PSO",'capacity data'!$B:$B,'cluster capacity, unallocateds'!B18))/SUMIFS('capacity data'!$G:$G,'capacity data'!$E:$E,"PSO",'capacity data'!$B:$B,'cluster capacity, unallocateds'!B18),"")</f>
        <v/>
      </c>
      <c r="E18" s="67" t="str">
        <f>IFERROR(SUM((SUMIFS('capacity data'!$G:$G,'capacity data'!$E:$E,"TPO",'capacity data'!$B:$B,'cluster capacity, unallocateds'!B18))-SUMIFS('capacity data'!$H:$H,'capacity data'!$E:$E,"TPO",'capacity data'!$B:$B,'cluster capacity, unallocateds'!B18))/SUMIFS('capacity data'!$G:$G,'capacity data'!$E:$E,"TPO",'capacity data'!$B:$B,'cluster capacity, unallocateds'!B18),"")</f>
        <v/>
      </c>
      <c r="F18" s="153"/>
      <c r="G18" s="211" t="str">
        <f>IFERROR(SUMIFS('capacity data'!$L:$L,'capacity data'!$B:$B,B18,'capacity data'!$E:$E,"PSO")/SUM((SUMIFS('capacity data'!$G:$G,'capacity data'!$E:$E,"PSO",'capacity data'!$B:$B,B18))-SUMIFS('capacity data'!$H:$H,'capacity data'!$E:$E,"PSO",'capacity data'!$B:$B,B18)),"")</f>
        <v/>
      </c>
      <c r="H18" s="211" t="str">
        <f>IFERROR(SUMIFS('capacity data'!$L:$L,'capacity data'!$B:$B,B18,'capacity data'!$E:$E,"PSO")/SUMIFS('capacity data'!$G:$G,'capacity data'!$E:$E,"PSO",'capacity data'!$B:$B,B18),"")</f>
        <v/>
      </c>
      <c r="I18" s="153"/>
      <c r="J18" s="66" t="str">
        <f>IFERROR(SUMIFS('capacity data'!$L:$L,'capacity data'!$B:$B,B18,'capacity data'!$E:$E,"TPO")/SUM((SUMIFS('capacity data'!$G:$G,'capacity data'!$E:$E,"TPO",'capacity data'!$B:$B,B18))-SUMIFS('capacity data'!$H:$H,'capacity data'!$E:$E,"TPO",'capacity data'!$B:$B,B18)),"")</f>
        <v/>
      </c>
      <c r="K18" s="66" t="str">
        <f>IFERROR(SUMIFS('capacity data'!$L:$L,'capacity data'!$B:$B,B18,'capacity data'!$E:$E,"TPO")/SUMIFS('capacity data'!$G:$G,'capacity data'!$E:$E,"TPO",'capacity data'!$B:$B,B18),"")</f>
        <v/>
      </c>
    </row>
    <row r="19" spans="1:11" ht="16" x14ac:dyDescent="0.2">
      <c r="A19" s="12" t="s">
        <v>1103</v>
      </c>
      <c r="B19" s="62">
        <f>HLOOKUP($B$4,Region_Table,13,0)</f>
        <v>0</v>
      </c>
      <c r="C19" s="67" t="str">
        <f>IFERROR(SUM((SUMIFS('capacity data'!$G:$G,'capacity data'!$E:$E,"PO",'capacity data'!$B:$B,'cluster capacity, unallocateds'!B19))-SUMIFS('capacity data'!$H:$H,'capacity data'!$E:$E,"PO",'capacity data'!$B:$B,'cluster capacity, unallocateds'!B19))/SUMIFS('capacity data'!$G:$G,'capacity data'!$E:$E,"PO",'capacity data'!$B:$B,'cluster capacity, unallocateds'!B19),"")</f>
        <v/>
      </c>
      <c r="D19" s="67" t="str">
        <f>IFERROR(SUM((SUMIFS('capacity data'!$G:$G,'capacity data'!$E:$E,"PSO",'capacity data'!$B:$B,'cluster capacity, unallocateds'!B19))-SUMIFS('capacity data'!$H:$H,'capacity data'!$E:$E,"PSO",'capacity data'!$B:$B,'cluster capacity, unallocateds'!B19))/SUMIFS('capacity data'!$G:$G,'capacity data'!$E:$E,"PSO",'capacity data'!$B:$B,'cluster capacity, unallocateds'!B19),"")</f>
        <v/>
      </c>
      <c r="E19" s="67" t="str">
        <f>IFERROR(SUM((SUMIFS('capacity data'!$G:$G,'capacity data'!$E:$E,"TPO",'capacity data'!$B:$B,'cluster capacity, unallocateds'!B19))-SUMIFS('capacity data'!$H:$H,'capacity data'!$E:$E,"TPO",'capacity data'!$B:$B,'cluster capacity, unallocateds'!B19))/SUMIFS('capacity data'!$G:$G,'capacity data'!$E:$E,"TPO",'capacity data'!$B:$B,'cluster capacity, unallocateds'!B19),"")</f>
        <v/>
      </c>
      <c r="F19" s="153"/>
      <c r="G19" s="211" t="str">
        <f>IFERROR(SUMIFS('capacity data'!$L:$L,'capacity data'!$B:$B,B19,'capacity data'!$E:$E,"PSO")/SUM((SUMIFS('capacity data'!$G:$G,'capacity data'!$E:$E,"PSO",'capacity data'!$B:$B,B19))-SUMIFS('capacity data'!$H:$H,'capacity data'!$E:$E,"PSO",'capacity data'!$B:$B,B19)),"")</f>
        <v/>
      </c>
      <c r="H19" s="211" t="str">
        <f>IFERROR(SUMIFS('capacity data'!$L:$L,'capacity data'!$B:$B,B19,'capacity data'!$E:$E,"PSO")/SUMIFS('capacity data'!$G:$G,'capacity data'!$E:$E,"PSO",'capacity data'!$B:$B,B19),"")</f>
        <v/>
      </c>
      <c r="I19" s="153"/>
      <c r="J19" s="66" t="str">
        <f>IFERROR(SUMIFS('capacity data'!$L:$L,'capacity data'!$B:$B,B19,'capacity data'!$E:$E,"TPO")/SUM((SUMIFS('capacity data'!$G:$G,'capacity data'!$E:$E,"TPO",'capacity data'!$B:$B,B19))-SUMIFS('capacity data'!$H:$H,'capacity data'!$E:$E,"TPO",'capacity data'!$B:$B,B19)),"")</f>
        <v/>
      </c>
      <c r="K19" s="66" t="str">
        <f>IFERROR(SUMIFS('capacity data'!$L:$L,'capacity data'!$B:$B,B19,'capacity data'!$E:$E,"TPO")/SUMIFS('capacity data'!$G:$G,'capacity data'!$E:$E,"TPO",'capacity data'!$B:$B,B19),"")</f>
        <v/>
      </c>
    </row>
    <row r="20" spans="1:11" ht="16" x14ac:dyDescent="0.2">
      <c r="A20" s="12" t="s">
        <v>1104</v>
      </c>
      <c r="B20" s="62">
        <f>HLOOKUP($B$4,Region_Table,14,0)</f>
        <v>0</v>
      </c>
      <c r="C20" s="67" t="str">
        <f>IFERROR(SUM((SUMIFS('capacity data'!$G:$G,'capacity data'!$E:$E,"PO",'capacity data'!$B:$B,'cluster capacity, unallocateds'!B20))-SUMIFS('capacity data'!$H:$H,'capacity data'!$E:$E,"PO",'capacity data'!$B:$B,'cluster capacity, unallocateds'!B20))/SUMIFS('capacity data'!$G:$G,'capacity data'!$E:$E,"PO",'capacity data'!$B:$B,'cluster capacity, unallocateds'!B20),"")</f>
        <v/>
      </c>
      <c r="D20" s="67" t="str">
        <f>IFERROR(SUM((SUMIFS('capacity data'!$G:$G,'capacity data'!$E:$E,"PSO",'capacity data'!$B:$B,'cluster capacity, unallocateds'!B20))-SUMIFS('capacity data'!$H:$H,'capacity data'!$E:$E,"PSO",'capacity data'!$B:$B,'cluster capacity, unallocateds'!B20))/SUMIFS('capacity data'!$G:$G,'capacity data'!$E:$E,"PSO",'capacity data'!$B:$B,'cluster capacity, unallocateds'!B20),"")</f>
        <v/>
      </c>
      <c r="E20" s="67" t="str">
        <f>IFERROR(SUM((SUMIFS('capacity data'!$G:$G,'capacity data'!$E:$E,"TPO",'capacity data'!$B:$B,'cluster capacity, unallocateds'!B20))-SUMIFS('capacity data'!$H:$H,'capacity data'!$E:$E,"TPO",'capacity data'!$B:$B,'cluster capacity, unallocateds'!B20))/SUMIFS('capacity data'!$G:$G,'capacity data'!$E:$E,"TPO",'capacity data'!$B:$B,'cluster capacity, unallocateds'!B20),"")</f>
        <v/>
      </c>
      <c r="F20" s="153"/>
      <c r="G20" s="211" t="str">
        <f>IFERROR(SUMIFS('capacity data'!$L:$L,'capacity data'!$B:$B,B20,'capacity data'!$E:$E,"PSO")/SUM((SUMIFS('capacity data'!$G:$G,'capacity data'!$E:$E,"PSO",'capacity data'!$B:$B,B20))-SUMIFS('capacity data'!$H:$H,'capacity data'!$E:$E,"PSO",'capacity data'!$B:$B,B20)),"")</f>
        <v/>
      </c>
      <c r="H20" s="211" t="str">
        <f>IFERROR(SUMIFS('capacity data'!$L:$L,'capacity data'!$B:$B,B20,'capacity data'!$E:$E,"PSO")/SUMIFS('capacity data'!$G:$G,'capacity data'!$E:$E,"PSO",'capacity data'!$B:$B,B20),"")</f>
        <v/>
      </c>
      <c r="I20" s="153"/>
      <c r="J20" s="66" t="str">
        <f>IFERROR(SUMIFS('capacity data'!$L:$L,'capacity data'!$B:$B,B20,'capacity data'!$E:$E,"TPO")/SUM((SUMIFS('capacity data'!$G:$G,'capacity data'!$E:$E,"TPO",'capacity data'!$B:$B,B20))-SUMIFS('capacity data'!$H:$H,'capacity data'!$E:$E,"TPO",'capacity data'!$B:$B,B20)),"")</f>
        <v/>
      </c>
      <c r="K20" s="66" t="str">
        <f>IFERROR(SUMIFS('capacity data'!$L:$L,'capacity data'!$B:$B,B20,'capacity data'!$E:$E,"TPO")/SUMIFS('capacity data'!$G:$G,'capacity data'!$E:$E,"TPO",'capacity data'!$B:$B,B20),"")</f>
        <v/>
      </c>
    </row>
    <row r="21" spans="1:11" ht="16" x14ac:dyDescent="0.2">
      <c r="A21" s="12" t="s">
        <v>1105</v>
      </c>
      <c r="B21" s="62">
        <f>HLOOKUP($B$4,Region_Table,15,0)</f>
        <v>0</v>
      </c>
      <c r="C21" s="67" t="str">
        <f>IFERROR(SUM((SUMIFS('capacity data'!$G:$G,'capacity data'!$E:$E,"PO",'capacity data'!$B:$B,'cluster capacity, unallocateds'!B21))-SUMIFS('capacity data'!$H:$H,'capacity data'!$E:$E,"PO",'capacity data'!$B:$B,'cluster capacity, unallocateds'!B21))/SUMIFS('capacity data'!$G:$G,'capacity data'!$E:$E,"PO",'capacity data'!$B:$B,'cluster capacity, unallocateds'!B21),"")</f>
        <v/>
      </c>
      <c r="D21" s="67" t="str">
        <f>IFERROR(SUM((SUMIFS('capacity data'!$G:$G,'capacity data'!$E:$E,"PSO",'capacity data'!$B:$B,'cluster capacity, unallocateds'!B21))-SUMIFS('capacity data'!$H:$H,'capacity data'!$E:$E,"PSO",'capacity data'!$B:$B,'cluster capacity, unallocateds'!B21))/SUMIFS('capacity data'!$G:$G,'capacity data'!$E:$E,"PSO",'capacity data'!$B:$B,'cluster capacity, unallocateds'!B21),"")</f>
        <v/>
      </c>
      <c r="E21" s="67" t="str">
        <f>IFERROR(SUM((SUMIFS('capacity data'!$G:$G,'capacity data'!$E:$E,"TPO",'capacity data'!$B:$B,'cluster capacity, unallocateds'!B21))-SUMIFS('capacity data'!$H:$H,'capacity data'!$E:$E,"TPO",'capacity data'!$B:$B,'cluster capacity, unallocateds'!B21))/SUMIFS('capacity data'!$G:$G,'capacity data'!$E:$E,"TPO",'capacity data'!$B:$B,'cluster capacity, unallocateds'!B21),"")</f>
        <v/>
      </c>
      <c r="F21" s="153"/>
      <c r="G21" s="211" t="str">
        <f>IFERROR(SUMIFS('capacity data'!$L:$L,'capacity data'!$B:$B,B21,'capacity data'!$E:$E,"PSO")/SUM((SUMIFS('capacity data'!$G:$G,'capacity data'!$E:$E,"PSO",'capacity data'!$B:$B,B21))-SUMIFS('capacity data'!$H:$H,'capacity data'!$E:$E,"PSO",'capacity data'!$B:$B,B21)),"")</f>
        <v/>
      </c>
      <c r="H21" s="211" t="str">
        <f>IFERROR(SUMIFS('capacity data'!$L:$L,'capacity data'!$B:$B,B21,'capacity data'!$E:$E,"PSO")/SUMIFS('capacity data'!$G:$G,'capacity data'!$E:$E,"PSO",'capacity data'!$B:$B,B21),"")</f>
        <v/>
      </c>
      <c r="I21" s="153"/>
      <c r="J21" s="66" t="str">
        <f>IFERROR(SUMIFS('capacity data'!$L:$L,'capacity data'!$B:$B,B21,'capacity data'!$E:$E,"TPO")/SUM((SUMIFS('capacity data'!$G:$G,'capacity data'!$E:$E,"TPO",'capacity data'!$B:$B,B21))-SUMIFS('capacity data'!$H:$H,'capacity data'!$E:$E,"TPO",'capacity data'!$B:$B,B21)),"")</f>
        <v/>
      </c>
      <c r="K21" s="66" t="str">
        <f>IFERROR(SUMIFS('capacity data'!$L:$L,'capacity data'!$B:$B,B21,'capacity data'!$E:$E,"TPO")/SUMIFS('capacity data'!$G:$G,'capacity data'!$E:$E,"TPO",'capacity data'!$B:$B,B21),"")</f>
        <v/>
      </c>
    </row>
    <row r="22" spans="1:11" ht="16" x14ac:dyDescent="0.2">
      <c r="A22" s="12" t="s">
        <v>1106</v>
      </c>
      <c r="B22" s="62">
        <f>HLOOKUP($B$4,Region_Table,16,0)</f>
        <v>0</v>
      </c>
      <c r="C22" s="67" t="str">
        <f>IFERROR(SUM((SUMIFS('capacity data'!$G:$G,'capacity data'!$E:$E,"PO",'capacity data'!$B:$B,'cluster capacity, unallocateds'!B22))-SUMIFS('capacity data'!$H:$H,'capacity data'!$E:$E,"PO",'capacity data'!$B:$B,'cluster capacity, unallocateds'!B22))/SUMIFS('capacity data'!$G:$G,'capacity data'!$E:$E,"PO",'capacity data'!$B:$B,'cluster capacity, unallocateds'!B22),"")</f>
        <v/>
      </c>
      <c r="D22" s="67" t="str">
        <f>IFERROR(SUM((SUMIFS('capacity data'!$G:$G,'capacity data'!$E:$E,"PSO",'capacity data'!$B:$B,'cluster capacity, unallocateds'!B22))-SUMIFS('capacity data'!$H:$H,'capacity data'!$E:$E,"PSO",'capacity data'!$B:$B,'cluster capacity, unallocateds'!B22))/SUMIFS('capacity data'!$G:$G,'capacity data'!$E:$E,"PSO",'capacity data'!$B:$B,'cluster capacity, unallocateds'!B22),"")</f>
        <v/>
      </c>
      <c r="E22" s="67" t="str">
        <f>IFERROR(SUM((SUMIFS('capacity data'!$G:$G,'capacity data'!$E:$E,"TPO",'capacity data'!$B:$B,'cluster capacity, unallocateds'!B22))-SUMIFS('capacity data'!$H:$H,'capacity data'!$E:$E,"TPO",'capacity data'!$B:$B,'cluster capacity, unallocateds'!B22))/SUMIFS('capacity data'!$G:$G,'capacity data'!$E:$E,"TPO",'capacity data'!$B:$B,'cluster capacity, unallocateds'!B22),"")</f>
        <v/>
      </c>
      <c r="F22" s="153"/>
      <c r="G22" s="211" t="str">
        <f>IFERROR(SUMIFS('capacity data'!$L:$L,'capacity data'!$B:$B,B22,'capacity data'!$E:$E,"PSO")/SUM((SUMIFS('capacity data'!$G:$G,'capacity data'!$E:$E,"PSO",'capacity data'!$B:$B,B22))-SUMIFS('capacity data'!$H:$H,'capacity data'!$E:$E,"PSO",'capacity data'!$B:$B,B22)),"")</f>
        <v/>
      </c>
      <c r="H22" s="211" t="str">
        <f>IFERROR(SUMIFS('capacity data'!$L:$L,'capacity data'!$B:$B,B22,'capacity data'!$E:$E,"PSO")/SUMIFS('capacity data'!$G:$G,'capacity data'!$E:$E,"PSO",'capacity data'!$B:$B,B22),"")</f>
        <v/>
      </c>
      <c r="I22" s="153"/>
      <c r="J22" s="66" t="str">
        <f>IFERROR(SUMIFS('capacity data'!$L:$L,'capacity data'!$B:$B,B22,'capacity data'!$E:$E,"TPO")/SUM((SUMIFS('capacity data'!$G:$G,'capacity data'!$E:$E,"TPO",'capacity data'!$B:$B,B22))-SUMIFS('capacity data'!$H:$H,'capacity data'!$E:$E,"TPO",'capacity data'!$B:$B,B22)),"")</f>
        <v/>
      </c>
      <c r="K22" s="66" t="str">
        <f>IFERROR(SUMIFS('capacity data'!$L:$L,'capacity data'!$B:$B,B22,'capacity data'!$E:$E,"TPO")/SUMIFS('capacity data'!$G:$G,'capacity data'!$E:$E,"TPO",'capacity data'!$B:$B,B22),"")</f>
        <v/>
      </c>
    </row>
    <row r="23" spans="1:11" ht="16" customHeight="1" x14ac:dyDescent="0.2">
      <c r="A23" s="12" t="s">
        <v>26</v>
      </c>
      <c r="B23" s="62">
        <f>HLOOKUP($B$4,Region_Table,17,0)</f>
        <v>0</v>
      </c>
      <c r="C23" s="67" t="str">
        <f>IFERROR(SUM((SUMIFS('capacity data'!$G:$G,'capacity data'!$E:$E,"PO",'capacity data'!$B:$B,'cluster capacity, unallocateds'!B23))-SUMIFS('capacity data'!$H:$H,'capacity data'!$E:$E,"PO",'capacity data'!$B:$B,'cluster capacity, unallocateds'!B23))/SUMIFS('capacity data'!$G:$G,'capacity data'!$E:$E,"PO",'capacity data'!$B:$B,'cluster capacity, unallocateds'!B23),"")</f>
        <v/>
      </c>
      <c r="D23" s="67" t="str">
        <f>IFERROR(SUM((SUMIFS('capacity data'!$G:$G,'capacity data'!$E:$E,"PSO",'capacity data'!$B:$B,'cluster capacity, unallocateds'!B23))-SUMIFS('capacity data'!$H:$H,'capacity data'!$E:$E,"PSO",'capacity data'!$B:$B,'cluster capacity, unallocateds'!B23))/SUMIFS('capacity data'!$G:$G,'capacity data'!$E:$E,"PSO",'capacity data'!$B:$B,'cluster capacity, unallocateds'!B23),"")</f>
        <v/>
      </c>
      <c r="E23" s="67" t="str">
        <f>IFERROR(SUM((SUMIFS('capacity data'!$G:$G,'capacity data'!$E:$E,"TPO",'capacity data'!$B:$B,'cluster capacity, unallocateds'!B23))-SUMIFS('capacity data'!$H:$H,'capacity data'!$E:$E,"TPO",'capacity data'!$B:$B,'cluster capacity, unallocateds'!B23))/SUMIFS('capacity data'!$G:$G,'capacity data'!$E:$E,"TPO",'capacity data'!$B:$B,'cluster capacity, unallocateds'!B23),"")</f>
        <v/>
      </c>
      <c r="F23" s="153"/>
      <c r="G23" s="211" t="str">
        <f>IFERROR(SUMIFS('capacity data'!$L:$L,'capacity data'!$B:$B,B23,'capacity data'!$E:$E,"PSO")/SUM((SUMIFS('capacity data'!$G:$G,'capacity data'!$E:$E,"PSO",'capacity data'!$B:$B,B23))-SUMIFS('capacity data'!$H:$H,'capacity data'!$E:$E,"PSO",'capacity data'!$B:$B,B23)),"")</f>
        <v/>
      </c>
      <c r="H23" s="211" t="str">
        <f>IFERROR(SUMIFS('capacity data'!$L:$L,'capacity data'!$B:$B,B23,'capacity data'!$E:$E,"PSO")/SUMIFS('capacity data'!$G:$G,'capacity data'!$E:$E,"PSO",'capacity data'!$B:$B,B23),"")</f>
        <v/>
      </c>
      <c r="I23" s="153"/>
      <c r="J23" s="66" t="str">
        <f>IFERROR(SUMIFS('capacity data'!$L:$L,'capacity data'!$B:$B,B23,'capacity data'!$E:$E,"TPO")/SUM((SUMIFS('capacity data'!$G:$G,'capacity data'!$E:$E,"TPO",'capacity data'!$B:$B,B23))-SUMIFS('capacity data'!$H:$H,'capacity data'!$E:$E,"TPO",'capacity data'!$B:$B,B23)),"")</f>
        <v/>
      </c>
      <c r="K23" s="66" t="str">
        <f>IFERROR(SUMIFS('capacity data'!$L:$L,'capacity data'!$B:$B,B23,'capacity data'!$E:$E,"TPO")/SUMIFS('capacity data'!$G:$G,'capacity data'!$E:$E,"TPO",'capacity data'!$B:$B,B23),"")</f>
        <v/>
      </c>
    </row>
    <row r="24" spans="1:11" ht="16" x14ac:dyDescent="0.2">
      <c r="A24" s="221"/>
      <c r="B24" s="62">
        <f>HLOOKUP($B$4,Region_Table,18,0)</f>
        <v>0</v>
      </c>
      <c r="C24" s="67" t="str">
        <f>IFERROR(SUM((SUMIFS('capacity data'!$G:$G,'capacity data'!$E:$E,"PO",'capacity data'!$B:$B,'cluster capacity, unallocateds'!B24))-SUMIFS('capacity data'!$H:$H,'capacity data'!$E:$E,"PO",'capacity data'!$B:$B,'cluster capacity, unallocateds'!B24))/SUMIFS('capacity data'!$G:$G,'capacity data'!$E:$E,"PO",'capacity data'!$B:$B,'cluster capacity, unallocateds'!B24),"")</f>
        <v/>
      </c>
      <c r="D24" s="67" t="str">
        <f>IFERROR(SUM((SUMIFS('capacity data'!$G:$G,'capacity data'!$E:$E,"PSO",'capacity data'!$B:$B,'cluster capacity, unallocateds'!B24))-SUMIFS('capacity data'!$H:$H,'capacity data'!$E:$E,"PSO",'capacity data'!$B:$B,'cluster capacity, unallocateds'!B24))/SUMIFS('capacity data'!$G:$G,'capacity data'!$E:$E,"PSO",'capacity data'!$B:$B,'cluster capacity, unallocateds'!B24),"")</f>
        <v/>
      </c>
      <c r="E24" s="67" t="str">
        <f>IFERROR(SUM((SUMIFS('capacity data'!$G:$G,'capacity data'!$E:$E,"TPO",'capacity data'!$B:$B,'cluster capacity, unallocateds'!B24))-SUMIFS('capacity data'!$H:$H,'capacity data'!$E:$E,"TPO",'capacity data'!$B:$B,'cluster capacity, unallocateds'!B24))/SUMIFS('capacity data'!$G:$G,'capacity data'!$E:$E,"TPO",'capacity data'!$B:$B,'cluster capacity, unallocateds'!B24),"")</f>
        <v/>
      </c>
      <c r="F24" s="153"/>
      <c r="G24" s="211" t="str">
        <f>IFERROR(SUMIFS('capacity data'!$L:$L,'capacity data'!$B:$B,B24,'capacity data'!$E:$E,"PSO")/SUM((SUMIFS('capacity data'!$G:$G,'capacity data'!$E:$E,"PSO",'capacity data'!$B:$B,B24))-SUMIFS('capacity data'!$H:$H,'capacity data'!$E:$E,"PSO",'capacity data'!$B:$B,B24)),"")</f>
        <v/>
      </c>
      <c r="H24" s="211" t="str">
        <f>IFERROR(SUMIFS('capacity data'!$L:$L,'capacity data'!$B:$B,B24,'capacity data'!$E:$E,"PSO")/SUMIFS('capacity data'!$G:$G,'capacity data'!$E:$E,"PSO",'capacity data'!$B:$B,B24),"")</f>
        <v/>
      </c>
      <c r="I24" s="153"/>
      <c r="J24" s="66" t="str">
        <f>IFERROR(SUMIFS('capacity data'!$L:$L,'capacity data'!$B:$B,B24,'capacity data'!$E:$E,"TPO")/SUM((SUMIFS('capacity data'!$G:$G,'capacity data'!$E:$E,"TPO",'capacity data'!$B:$B,B24))-SUMIFS('capacity data'!$H:$H,'capacity data'!$E:$E,"TPO",'capacity data'!$B:$B,B24)),"")</f>
        <v/>
      </c>
      <c r="K24" s="66" t="str">
        <f>IFERROR(SUMIFS('capacity data'!$L:$L,'capacity data'!$B:$B,B24,'capacity data'!$E:$E,"TPO")/SUMIFS('capacity data'!$G:$G,'capacity data'!$E:$E,"TPO",'capacity data'!$B:$B,B24),"")</f>
        <v/>
      </c>
    </row>
    <row r="25" spans="1:11" ht="16" x14ac:dyDescent="0.2">
      <c r="A25" s="221"/>
      <c r="B25" s="62">
        <f>HLOOKUP($B$4,Region_Table,19,0)</f>
        <v>0</v>
      </c>
      <c r="C25" s="67" t="str">
        <f>IFERROR(SUM((SUMIFS('capacity data'!$G:$G,'capacity data'!$E:$E,"PO",'capacity data'!$B:$B,'cluster capacity, unallocateds'!B25))-SUMIFS('capacity data'!$H:$H,'capacity data'!$E:$E,"PO",'capacity data'!$B:$B,'cluster capacity, unallocateds'!B25))/SUMIFS('capacity data'!$G:$G,'capacity data'!$E:$E,"PO",'capacity data'!$B:$B,'cluster capacity, unallocateds'!B25),"")</f>
        <v/>
      </c>
      <c r="D25" s="67" t="str">
        <f>IFERROR(SUM((SUMIFS('capacity data'!$G:$G,'capacity data'!$E:$E,"PSO",'capacity data'!$B:$B,'cluster capacity, unallocateds'!B25))-SUMIFS('capacity data'!$H:$H,'capacity data'!$E:$E,"PSO",'capacity data'!$B:$B,'cluster capacity, unallocateds'!B25))/SUMIFS('capacity data'!$G:$G,'capacity data'!$E:$E,"PSO",'capacity data'!$B:$B,'cluster capacity, unallocateds'!B25),"")</f>
        <v/>
      </c>
      <c r="E25" s="67" t="str">
        <f>IFERROR(SUM((SUMIFS('capacity data'!$G:$G,'capacity data'!$E:$E,"TPO",'capacity data'!$B:$B,'cluster capacity, unallocateds'!B25))-SUMIFS('capacity data'!$H:$H,'capacity data'!$E:$E,"TPO",'capacity data'!$B:$B,'cluster capacity, unallocateds'!B25))/SUMIFS('capacity data'!$G:$G,'capacity data'!$E:$E,"TPO",'capacity data'!$B:$B,'cluster capacity, unallocateds'!B25),"")</f>
        <v/>
      </c>
      <c r="F25" s="153"/>
      <c r="G25" s="211" t="str">
        <f>IFERROR(SUMIFS('capacity data'!$L:$L,'capacity data'!$B:$B,B25,'capacity data'!$E:$E,"PSO")/SUM((SUMIFS('capacity data'!$G:$G,'capacity data'!$E:$E,"PSO",'capacity data'!$B:$B,B25))-SUMIFS('capacity data'!$H:$H,'capacity data'!$E:$E,"PSO",'capacity data'!$B:$B,B25)),"")</f>
        <v/>
      </c>
      <c r="H25" s="211" t="str">
        <f>IFERROR(SUMIFS('capacity data'!$L:$L,'capacity data'!$B:$B,B25,'capacity data'!$E:$E,"PSO")/SUMIFS('capacity data'!$G:$G,'capacity data'!$E:$E,"PSO",'capacity data'!$B:$B,B25),"")</f>
        <v/>
      </c>
      <c r="I25" s="153"/>
      <c r="J25" s="66" t="str">
        <f>IFERROR(SUMIFS('capacity data'!$L:$L,'capacity data'!$B:$B,B25,'capacity data'!$E:$E,"TPO")/SUM((SUMIFS('capacity data'!$G:$G,'capacity data'!$E:$E,"TPO",'capacity data'!$B:$B,B25))-SUMIFS('capacity data'!$H:$H,'capacity data'!$E:$E,"TPO",'capacity data'!$B:$B,B25)),"")</f>
        <v/>
      </c>
      <c r="K25" s="66" t="str">
        <f>IFERROR(SUMIFS('capacity data'!$L:$L,'capacity data'!$B:$B,B25,'capacity data'!$E:$E,"TPO")/SUMIFS('capacity data'!$G:$G,'capacity data'!$E:$E,"TPO",'capacity data'!$B:$B,B25),"")</f>
        <v/>
      </c>
    </row>
    <row r="26" spans="1:11" ht="16" x14ac:dyDescent="0.2">
      <c r="A26" s="221"/>
      <c r="B26" s="62">
        <f>HLOOKUP($B$4,Region_Table,20,0)</f>
        <v>0</v>
      </c>
      <c r="C26" s="67" t="str">
        <f>IFERROR(SUM((SUMIFS('capacity data'!$G:$G,'capacity data'!$E:$E,"PO",'capacity data'!$B:$B,'cluster capacity, unallocateds'!B26))-SUMIFS('capacity data'!$H:$H,'capacity data'!$E:$E,"PO",'capacity data'!$B:$B,'cluster capacity, unallocateds'!B26))/SUMIFS('capacity data'!$G:$G,'capacity data'!$E:$E,"PO",'capacity data'!$B:$B,'cluster capacity, unallocateds'!B26),"")</f>
        <v/>
      </c>
      <c r="D26" s="67" t="str">
        <f>IFERROR(SUM((SUMIFS('capacity data'!$G:$G,'capacity data'!$E:$E,"PSO",'capacity data'!$B:$B,'cluster capacity, unallocateds'!B26))-SUMIFS('capacity data'!$H:$H,'capacity data'!$E:$E,"PSO",'capacity data'!$B:$B,'cluster capacity, unallocateds'!B26))/SUMIFS('capacity data'!$G:$G,'capacity data'!$E:$E,"PSO",'capacity data'!$B:$B,'cluster capacity, unallocateds'!B26),"")</f>
        <v/>
      </c>
      <c r="E26" s="67" t="str">
        <f>IFERROR(SUM((SUMIFS('capacity data'!$G:$G,'capacity data'!$E:$E,"TPO",'capacity data'!$B:$B,'cluster capacity, unallocateds'!B26))-SUMIFS('capacity data'!$H:$H,'capacity data'!$E:$E,"TPO",'capacity data'!$B:$B,'cluster capacity, unallocateds'!B26))/SUMIFS('capacity data'!$G:$G,'capacity data'!$E:$E,"TPO",'capacity data'!$B:$B,'cluster capacity, unallocateds'!B26),"")</f>
        <v/>
      </c>
      <c r="F26" s="153"/>
      <c r="G26" s="211" t="str">
        <f>IFERROR(SUMIFS('capacity data'!$L:$L,'capacity data'!$B:$B,B26,'capacity data'!$E:$E,"PSO")/SUM((SUMIFS('capacity data'!$G:$G,'capacity data'!$E:$E,"PSO",'capacity data'!$B:$B,B26))-SUMIFS('capacity data'!$H:$H,'capacity data'!$E:$E,"PSO",'capacity data'!$B:$B,B26)),"")</f>
        <v/>
      </c>
      <c r="H26" s="211" t="str">
        <f>IFERROR(SUMIFS('capacity data'!$L:$L,'capacity data'!$B:$B,B26,'capacity data'!$E:$E,"PSO")/SUMIFS('capacity data'!$G:$G,'capacity data'!$E:$E,"PSO",'capacity data'!$B:$B,B26),"")</f>
        <v/>
      </c>
      <c r="I26" s="153"/>
      <c r="J26" s="66" t="str">
        <f>IFERROR(SUMIFS('capacity data'!$L:$L,'capacity data'!$B:$B,B26,'capacity data'!$E:$E,"TPO")/SUM((SUMIFS('capacity data'!$G:$G,'capacity data'!$E:$E,"TPO",'capacity data'!$B:$B,B26))-SUMIFS('capacity data'!$H:$H,'capacity data'!$E:$E,"TPO",'capacity data'!$B:$B,B26)),"")</f>
        <v/>
      </c>
      <c r="K26" s="66" t="str">
        <f>IFERROR(SUMIFS('capacity data'!$L:$L,'capacity data'!$B:$B,B26,'capacity data'!$E:$E,"TPO")/SUMIFS('capacity data'!$G:$G,'capacity data'!$E:$E,"TPO",'capacity data'!$B:$B,B26),"")</f>
        <v/>
      </c>
    </row>
    <row r="27" spans="1:11" ht="16" x14ac:dyDescent="0.2">
      <c r="A27" s="221"/>
      <c r="B27" s="62">
        <f>HLOOKUP($B$4,Region_Table,21,0)</f>
        <v>0</v>
      </c>
      <c r="C27" s="67" t="str">
        <f>IFERROR(SUM((SUMIFS('capacity data'!$G:$G,'capacity data'!$E:$E,"PO",'capacity data'!$B:$B,'cluster capacity, unallocateds'!B27))-SUMIFS('capacity data'!$H:$H,'capacity data'!$E:$E,"PO",'capacity data'!$B:$B,'cluster capacity, unallocateds'!B27))/SUMIFS('capacity data'!$G:$G,'capacity data'!$E:$E,"PO",'capacity data'!$B:$B,'cluster capacity, unallocateds'!B27),"")</f>
        <v/>
      </c>
      <c r="D27" s="67" t="str">
        <f>IFERROR(SUM((SUMIFS('capacity data'!$G:$G,'capacity data'!$E:$E,"PSO",'capacity data'!$B:$B,'cluster capacity, unallocateds'!B27))-SUMIFS('capacity data'!$H:$H,'capacity data'!$E:$E,"PSO",'capacity data'!$B:$B,'cluster capacity, unallocateds'!B27))/SUMIFS('capacity data'!$G:$G,'capacity data'!$E:$E,"PSO",'capacity data'!$B:$B,'cluster capacity, unallocateds'!B27),"")</f>
        <v/>
      </c>
      <c r="E27" s="67" t="str">
        <f>IFERROR(SUM((SUMIFS('capacity data'!$G:$G,'capacity data'!$E:$E,"TPO",'capacity data'!$B:$B,'cluster capacity, unallocateds'!B27))-SUMIFS('capacity data'!$H:$H,'capacity data'!$E:$E,"TPO",'capacity data'!$B:$B,'cluster capacity, unallocateds'!B27))/SUMIFS('capacity data'!$G:$G,'capacity data'!$E:$E,"TPO",'capacity data'!$B:$B,'cluster capacity, unallocateds'!B27),"")</f>
        <v/>
      </c>
      <c r="F27" s="153"/>
      <c r="G27" s="211" t="str">
        <f>IFERROR(SUMIFS('capacity data'!$L:$L,'capacity data'!$B:$B,B27,'capacity data'!$E:$E,"PSO")/SUM((SUMIFS('capacity data'!$G:$G,'capacity data'!$E:$E,"PSO",'capacity data'!$B:$B,B27))-SUMIFS('capacity data'!$H:$H,'capacity data'!$E:$E,"PSO",'capacity data'!$B:$B,B27)),"")</f>
        <v/>
      </c>
      <c r="H27" s="211" t="str">
        <f>IFERROR(SUMIFS('capacity data'!$L:$L,'capacity data'!$B:$B,B27,'capacity data'!$E:$E,"PSO")/SUMIFS('capacity data'!$G:$G,'capacity data'!$E:$E,"PSO",'capacity data'!$B:$B,B27),"")</f>
        <v/>
      </c>
      <c r="I27" s="153"/>
      <c r="J27" s="66" t="str">
        <f>IFERROR(SUMIFS('capacity data'!$L:$L,'capacity data'!$B:$B,B27,'capacity data'!$E:$E,"TPO")/SUM((SUMIFS('capacity data'!$G:$G,'capacity data'!$E:$E,"TPO",'capacity data'!$B:$B,B27))-SUMIFS('capacity data'!$H:$H,'capacity data'!$E:$E,"TPO",'capacity data'!$B:$B,B27)),"")</f>
        <v/>
      </c>
      <c r="K27" s="66" t="str">
        <f>IFERROR(SUMIFS('capacity data'!$L:$L,'capacity data'!$B:$B,B27,'capacity data'!$E:$E,"TPO")/SUMIFS('capacity data'!$G:$G,'capacity data'!$E:$E,"TPO",'capacity data'!$B:$B,B27),"")</f>
        <v/>
      </c>
    </row>
    <row r="28" spans="1:11" ht="16" x14ac:dyDescent="0.2">
      <c r="A28" s="221"/>
      <c r="B28" s="62">
        <f>HLOOKUP($B$4,Region_Table,22,0)</f>
        <v>0</v>
      </c>
      <c r="C28" s="67" t="str">
        <f>IFERROR(SUM((SUMIFS('capacity data'!$G:$G,'capacity data'!$E:$E,"PO",'capacity data'!$B:$B,'cluster capacity, unallocateds'!B28))-SUMIFS('capacity data'!$H:$H,'capacity data'!$E:$E,"PO",'capacity data'!$B:$B,'cluster capacity, unallocateds'!B28))/SUMIFS('capacity data'!$G:$G,'capacity data'!$E:$E,"PO",'capacity data'!$B:$B,'cluster capacity, unallocateds'!B28),"")</f>
        <v/>
      </c>
      <c r="D28" s="67" t="str">
        <f>IFERROR(SUM((SUMIFS('capacity data'!$G:$G,'capacity data'!$E:$E,"PSO",'capacity data'!$B:$B,'cluster capacity, unallocateds'!B28))-SUMIFS('capacity data'!$H:$H,'capacity data'!$E:$E,"PSO",'capacity data'!$B:$B,'cluster capacity, unallocateds'!B28))/SUMIFS('capacity data'!$G:$G,'capacity data'!$E:$E,"PSO",'capacity data'!$B:$B,'cluster capacity, unallocateds'!B28),"")</f>
        <v/>
      </c>
      <c r="E28" s="67" t="str">
        <f>IFERROR(SUM((SUMIFS('capacity data'!$G:$G,'capacity data'!$E:$E,"TPO",'capacity data'!$B:$B,'cluster capacity, unallocateds'!B28))-SUMIFS('capacity data'!$H:$H,'capacity data'!$E:$E,"TPO",'capacity data'!$B:$B,'cluster capacity, unallocateds'!B28))/SUMIFS('capacity data'!$G:$G,'capacity data'!$E:$E,"TPO",'capacity data'!$B:$B,'cluster capacity, unallocateds'!B28),"")</f>
        <v/>
      </c>
      <c r="F28" s="153"/>
      <c r="G28" s="211" t="str">
        <f>IFERROR(SUMIFS('capacity data'!$L:$L,'capacity data'!$B:$B,B28,'capacity data'!$E:$E,"PSO")/SUM((SUMIFS('capacity data'!$G:$G,'capacity data'!$E:$E,"PSO",'capacity data'!$B:$B,B28))-SUMIFS('capacity data'!$H:$H,'capacity data'!$E:$E,"PSO",'capacity data'!$B:$B,B28)),"")</f>
        <v/>
      </c>
      <c r="H28" s="211" t="str">
        <f>IFERROR(SUMIFS('capacity data'!$L:$L,'capacity data'!$B:$B,B28,'capacity data'!$E:$E,"PSO")/SUMIFS('capacity data'!$G:$G,'capacity data'!$E:$E,"PSO",'capacity data'!$B:$B,B28),"")</f>
        <v/>
      </c>
      <c r="I28" s="153"/>
      <c r="J28" s="66" t="str">
        <f>IFERROR(SUMIFS('capacity data'!$L:$L,'capacity data'!$B:$B,B28,'capacity data'!$E:$E,"TPO")/SUM((SUMIFS('capacity data'!$G:$G,'capacity data'!$E:$E,"TPO",'capacity data'!$B:$B,B28))-SUMIFS('capacity data'!$H:$H,'capacity data'!$E:$E,"TPO",'capacity data'!$B:$B,B28)),"")</f>
        <v/>
      </c>
      <c r="K28" s="66" t="str">
        <f>IFERROR(SUMIFS('capacity data'!$L:$L,'capacity data'!$B:$B,B28,'capacity data'!$E:$E,"TPO")/SUMIFS('capacity data'!$G:$G,'capacity data'!$E:$E,"TPO",'capacity data'!$B:$B,B28),"")</f>
        <v/>
      </c>
    </row>
    <row r="29" spans="1:11" ht="16" x14ac:dyDescent="0.2">
      <c r="A29" s="221"/>
      <c r="B29" s="62">
        <f>HLOOKUP($B$4,Region_Table,23,0)</f>
        <v>0</v>
      </c>
      <c r="C29" s="67" t="str">
        <f>IFERROR(SUM((SUMIFS('capacity data'!$G:$G,'capacity data'!$E:$E,"PO",'capacity data'!$B:$B,'cluster capacity, unallocateds'!B29))-SUMIFS('capacity data'!$H:$H,'capacity data'!$E:$E,"PO",'capacity data'!$B:$B,'cluster capacity, unallocateds'!B29))/SUMIFS('capacity data'!$G:$G,'capacity data'!$E:$E,"PO",'capacity data'!$B:$B,'cluster capacity, unallocateds'!B29),"")</f>
        <v/>
      </c>
      <c r="D29" s="67" t="str">
        <f>IFERROR(SUM((SUMIFS('capacity data'!$G:$G,'capacity data'!$E:$E,"PSO",'capacity data'!$B:$B,'cluster capacity, unallocateds'!B29))-SUMIFS('capacity data'!$H:$H,'capacity data'!$E:$E,"PSO",'capacity data'!$B:$B,'cluster capacity, unallocateds'!B29))/SUMIFS('capacity data'!$G:$G,'capacity data'!$E:$E,"PSO",'capacity data'!$B:$B,'cluster capacity, unallocateds'!B29),"")</f>
        <v/>
      </c>
      <c r="E29" s="67" t="str">
        <f>IFERROR(SUM((SUMIFS('capacity data'!$G:$G,'capacity data'!$E:$E,"TPO",'capacity data'!$B:$B,'cluster capacity, unallocateds'!B29))-SUMIFS('capacity data'!$H:$H,'capacity data'!$E:$E,"TPO",'capacity data'!$B:$B,'cluster capacity, unallocateds'!B29))/SUMIFS('capacity data'!$G:$G,'capacity data'!$E:$E,"TPO",'capacity data'!$B:$B,'cluster capacity, unallocateds'!B29),"")</f>
        <v/>
      </c>
      <c r="F29" s="153"/>
      <c r="G29" s="211" t="str">
        <f>IFERROR(SUMIFS('capacity data'!$L:$L,'capacity data'!$B:$B,B29,'capacity data'!$E:$E,"PSO")/SUM((SUMIFS('capacity data'!$G:$G,'capacity data'!$E:$E,"PSO",'capacity data'!$B:$B,B29))-SUMIFS('capacity data'!$H:$H,'capacity data'!$E:$E,"PSO",'capacity data'!$B:$B,B29)),"")</f>
        <v/>
      </c>
      <c r="H29" s="211" t="str">
        <f>IFERROR(SUMIFS('capacity data'!$L:$L,'capacity data'!$B:$B,B29,'capacity data'!$E:$E,"PSO")/SUMIFS('capacity data'!$G:$G,'capacity data'!$E:$E,"PSO",'capacity data'!$B:$B,B29),"")</f>
        <v/>
      </c>
      <c r="I29" s="153"/>
      <c r="J29" s="66" t="str">
        <f>IFERROR(SUMIFS('capacity data'!$L:$L,'capacity data'!$B:$B,B29,'capacity data'!$E:$E,"TPO")/SUM((SUMIFS('capacity data'!$G:$G,'capacity data'!$E:$E,"TPO",'capacity data'!$B:$B,B29))-SUMIFS('capacity data'!$H:$H,'capacity data'!$E:$E,"TPO",'capacity data'!$B:$B,B29)),"")</f>
        <v/>
      </c>
      <c r="K29" s="66" t="str">
        <f>IFERROR(SUMIFS('capacity data'!$L:$L,'capacity data'!$B:$B,B29,'capacity data'!$E:$E,"TPO")/SUMIFS('capacity data'!$G:$G,'capacity data'!$E:$E,"TPO",'capacity data'!$B:$B,B29),"")</f>
        <v/>
      </c>
    </row>
    <row r="30" spans="1:11" ht="16" x14ac:dyDescent="0.2">
      <c r="A30" s="221"/>
      <c r="B30" s="62">
        <f>HLOOKUP($B$4,Region_Table,24,0)</f>
        <v>0</v>
      </c>
      <c r="C30" s="67" t="str">
        <f>IFERROR(SUM((SUMIFS('capacity data'!$G:$G,'capacity data'!$E:$E,"PO",'capacity data'!$B:$B,'cluster capacity, unallocateds'!B30))-SUMIFS('capacity data'!$H:$H,'capacity data'!$E:$E,"PO",'capacity data'!$B:$B,'cluster capacity, unallocateds'!B30))/SUMIFS('capacity data'!$G:$G,'capacity data'!$E:$E,"PO",'capacity data'!$B:$B,'cluster capacity, unallocateds'!B30),"")</f>
        <v/>
      </c>
      <c r="D30" s="67" t="str">
        <f>IFERROR(SUM((SUMIFS('capacity data'!$G:$G,'capacity data'!$E:$E,"PSO",'capacity data'!$B:$B,'cluster capacity, unallocateds'!B30))-SUMIFS('capacity data'!$H:$H,'capacity data'!$E:$E,"PSO",'capacity data'!$B:$B,'cluster capacity, unallocateds'!B30))/SUMIFS('capacity data'!$G:$G,'capacity data'!$E:$E,"PSO",'capacity data'!$B:$B,'cluster capacity, unallocateds'!B30),"")</f>
        <v/>
      </c>
      <c r="E30" s="67" t="str">
        <f>IFERROR(SUM((SUMIFS('capacity data'!$G:$G,'capacity data'!$E:$E,"TPO",'capacity data'!$B:$B,'cluster capacity, unallocateds'!B30))-SUMIFS('capacity data'!$H:$H,'capacity data'!$E:$E,"TPO",'capacity data'!$B:$B,'cluster capacity, unallocateds'!B30))/SUMIFS('capacity data'!$G:$G,'capacity data'!$E:$E,"TPO",'capacity data'!$B:$B,'cluster capacity, unallocateds'!B30),"")</f>
        <v/>
      </c>
      <c r="F30" s="153"/>
      <c r="G30" s="211" t="str">
        <f>IFERROR(SUMIFS('capacity data'!$L:$L,'capacity data'!$B:$B,B30,'capacity data'!$E:$E,"PSO")/SUM((SUMIFS('capacity data'!$G:$G,'capacity data'!$E:$E,"PSO",'capacity data'!$B:$B,B30))-SUMIFS('capacity data'!$H:$H,'capacity data'!$E:$E,"PSO",'capacity data'!$B:$B,B30)),"")</f>
        <v/>
      </c>
      <c r="H30" s="211" t="str">
        <f>IFERROR(SUMIFS('capacity data'!$L:$L,'capacity data'!$B:$B,B30,'capacity data'!$E:$E,"PSO")/SUMIFS('capacity data'!$G:$G,'capacity data'!$E:$E,"PSO",'capacity data'!$B:$B,B30),"")</f>
        <v/>
      </c>
      <c r="I30" s="153"/>
      <c r="J30" s="66" t="str">
        <f>IFERROR(SUMIFS('capacity data'!$L:$L,'capacity data'!$B:$B,B30,'capacity data'!$E:$E,"TPO")/SUM((SUMIFS('capacity data'!$G:$G,'capacity data'!$E:$E,"TPO",'capacity data'!$B:$B,B30))-SUMIFS('capacity data'!$H:$H,'capacity data'!$E:$E,"TPO",'capacity data'!$B:$B,B30)),"")</f>
        <v/>
      </c>
      <c r="K30" s="66" t="str">
        <f>IFERROR(SUMIFS('capacity data'!$L:$L,'capacity data'!$B:$B,B30,'capacity data'!$E:$E,"TPO")/SUMIFS('capacity data'!$G:$G,'capacity data'!$E:$E,"TPO",'capacity data'!$B:$B,B30),"")</f>
        <v/>
      </c>
    </row>
    <row r="31" spans="1:11" ht="16" x14ac:dyDescent="0.2">
      <c r="A31" s="221"/>
      <c r="B31" s="62">
        <f>HLOOKUP($B$4,Region_Table,25,0)</f>
        <v>0</v>
      </c>
      <c r="C31" s="67" t="str">
        <f>IFERROR(SUM((SUMIFS('capacity data'!$G:$G,'capacity data'!$E:$E,"PO",'capacity data'!$B:$B,'cluster capacity, unallocateds'!B31))-SUMIFS('capacity data'!$H:$H,'capacity data'!$E:$E,"PO",'capacity data'!$B:$B,'cluster capacity, unallocateds'!B31))/SUMIFS('capacity data'!$G:$G,'capacity data'!$E:$E,"PO",'capacity data'!$B:$B,'cluster capacity, unallocateds'!B31),"")</f>
        <v/>
      </c>
      <c r="D31" s="67" t="str">
        <f>IFERROR(SUM((SUMIFS('capacity data'!$G:$G,'capacity data'!$E:$E,"PSO",'capacity data'!$B:$B,'cluster capacity, unallocateds'!B31))-SUMIFS('capacity data'!$H:$H,'capacity data'!$E:$E,"PSO",'capacity data'!$B:$B,'cluster capacity, unallocateds'!B31))/SUMIFS('capacity data'!$G:$G,'capacity data'!$E:$E,"PSO",'capacity data'!$B:$B,'cluster capacity, unallocateds'!B31),"")</f>
        <v/>
      </c>
      <c r="E31" s="67" t="str">
        <f>IFERROR(SUM((SUMIFS('capacity data'!$G:$G,'capacity data'!$E:$E,"TPO",'capacity data'!$B:$B,'cluster capacity, unallocateds'!B31))-SUMIFS('capacity data'!$H:$H,'capacity data'!$E:$E,"TPO",'capacity data'!$B:$B,'cluster capacity, unallocateds'!B31))/SUMIFS('capacity data'!$G:$G,'capacity data'!$E:$E,"TPO",'capacity data'!$B:$B,'cluster capacity, unallocateds'!B31),"")</f>
        <v/>
      </c>
      <c r="F31" s="153"/>
      <c r="G31" s="211" t="str">
        <f>IFERROR(SUMIFS('capacity data'!$L:$L,'capacity data'!$B:$B,B31,'capacity data'!$E:$E,"PSO")/SUM((SUMIFS('capacity data'!$G:$G,'capacity data'!$E:$E,"PSO",'capacity data'!$B:$B,B31))-SUMIFS('capacity data'!$H:$H,'capacity data'!$E:$E,"PSO",'capacity data'!$B:$B,B31)),"")</f>
        <v/>
      </c>
      <c r="H31" s="211" t="str">
        <f>IFERROR(SUMIFS('capacity data'!$L:$L,'capacity data'!$B:$B,B31,'capacity data'!$E:$E,"PSO")/SUMIFS('capacity data'!$G:$G,'capacity data'!$E:$E,"PSO",'capacity data'!$B:$B,B31),"")</f>
        <v/>
      </c>
      <c r="I31" s="153"/>
      <c r="J31" s="66" t="str">
        <f>IFERROR(SUMIFS('capacity data'!$L:$L,'capacity data'!$B:$B,B31,'capacity data'!$E:$E,"TPO")/SUM((SUMIFS('capacity data'!$G:$G,'capacity data'!$E:$E,"TPO",'capacity data'!$B:$B,B31))-SUMIFS('capacity data'!$H:$H,'capacity data'!$E:$E,"TPO",'capacity data'!$B:$B,B31)),"")</f>
        <v/>
      </c>
      <c r="K31" s="66" t="str">
        <f>IFERROR(SUMIFS('capacity data'!$L:$L,'capacity data'!$B:$B,B31,'capacity data'!$E:$E,"TPO")/SUMIFS('capacity data'!$G:$G,'capacity data'!$E:$E,"TPO",'capacity data'!$B:$B,B31),"")</f>
        <v/>
      </c>
    </row>
    <row r="32" spans="1:11" ht="16" x14ac:dyDescent="0.2">
      <c r="A32" s="221"/>
      <c r="B32" s="62">
        <f>HLOOKUP($B$4,Region_Table,26,0)</f>
        <v>0</v>
      </c>
      <c r="C32" s="67" t="str">
        <f>IFERROR(SUM((SUMIFS('capacity data'!$G:$G,'capacity data'!$E:$E,"PO",'capacity data'!$B:$B,'cluster capacity, unallocateds'!B32))-SUMIFS('capacity data'!$H:$H,'capacity data'!$E:$E,"PO",'capacity data'!$B:$B,'cluster capacity, unallocateds'!B32))/SUMIFS('capacity data'!$G:$G,'capacity data'!$E:$E,"PO",'capacity data'!$B:$B,'cluster capacity, unallocateds'!B32),"")</f>
        <v/>
      </c>
      <c r="D32" s="67" t="str">
        <f>IFERROR(SUM((SUMIFS('capacity data'!$G:$G,'capacity data'!$E:$E,"PSO",'capacity data'!$B:$B,'cluster capacity, unallocateds'!B32))-SUMIFS('capacity data'!$H:$H,'capacity data'!$E:$E,"PSO",'capacity data'!$B:$B,'cluster capacity, unallocateds'!B32))/SUMIFS('capacity data'!$G:$G,'capacity data'!$E:$E,"PSO",'capacity data'!$B:$B,'cluster capacity, unallocateds'!B32),"")</f>
        <v/>
      </c>
      <c r="E32" s="67" t="str">
        <f>IFERROR(SUM((SUMIFS('capacity data'!$G:$G,'capacity data'!$E:$E,"TPO",'capacity data'!$B:$B,'cluster capacity, unallocateds'!B32))-SUMIFS('capacity data'!$H:$H,'capacity data'!$E:$E,"TPO",'capacity data'!$B:$B,'cluster capacity, unallocateds'!B32))/SUMIFS('capacity data'!$G:$G,'capacity data'!$E:$E,"TPO",'capacity data'!$B:$B,'cluster capacity, unallocateds'!B32),"")</f>
        <v/>
      </c>
      <c r="F32" s="153"/>
      <c r="G32" s="211" t="str">
        <f>IFERROR(SUMIFS('capacity data'!$L:$L,'capacity data'!$B:$B,B32,'capacity data'!$E:$E,"PSO")/SUM((SUMIFS('capacity data'!$G:$G,'capacity data'!$E:$E,"PSO",'capacity data'!$B:$B,B32))-SUMIFS('capacity data'!$H:$H,'capacity data'!$E:$E,"PSO",'capacity data'!$B:$B,B32)),"")</f>
        <v/>
      </c>
      <c r="H32" s="211" t="str">
        <f>IFERROR(SUMIFS('capacity data'!$L:$L,'capacity data'!$B:$B,B32,'capacity data'!$E:$E,"PSO")/SUMIFS('capacity data'!$G:$G,'capacity data'!$E:$E,"PSO",'capacity data'!$B:$B,B32),"")</f>
        <v/>
      </c>
      <c r="I32" s="153"/>
      <c r="J32" s="66" t="str">
        <f>IFERROR(SUMIFS('capacity data'!$L:$L,'capacity data'!$B:$B,B32,'capacity data'!$E:$E,"TPO")/SUM((SUMIFS('capacity data'!$G:$G,'capacity data'!$E:$E,"TPO",'capacity data'!$B:$B,B32))-SUMIFS('capacity data'!$H:$H,'capacity data'!$E:$E,"TPO",'capacity data'!$B:$B,B32)),"")</f>
        <v/>
      </c>
      <c r="K32" s="66" t="str">
        <f>IFERROR(SUMIFS('capacity data'!$L:$L,'capacity data'!$B:$B,B32,'capacity data'!$E:$E,"TPO")/SUMIFS('capacity data'!$G:$G,'capacity data'!$E:$E,"TPO",'capacity data'!$B:$B,B32),"")</f>
        <v/>
      </c>
    </row>
    <row r="33" spans="1:23" ht="16" x14ac:dyDescent="0.2">
      <c r="A33" s="221"/>
      <c r="B33" s="62">
        <f>HLOOKUP($B$4,Region_Table,27,0)</f>
        <v>0</v>
      </c>
      <c r="C33" s="67" t="str">
        <f>IFERROR(SUM((SUMIFS('capacity data'!$G:$G,'capacity data'!$E:$E,"PO",'capacity data'!$B:$B,'cluster capacity, unallocateds'!B33))-SUMIFS('capacity data'!$H:$H,'capacity data'!$E:$E,"PO",'capacity data'!$B:$B,'cluster capacity, unallocateds'!B33))/SUMIFS('capacity data'!$G:$G,'capacity data'!$E:$E,"PO",'capacity data'!$B:$B,'cluster capacity, unallocateds'!B33),"")</f>
        <v/>
      </c>
      <c r="D33" s="67" t="str">
        <f>IFERROR(SUM((SUMIFS('capacity data'!$G:$G,'capacity data'!$E:$E,"PSO",'capacity data'!$B:$B,'cluster capacity, unallocateds'!B33))-SUMIFS('capacity data'!$H:$H,'capacity data'!$E:$E,"PSO",'capacity data'!$B:$B,'cluster capacity, unallocateds'!B33))/SUMIFS('capacity data'!$G:$G,'capacity data'!$E:$E,"PSO",'capacity data'!$B:$B,'cluster capacity, unallocateds'!B33),"")</f>
        <v/>
      </c>
      <c r="E33" s="67" t="str">
        <f>IFERROR(SUM((SUMIFS('capacity data'!$G:$G,'capacity data'!$E:$E,"TPO",'capacity data'!$B:$B,'cluster capacity, unallocateds'!B33))-SUMIFS('capacity data'!$H:$H,'capacity data'!$E:$E,"TPO",'capacity data'!$B:$B,'cluster capacity, unallocateds'!B33))/SUMIFS('capacity data'!$G:$G,'capacity data'!$E:$E,"TPO",'capacity data'!$B:$B,'cluster capacity, unallocateds'!B33),"")</f>
        <v/>
      </c>
      <c r="F33" s="153"/>
      <c r="G33" s="211" t="str">
        <f>IFERROR(SUMIFS('capacity data'!$L:$L,'capacity data'!$B:$B,B33,'capacity data'!$E:$E,"PSO")/SUM((SUMIFS('capacity data'!$G:$G,'capacity data'!$E:$E,"PSO",'capacity data'!$B:$B,B33))-SUMIFS('capacity data'!$H:$H,'capacity data'!$E:$E,"PSO",'capacity data'!$B:$B,B33)),"")</f>
        <v/>
      </c>
      <c r="H33" s="211" t="str">
        <f>IFERROR(SUMIFS('capacity data'!$L:$L,'capacity data'!$B:$B,B33,'capacity data'!$E:$E,"PSO")/SUMIFS('capacity data'!$G:$G,'capacity data'!$E:$E,"PSO",'capacity data'!$B:$B,B33),"")</f>
        <v/>
      </c>
      <c r="I33" s="153"/>
      <c r="J33" s="66" t="str">
        <f>IFERROR(SUMIFS('capacity data'!$L:$L,'capacity data'!$B:$B,B33,'capacity data'!$E:$E,"TPO")/SUM((SUMIFS('capacity data'!$G:$G,'capacity data'!$E:$E,"TPO",'capacity data'!$B:$B,B33))-SUMIFS('capacity data'!$H:$H,'capacity data'!$E:$E,"TPO",'capacity data'!$B:$B,B33)),"")</f>
        <v/>
      </c>
      <c r="K33" s="66" t="str">
        <f>IFERROR(SUMIFS('capacity data'!$L:$L,'capacity data'!$B:$B,B33,'capacity data'!$E:$E,"TPO")/SUMIFS('capacity data'!$G:$G,'capacity data'!$E:$E,"TPO",'capacity data'!$B:$B,B33),"")</f>
        <v/>
      </c>
    </row>
    <row r="34" spans="1:23" ht="16" x14ac:dyDescent="0.2">
      <c r="A34" s="221"/>
      <c r="B34" s="62">
        <f>HLOOKUP($B$4,Region_Table,28,0)</f>
        <v>0</v>
      </c>
      <c r="C34" s="67" t="str">
        <f>IFERROR(SUM((SUMIFS('capacity data'!$G:$G,'capacity data'!$E:$E,"PO",'capacity data'!$B:$B,'cluster capacity, unallocateds'!B34))-SUMIFS('capacity data'!$H:$H,'capacity data'!$E:$E,"PO",'capacity data'!$B:$B,'cluster capacity, unallocateds'!B34))/SUMIFS('capacity data'!$G:$G,'capacity data'!$E:$E,"PO",'capacity data'!$B:$B,'cluster capacity, unallocateds'!B34),"")</f>
        <v/>
      </c>
      <c r="D34" s="67" t="str">
        <f>IFERROR(SUM((SUMIFS('capacity data'!$G:$G,'capacity data'!$E:$E,"PSO",'capacity data'!$B:$B,'cluster capacity, unallocateds'!B34))-SUMIFS('capacity data'!$H:$H,'capacity data'!$E:$E,"PSO",'capacity data'!$B:$B,'cluster capacity, unallocateds'!B34))/SUMIFS('capacity data'!$G:$G,'capacity data'!$E:$E,"PSO",'capacity data'!$B:$B,'cluster capacity, unallocateds'!B34),"")</f>
        <v/>
      </c>
      <c r="E34" s="67" t="str">
        <f>IFERROR(SUM((SUMIFS('capacity data'!$G:$G,'capacity data'!$E:$E,"TPO",'capacity data'!$B:$B,'cluster capacity, unallocateds'!B34))-SUMIFS('capacity data'!$H:$H,'capacity data'!$E:$E,"TPO",'capacity data'!$B:$B,'cluster capacity, unallocateds'!B34))/SUMIFS('capacity data'!$G:$G,'capacity data'!$E:$E,"TPO",'capacity data'!$B:$B,'cluster capacity, unallocateds'!B34),"")</f>
        <v/>
      </c>
      <c r="F34" s="153"/>
      <c r="G34" s="211" t="str">
        <f>IFERROR(SUMIFS('capacity data'!$L:$L,'capacity data'!$B:$B,B34,'capacity data'!$E:$E,"PSO")/SUM((SUMIFS('capacity data'!$G:$G,'capacity data'!$E:$E,"PSO",'capacity data'!$B:$B,B34))-SUMIFS('capacity data'!$H:$H,'capacity data'!$E:$E,"PSO",'capacity data'!$B:$B,B34)),"")</f>
        <v/>
      </c>
      <c r="H34" s="211" t="str">
        <f>IFERROR(SUMIFS('capacity data'!$L:$L,'capacity data'!$B:$B,B34,'capacity data'!$E:$E,"PSO")/SUMIFS('capacity data'!$G:$G,'capacity data'!$E:$E,"PSO",'capacity data'!$B:$B,B34),"")</f>
        <v/>
      </c>
      <c r="I34" s="153"/>
      <c r="J34" s="66" t="str">
        <f>IFERROR(SUMIFS('capacity data'!$L:$L,'capacity data'!$B:$B,B34,'capacity data'!$E:$E,"TPO")/SUM((SUMIFS('capacity data'!$G:$G,'capacity data'!$E:$E,"TPO",'capacity data'!$B:$B,B34))-SUMIFS('capacity data'!$H:$H,'capacity data'!$E:$E,"TPO",'capacity data'!$B:$B,B34)),"")</f>
        <v/>
      </c>
      <c r="K34" s="66" t="str">
        <f>IFERROR(SUMIFS('capacity data'!$L:$L,'capacity data'!$B:$B,B34,'capacity data'!$E:$E,"TPO")/SUMIFS('capacity data'!$G:$G,'capacity data'!$E:$E,"TPO",'capacity data'!$B:$B,B34),"")</f>
        <v/>
      </c>
    </row>
    <row r="35" spans="1:23" ht="52.5" customHeight="1" x14ac:dyDescent="0.2">
      <c r="A35" s="10"/>
      <c r="B35" s="1"/>
      <c r="C35" s="2"/>
      <c r="D35" s="2"/>
      <c r="E35" s="2"/>
      <c r="F35" s="2"/>
      <c r="G35" s="2"/>
      <c r="H35" s="2"/>
      <c r="I35" s="2"/>
      <c r="J35" s="2"/>
      <c r="K35" s="2"/>
      <c r="L35" s="2"/>
      <c r="M35" s="2"/>
      <c r="N35" s="2"/>
      <c r="O35" s="2"/>
      <c r="P35" s="2"/>
      <c r="Q35" s="2"/>
      <c r="R35" s="2"/>
      <c r="S35" s="2"/>
      <c r="T35" s="2"/>
      <c r="U35" s="2"/>
      <c r="V35" s="2"/>
      <c r="W35" s="1"/>
    </row>
    <row r="36" spans="1:23" ht="84" x14ac:dyDescent="0.2">
      <c r="A36" s="10"/>
      <c r="B36" s="219" t="s">
        <v>1098</v>
      </c>
      <c r="C36" s="157" t="s">
        <v>1107</v>
      </c>
      <c r="D36" s="157" t="s">
        <v>1108</v>
      </c>
      <c r="E36" s="157" t="s">
        <v>1109</v>
      </c>
      <c r="F36" s="157" t="s">
        <v>1110</v>
      </c>
      <c r="G36" s="157" t="s">
        <v>1111</v>
      </c>
      <c r="H36" s="157" t="s">
        <v>1112</v>
      </c>
      <c r="I36" s="157" t="s">
        <v>1113</v>
      </c>
      <c r="J36" s="158" t="s">
        <v>1114</v>
      </c>
      <c r="K36" s="157" t="s">
        <v>1115</v>
      </c>
      <c r="L36" s="157" t="s">
        <v>1116</v>
      </c>
      <c r="M36" s="157" t="s">
        <v>1117</v>
      </c>
      <c r="N36" s="2"/>
      <c r="O36" s="2"/>
      <c r="P36" s="2"/>
      <c r="Q36" s="2"/>
      <c r="R36" s="2"/>
      <c r="S36" s="2"/>
      <c r="T36" s="2"/>
      <c r="U36" s="2"/>
      <c r="V36" s="2"/>
      <c r="W36" s="1"/>
    </row>
    <row r="37" spans="1:23" ht="16" x14ac:dyDescent="0.2">
      <c r="A37" s="10"/>
      <c r="B37" s="154" t="s">
        <v>1020</v>
      </c>
      <c r="C37" s="159">
        <f>COUNTIF('capacity data'!E:E,"PO")</f>
        <v>0</v>
      </c>
      <c r="D37" s="159">
        <f>COUNTIFS('capacity data'!E:E,"PO",'capacity data'!F:F,"&gt;110%")</f>
        <v>0</v>
      </c>
      <c r="E37" s="160" t="str">
        <f>IFERROR((D37/C37),"0")</f>
        <v>0</v>
      </c>
      <c r="F37" s="159">
        <f>COUNTIF('capacity data'!E:E,"PSO")</f>
        <v>0</v>
      </c>
      <c r="G37" s="159">
        <f>COUNTIFS('capacity data'!E:E,"PSO",'capacity data'!F:F,"&gt;110%")</f>
        <v>0</v>
      </c>
      <c r="H37" s="160" t="str">
        <f>IFERROR((G37/F37),"")</f>
        <v/>
      </c>
      <c r="I37" s="159">
        <f>COUNTIFS('capacity data'!E:E,"PSO",'capacity data'!F:F,"&lt;90%")</f>
        <v>0</v>
      </c>
      <c r="J37" s="160" t="str">
        <f>IFERROR((I37/F37),"")</f>
        <v/>
      </c>
      <c r="K37" s="159">
        <f>COUNTIF('capacity data'!E:E,"TPO")</f>
        <v>0</v>
      </c>
      <c r="L37" s="159">
        <f>COUNTIFS('capacity data'!E:E,"TPO",'capacity data'!F:F,"&gt;110%")</f>
        <v>0</v>
      </c>
      <c r="M37" s="160" t="str">
        <f>IFERROR((L37/K37),"")</f>
        <v/>
      </c>
      <c r="N37" s="2"/>
      <c r="O37" s="2"/>
      <c r="P37" s="2"/>
      <c r="Q37" s="2"/>
      <c r="R37" s="2"/>
      <c r="S37" s="2"/>
      <c r="T37" s="2"/>
      <c r="U37" s="2"/>
      <c r="V37" s="2"/>
      <c r="W37" s="1"/>
    </row>
    <row r="38" spans="1:23" ht="16" x14ac:dyDescent="0.2">
      <c r="A38" s="10"/>
      <c r="B38" s="62" t="str">
        <f>HLOOKUP($B$4,Region_Table,2,0)</f>
        <v>All East Midlands Region</v>
      </c>
      <c r="C38" s="75">
        <f>COUNTIFS('capacity data'!$B:$B,'cluster capacity, unallocateds'!B38,'capacity data'!$E:$E,"PO")</f>
        <v>0</v>
      </c>
      <c r="D38" s="75">
        <f>COUNTIFS('capacity data'!$B:$B,'cluster capacity, unallocateds'!B38,'capacity data'!$E:$E,"PO",'capacity data'!$F:$F,"&gt;110%")</f>
        <v>0</v>
      </c>
      <c r="E38" s="66" t="str">
        <f t="shared" ref="E38:E56" si="0">IFERROR((D38/C38),"")</f>
        <v/>
      </c>
      <c r="F38" s="75">
        <f>COUNTIFS('capacity data'!$B:$B,'cluster capacity, unallocateds'!B38,'capacity data'!$E:$E,"PSO")</f>
        <v>0</v>
      </c>
      <c r="G38" s="75">
        <f>COUNTIFS('capacity data'!$B:$B,'cluster capacity, unallocateds'!B38,'capacity data'!$E:$E,"PSO",'capacity data'!$F:$F,"&gt;110%")</f>
        <v>0</v>
      </c>
      <c r="H38" s="66" t="str">
        <f t="shared" ref="H38:H56" si="1">IFERROR((G38/F38),"")</f>
        <v/>
      </c>
      <c r="I38" s="75">
        <f>COUNTIFS('capacity data'!$B:$B,'cluster capacity, unallocateds'!B38,'capacity data'!$E:$E,"PSO",'capacity data'!$F:$F,"&lt;90%")</f>
        <v>0</v>
      </c>
      <c r="J38" s="66" t="str">
        <f t="shared" ref="J38:J56" si="2">IFERROR((I38/F38),"")</f>
        <v/>
      </c>
      <c r="K38" s="75">
        <f>COUNTIFS('capacity data'!$B:$B,'cluster capacity, unallocateds'!B38,'capacity data'!$E:$E,"TPO")</f>
        <v>0</v>
      </c>
      <c r="L38" s="75">
        <f>COUNTIFS('capacity data'!$B:$B,'cluster capacity, unallocateds'!B38,'capacity data'!$E:$E,"TPO",'capacity data'!$F:$F,"&gt;110%")</f>
        <v>0</v>
      </c>
      <c r="M38" s="66" t="str">
        <f t="shared" ref="M38:M56" si="3">IFERROR((L38/K38),"")</f>
        <v/>
      </c>
      <c r="N38" s="2"/>
      <c r="O38" s="2"/>
      <c r="P38" s="2"/>
      <c r="Q38" s="2"/>
      <c r="R38" s="2"/>
      <c r="S38" s="2"/>
      <c r="T38" s="2"/>
      <c r="U38" s="2"/>
      <c r="V38" s="2"/>
      <c r="W38" s="1"/>
    </row>
    <row r="39" spans="1:23" ht="16" x14ac:dyDescent="0.2">
      <c r="A39" s="10"/>
      <c r="B39" s="62" t="str">
        <f>HLOOKUP($B$4,Region_Table,3,0)</f>
        <v>Derby City - N53</v>
      </c>
      <c r="C39" s="75">
        <f>COUNTIFS('capacity data'!$B:$B,'cluster capacity, unallocateds'!B39,'capacity data'!$E:$E,"PO")</f>
        <v>0</v>
      </c>
      <c r="D39" s="75">
        <f>COUNTIFS('capacity data'!$B:$B,'cluster capacity, unallocateds'!B39,'capacity data'!$E:$E,"PO",'capacity data'!$F:$F,"&gt;110%")</f>
        <v>0</v>
      </c>
      <c r="E39" s="66" t="str">
        <f t="shared" si="0"/>
        <v/>
      </c>
      <c r="F39" s="75">
        <f>COUNTIFS('capacity data'!$B:$B,'cluster capacity, unallocateds'!B39,'capacity data'!$E:$E,"PSO")</f>
        <v>0</v>
      </c>
      <c r="G39" s="75">
        <f>COUNTIFS('capacity data'!$B:$B,'cluster capacity, unallocateds'!B39,'capacity data'!$E:$E,"PSO",'capacity data'!$F:$F,"&gt;110%")</f>
        <v>0</v>
      </c>
      <c r="H39" s="66" t="str">
        <f t="shared" si="1"/>
        <v/>
      </c>
      <c r="I39" s="75">
        <f>COUNTIFS('capacity data'!$B:$B,'cluster capacity, unallocateds'!B39,'capacity data'!$E:$E,"PSO",'capacity data'!$F:$F,"&lt;90%")</f>
        <v>0</v>
      </c>
      <c r="J39" s="66" t="str">
        <f t="shared" si="2"/>
        <v/>
      </c>
      <c r="K39" s="75">
        <f>COUNTIFS('capacity data'!$B:$B,'cluster capacity, unallocateds'!B39,'capacity data'!$E:$E,"TPO")</f>
        <v>0</v>
      </c>
      <c r="L39" s="75">
        <f>COUNTIFS('capacity data'!$B:$B,'cluster capacity, unallocateds'!B39,'capacity data'!$E:$E,"TPO",'capacity data'!$F:$F,"&gt;110%")</f>
        <v>0</v>
      </c>
      <c r="M39" s="66" t="str">
        <f t="shared" si="3"/>
        <v/>
      </c>
      <c r="N39" s="2"/>
      <c r="O39" s="2"/>
      <c r="P39" s="2"/>
      <c r="Q39" s="2"/>
      <c r="R39" s="2"/>
      <c r="S39" s="2"/>
      <c r="T39" s="2"/>
      <c r="U39" s="2"/>
      <c r="V39" s="2"/>
      <c r="W39" s="1"/>
    </row>
    <row r="40" spans="1:23" ht="16" x14ac:dyDescent="0.2">
      <c r="A40" s="10"/>
      <c r="B40" s="62" t="str">
        <f>HLOOKUP($B$4,Region_Table,4,0)</f>
        <v>Derbyshire - N53</v>
      </c>
      <c r="C40" s="75">
        <f>COUNTIFS('capacity data'!$B:$B,'cluster capacity, unallocateds'!B40,'capacity data'!$E:$E,"PO")</f>
        <v>0</v>
      </c>
      <c r="D40" s="75">
        <f>COUNTIFS('capacity data'!$B:$B,'cluster capacity, unallocateds'!B40,'capacity data'!$E:$E,"PO",'capacity data'!$F:$F,"&gt;110%")</f>
        <v>0</v>
      </c>
      <c r="E40" s="66" t="str">
        <f t="shared" si="0"/>
        <v/>
      </c>
      <c r="F40" s="75">
        <f>COUNTIFS('capacity data'!$B:$B,'cluster capacity, unallocateds'!B40,'capacity data'!$E:$E,"PSO")</f>
        <v>0</v>
      </c>
      <c r="G40" s="75">
        <f>COUNTIFS('capacity data'!$B:$B,'cluster capacity, unallocateds'!B40,'capacity data'!$E:$E,"PSO",'capacity data'!$F:$F,"&gt;110%")</f>
        <v>0</v>
      </c>
      <c r="H40" s="66" t="str">
        <f t="shared" si="1"/>
        <v/>
      </c>
      <c r="I40" s="75">
        <f>COUNTIFS('capacity data'!$B:$B,'cluster capacity, unallocateds'!B40,'capacity data'!$E:$E,"PSO",'capacity data'!$F:$F,"&lt;90%")</f>
        <v>0</v>
      </c>
      <c r="J40" s="66" t="str">
        <f t="shared" si="2"/>
        <v/>
      </c>
      <c r="K40" s="75">
        <f>COUNTIFS('capacity data'!$B:$B,'cluster capacity, unallocateds'!B40,'capacity data'!$E:$E,"TPO")</f>
        <v>0</v>
      </c>
      <c r="L40" s="75">
        <f>COUNTIFS('capacity data'!$B:$B,'cluster capacity, unallocateds'!B40,'capacity data'!$E:$E,"TPO",'capacity data'!$F:$F,"&gt;110%")</f>
        <v>0</v>
      </c>
      <c r="M40" s="66" t="str">
        <f t="shared" si="3"/>
        <v/>
      </c>
      <c r="N40" s="2"/>
      <c r="O40" s="2"/>
      <c r="P40" s="2"/>
      <c r="Q40" s="2"/>
      <c r="R40" s="2"/>
      <c r="S40" s="2"/>
      <c r="T40" s="2"/>
      <c r="U40" s="2"/>
      <c r="V40" s="2"/>
      <c r="W40" s="1"/>
    </row>
    <row r="41" spans="1:23" ht="16" x14ac:dyDescent="0.2">
      <c r="A41" s="10"/>
      <c r="B41" s="62" t="str">
        <f>HLOOKUP($B$4,Region_Table,5,0)</f>
        <v>Leicester, Leicestershire and Rutland</v>
      </c>
      <c r="C41" s="75">
        <f>COUNTIFS('capacity data'!$B:$B,'cluster capacity, unallocateds'!B41,'capacity data'!$E:$E,"PO")</f>
        <v>0</v>
      </c>
      <c r="D41" s="75">
        <f>COUNTIFS('capacity data'!$B:$B,'cluster capacity, unallocateds'!B41,'capacity data'!$E:$E,"PO",'capacity data'!$F:$F,"&gt;110%")</f>
        <v>0</v>
      </c>
      <c r="E41" s="66" t="str">
        <f t="shared" si="0"/>
        <v/>
      </c>
      <c r="F41" s="75">
        <f>COUNTIFS('capacity data'!$B:$B,'cluster capacity, unallocateds'!B41,'capacity data'!$E:$E,"PSO")</f>
        <v>0</v>
      </c>
      <c r="G41" s="75">
        <f>COUNTIFS('capacity data'!$B:$B,'cluster capacity, unallocateds'!B41,'capacity data'!$E:$E,"PSO",'capacity data'!$F:$F,"&gt;110%")</f>
        <v>0</v>
      </c>
      <c r="H41" s="66" t="str">
        <f t="shared" si="1"/>
        <v/>
      </c>
      <c r="I41" s="75">
        <f>COUNTIFS('capacity data'!$B:$B,'cluster capacity, unallocateds'!B41,'capacity data'!$E:$E,"PSO",'capacity data'!$F:$F,"&lt;90%")</f>
        <v>0</v>
      </c>
      <c r="J41" s="66" t="str">
        <f t="shared" si="2"/>
        <v/>
      </c>
      <c r="K41" s="75">
        <f>COUNTIFS('capacity data'!$B:$B,'cluster capacity, unallocateds'!B41,'capacity data'!$E:$E,"TPO")</f>
        <v>0</v>
      </c>
      <c r="L41" s="75">
        <f>COUNTIFS('capacity data'!$B:$B,'cluster capacity, unallocateds'!B41,'capacity data'!$E:$E,"TPO",'capacity data'!$F:$F,"&gt;110%")</f>
        <v>0</v>
      </c>
      <c r="M41" s="66" t="str">
        <f t="shared" si="3"/>
        <v/>
      </c>
      <c r="N41" s="2"/>
      <c r="O41" s="2"/>
      <c r="P41" s="2"/>
      <c r="Q41" s="2"/>
      <c r="R41" s="2"/>
      <c r="S41" s="2"/>
      <c r="T41" s="2"/>
      <c r="U41" s="2"/>
      <c r="V41" s="2"/>
      <c r="W41" s="1"/>
    </row>
    <row r="42" spans="1:23" ht="16" x14ac:dyDescent="0.2">
      <c r="A42" s="10"/>
      <c r="B42" s="62" t="str">
        <f>HLOOKUP($B$4,Region_Table,6,0)</f>
        <v>Lincolnshire East and West - N53</v>
      </c>
      <c r="C42" s="75">
        <f>COUNTIFS('capacity data'!$B:$B,'cluster capacity, unallocateds'!B42,'capacity data'!$E:$E,"PO")</f>
        <v>0</v>
      </c>
      <c r="D42" s="75">
        <f>COUNTIFS('capacity data'!$B:$B,'cluster capacity, unallocateds'!B42,'capacity data'!$E:$E,"PO",'capacity data'!$F:$F,"&gt;110%")</f>
        <v>0</v>
      </c>
      <c r="E42" s="66" t="str">
        <f t="shared" si="0"/>
        <v/>
      </c>
      <c r="F42" s="75">
        <f>COUNTIFS('capacity data'!$B:$B,'cluster capacity, unallocateds'!B42,'capacity data'!$E:$E,"PSO")</f>
        <v>0</v>
      </c>
      <c r="G42" s="75">
        <f>COUNTIFS('capacity data'!$B:$B,'cluster capacity, unallocateds'!B42,'capacity data'!$E:$E,"PSO",'capacity data'!$F:$F,"&gt;110%")</f>
        <v>0</v>
      </c>
      <c r="H42" s="66" t="str">
        <f t="shared" si="1"/>
        <v/>
      </c>
      <c r="I42" s="75">
        <f>COUNTIFS('capacity data'!$B:$B,'cluster capacity, unallocateds'!B42,'capacity data'!$E:$E,"PSO",'capacity data'!$F:$F,"&lt;90%")</f>
        <v>0</v>
      </c>
      <c r="J42" s="66" t="str">
        <f t="shared" si="2"/>
        <v/>
      </c>
      <c r="K42" s="75">
        <f>COUNTIFS('capacity data'!$B:$B,'cluster capacity, unallocateds'!B42,'capacity data'!$E:$E,"TPO")</f>
        <v>0</v>
      </c>
      <c r="L42" s="75">
        <f>COUNTIFS('capacity data'!$B:$B,'cluster capacity, unallocateds'!B42,'capacity data'!$E:$E,"TPO",'capacity data'!$F:$F,"&gt;110%")</f>
        <v>0</v>
      </c>
      <c r="M42" s="66" t="str">
        <f t="shared" si="3"/>
        <v/>
      </c>
      <c r="N42" s="2"/>
      <c r="O42" s="2"/>
      <c r="P42" s="2"/>
      <c r="Q42" s="2"/>
      <c r="R42" s="2"/>
      <c r="S42" s="2"/>
      <c r="T42" s="2"/>
      <c r="U42" s="2"/>
      <c r="V42" s="2"/>
      <c r="W42" s="1"/>
    </row>
    <row r="43" spans="1:23" ht="16" x14ac:dyDescent="0.2">
      <c r="A43" s="10"/>
      <c r="B43" s="62" t="str">
        <f>HLOOKUP($B$4,Region_Table,7,0)</f>
        <v>Nottingham City</v>
      </c>
      <c r="C43" s="75">
        <f>COUNTIFS('capacity data'!$B:$B,'cluster capacity, unallocateds'!B43,'capacity data'!$E:$E,"PO")</f>
        <v>0</v>
      </c>
      <c r="D43" s="75">
        <f>COUNTIFS('capacity data'!$B:$B,'cluster capacity, unallocateds'!B43,'capacity data'!$E:$E,"PO",'capacity data'!$F:$F,"&gt;110%")</f>
        <v>0</v>
      </c>
      <c r="E43" s="66" t="str">
        <f t="shared" si="0"/>
        <v/>
      </c>
      <c r="F43" s="75">
        <f>COUNTIFS('capacity data'!$B:$B,'cluster capacity, unallocateds'!B43,'capacity data'!$E:$E,"PSO")</f>
        <v>0</v>
      </c>
      <c r="G43" s="75">
        <f>COUNTIFS('capacity data'!$B:$B,'cluster capacity, unallocateds'!B43,'capacity data'!$E:$E,"PSO",'capacity data'!$F:$F,"&gt;110%")</f>
        <v>0</v>
      </c>
      <c r="H43" s="66" t="str">
        <f t="shared" si="1"/>
        <v/>
      </c>
      <c r="I43" s="75">
        <f>COUNTIFS('capacity data'!$B:$B,'cluster capacity, unallocateds'!B43,'capacity data'!$E:$E,"PSO",'capacity data'!$F:$F,"&lt;90%")</f>
        <v>0</v>
      </c>
      <c r="J43" s="66" t="str">
        <f t="shared" si="2"/>
        <v/>
      </c>
      <c r="K43" s="75">
        <f>COUNTIFS('capacity data'!$B:$B,'cluster capacity, unallocateds'!B43,'capacity data'!$E:$E,"TPO")</f>
        <v>0</v>
      </c>
      <c r="L43" s="75">
        <f>COUNTIFS('capacity data'!$B:$B,'cluster capacity, unallocateds'!B43,'capacity data'!$E:$E,"TPO",'capacity data'!$F:$F,"&gt;110%")</f>
        <v>0</v>
      </c>
      <c r="M43" s="66" t="str">
        <f t="shared" si="3"/>
        <v/>
      </c>
      <c r="N43" s="2"/>
      <c r="O43" s="2"/>
      <c r="P43" s="2"/>
      <c r="Q43" s="2"/>
      <c r="R43" s="2"/>
      <c r="S43" s="2"/>
      <c r="T43" s="2"/>
      <c r="U43" s="2"/>
      <c r="V43" s="2"/>
      <c r="W43" s="1"/>
    </row>
    <row r="44" spans="1:23" ht="16" x14ac:dyDescent="0.2">
      <c r="A44" s="10"/>
      <c r="B44" s="62" t="str">
        <f>HLOOKUP($B$4,Region_Table,8,0)</f>
        <v>Nottinghamshire - N53</v>
      </c>
      <c r="C44" s="75">
        <f>COUNTIFS('capacity data'!$B:$B,'cluster capacity, unallocateds'!B44,'capacity data'!$E:$E,"PO")</f>
        <v>0</v>
      </c>
      <c r="D44" s="75">
        <f>COUNTIFS('capacity data'!$B:$B,'cluster capacity, unallocateds'!B44,'capacity data'!$E:$E,"PO",'capacity data'!$F:$F,"&gt;110%")</f>
        <v>0</v>
      </c>
      <c r="E44" s="66" t="str">
        <f t="shared" si="0"/>
        <v/>
      </c>
      <c r="F44" s="75">
        <f>COUNTIFS('capacity data'!$B:$B,'cluster capacity, unallocateds'!B44,'capacity data'!$E:$E,"PSO")</f>
        <v>0</v>
      </c>
      <c r="G44" s="75">
        <f>COUNTIFS('capacity data'!$B:$B,'cluster capacity, unallocateds'!B44,'capacity data'!$E:$E,"PSO",'capacity data'!$F:$F,"&gt;110%")</f>
        <v>0</v>
      </c>
      <c r="H44" s="66" t="str">
        <f t="shared" si="1"/>
        <v/>
      </c>
      <c r="I44" s="75">
        <f>COUNTIFS('capacity data'!$B:$B,'cluster capacity, unallocateds'!B44,'capacity data'!$E:$E,"PSO",'capacity data'!$F:$F,"&lt;90%")</f>
        <v>0</v>
      </c>
      <c r="J44" s="66" t="str">
        <f t="shared" si="2"/>
        <v/>
      </c>
      <c r="K44" s="75">
        <f>COUNTIFS('capacity data'!$B:$B,'cluster capacity, unallocateds'!B44,'capacity data'!$E:$E,"TPO")</f>
        <v>0</v>
      </c>
      <c r="L44" s="75">
        <f>COUNTIFS('capacity data'!$B:$B,'cluster capacity, unallocateds'!B44,'capacity data'!$E:$E,"TPO",'capacity data'!$F:$F,"&gt;110%")</f>
        <v>0</v>
      </c>
      <c r="M44" s="66" t="str">
        <f t="shared" si="3"/>
        <v/>
      </c>
      <c r="N44" s="2"/>
      <c r="O44" s="2"/>
      <c r="P44" s="2"/>
      <c r="Q44" s="2"/>
      <c r="R44" s="2"/>
      <c r="S44" s="2"/>
      <c r="T44" s="2"/>
      <c r="U44" s="2"/>
      <c r="V44" s="2"/>
      <c r="W44" s="1"/>
    </row>
    <row r="45" spans="1:23" ht="16" x14ac:dyDescent="0.2">
      <c r="A45" s="10"/>
      <c r="B45" s="62" t="str">
        <f>HLOOKUP($B$4,Region_Table,9,0)</f>
        <v>Unpaid Work and Attendance Centres - N53</v>
      </c>
      <c r="C45" s="75">
        <f>COUNTIFS('capacity data'!$B:$B,'cluster capacity, unallocateds'!B45,'capacity data'!$E:$E,"PO")</f>
        <v>0</v>
      </c>
      <c r="D45" s="75">
        <f>COUNTIFS('capacity data'!$B:$B,'cluster capacity, unallocateds'!B45,'capacity data'!$E:$E,"PO",'capacity data'!$F:$F,"&gt;110%")</f>
        <v>0</v>
      </c>
      <c r="E45" s="66" t="str">
        <f t="shared" si="0"/>
        <v/>
      </c>
      <c r="F45" s="75">
        <f>COUNTIFS('capacity data'!$B:$B,'cluster capacity, unallocateds'!B45,'capacity data'!$E:$E,"PSO")</f>
        <v>0</v>
      </c>
      <c r="G45" s="75">
        <f>COUNTIFS('capacity data'!$B:$B,'cluster capacity, unallocateds'!B45,'capacity data'!$E:$E,"PSO",'capacity data'!$F:$F,"&gt;110%")</f>
        <v>0</v>
      </c>
      <c r="H45" s="66" t="str">
        <f t="shared" si="1"/>
        <v/>
      </c>
      <c r="I45" s="75">
        <f>COUNTIFS('capacity data'!$B:$B,'cluster capacity, unallocateds'!B45,'capacity data'!$E:$E,"PSO",'capacity data'!$F:$F,"&lt;90%")</f>
        <v>0</v>
      </c>
      <c r="J45" s="66" t="str">
        <f t="shared" si="2"/>
        <v/>
      </c>
      <c r="K45" s="75">
        <f>COUNTIFS('capacity data'!$B:$B,'cluster capacity, unallocateds'!B45,'capacity data'!$E:$E,"TPO")</f>
        <v>0</v>
      </c>
      <c r="L45" s="75">
        <f>COUNTIFS('capacity data'!$B:$B,'cluster capacity, unallocateds'!B45,'capacity data'!$E:$E,"TPO",'capacity data'!$F:$F,"&gt;110%")</f>
        <v>0</v>
      </c>
      <c r="M45" s="66" t="str">
        <f t="shared" si="3"/>
        <v/>
      </c>
      <c r="N45" s="2"/>
      <c r="O45" s="2"/>
      <c r="P45" s="2"/>
      <c r="Q45" s="2"/>
      <c r="R45" s="2"/>
      <c r="S45" s="2"/>
      <c r="T45" s="2"/>
      <c r="U45" s="2"/>
      <c r="V45" s="2"/>
      <c r="W45" s="1"/>
    </row>
    <row r="46" spans="1:23" ht="16" x14ac:dyDescent="0.2">
      <c r="A46" s="10"/>
      <c r="B46" s="62">
        <f>HLOOKUP($B$4,Region_Table,10,0)</f>
        <v>0</v>
      </c>
      <c r="C46" s="75">
        <f>COUNTIFS('capacity data'!$B:$B,'cluster capacity, unallocateds'!B46,'capacity data'!$E:$E,"PO")</f>
        <v>0</v>
      </c>
      <c r="D46" s="75">
        <f>COUNTIFS('capacity data'!$B:$B,'cluster capacity, unallocateds'!B46,'capacity data'!$E:$E,"PO",'capacity data'!$F:$F,"&gt;110%")</f>
        <v>0</v>
      </c>
      <c r="E46" s="66" t="str">
        <f t="shared" si="0"/>
        <v/>
      </c>
      <c r="F46" s="75">
        <f>COUNTIFS('capacity data'!$B:$B,'cluster capacity, unallocateds'!B46,'capacity data'!$E:$E,"PSO")</f>
        <v>0</v>
      </c>
      <c r="G46" s="75">
        <f>COUNTIFS('capacity data'!$B:$B,'cluster capacity, unallocateds'!B46,'capacity data'!$E:$E,"PSO",'capacity data'!$F:$F,"&gt;110%")</f>
        <v>0</v>
      </c>
      <c r="H46" s="66" t="str">
        <f t="shared" si="1"/>
        <v/>
      </c>
      <c r="I46" s="75">
        <f>COUNTIFS('capacity data'!$B:$B,'cluster capacity, unallocateds'!B46,'capacity data'!$E:$E,"PSO",'capacity data'!$F:$F,"&lt;90%")</f>
        <v>0</v>
      </c>
      <c r="J46" s="66" t="str">
        <f t="shared" si="2"/>
        <v/>
      </c>
      <c r="K46" s="75">
        <f>COUNTIFS('capacity data'!$B:$B,'cluster capacity, unallocateds'!B46,'capacity data'!$E:$E,"TPO")</f>
        <v>0</v>
      </c>
      <c r="L46" s="75">
        <f>COUNTIFS('capacity data'!$B:$B,'cluster capacity, unallocateds'!B46,'capacity data'!$E:$E,"TPO",'capacity data'!$F:$F,"&gt;110%")</f>
        <v>0</v>
      </c>
      <c r="M46" s="66" t="str">
        <f t="shared" si="3"/>
        <v/>
      </c>
      <c r="N46" s="2"/>
      <c r="O46" s="2"/>
      <c r="P46" s="2"/>
      <c r="Q46" s="2"/>
      <c r="R46" s="2"/>
      <c r="S46" s="2"/>
      <c r="T46" s="2"/>
      <c r="U46" s="2"/>
      <c r="V46" s="2"/>
      <c r="W46" s="1"/>
    </row>
    <row r="47" spans="1:23" ht="16" x14ac:dyDescent="0.2">
      <c r="A47" s="10"/>
      <c r="B47" s="62">
        <f>HLOOKUP($B$4,Region_Table,11,0)</f>
        <v>0</v>
      </c>
      <c r="C47" s="75">
        <f>COUNTIFS('capacity data'!$B:$B,'cluster capacity, unallocateds'!B47,'capacity data'!$E:$E,"PO")</f>
        <v>0</v>
      </c>
      <c r="D47" s="75">
        <f>COUNTIFS('capacity data'!$B:$B,'cluster capacity, unallocateds'!B47,'capacity data'!$E:$E,"PO",'capacity data'!$F:$F,"&gt;110%")</f>
        <v>0</v>
      </c>
      <c r="E47" s="66" t="str">
        <f t="shared" si="0"/>
        <v/>
      </c>
      <c r="F47" s="75">
        <f>COUNTIFS('capacity data'!$B:$B,'cluster capacity, unallocateds'!B47,'capacity data'!$E:$E,"PSO")</f>
        <v>0</v>
      </c>
      <c r="G47" s="75">
        <f>COUNTIFS('capacity data'!$B:$B,'cluster capacity, unallocateds'!B47,'capacity data'!$E:$E,"PSO",'capacity data'!$F:$F,"&gt;110%")</f>
        <v>0</v>
      </c>
      <c r="H47" s="66" t="str">
        <f t="shared" si="1"/>
        <v/>
      </c>
      <c r="I47" s="75">
        <f>COUNTIFS('capacity data'!$B:$B,'cluster capacity, unallocateds'!B47,'capacity data'!$E:$E,"PSO",'capacity data'!$F:$F,"&lt;90%")</f>
        <v>0</v>
      </c>
      <c r="J47" s="66" t="str">
        <f t="shared" si="2"/>
        <v/>
      </c>
      <c r="K47" s="75">
        <f>COUNTIFS('capacity data'!$B:$B,'cluster capacity, unallocateds'!B47,'capacity data'!$E:$E,"TPO")</f>
        <v>0</v>
      </c>
      <c r="L47" s="75">
        <f>COUNTIFS('capacity data'!$B:$B,'cluster capacity, unallocateds'!B47,'capacity data'!$E:$E,"TPO",'capacity data'!$F:$F,"&gt;110%")</f>
        <v>0</v>
      </c>
      <c r="M47" s="66" t="str">
        <f t="shared" si="3"/>
        <v/>
      </c>
      <c r="N47" s="2"/>
      <c r="O47" s="2"/>
      <c r="P47" s="2"/>
      <c r="Q47" s="2"/>
      <c r="R47" s="2"/>
      <c r="S47" s="2"/>
      <c r="T47" s="2"/>
      <c r="U47" s="2"/>
      <c r="V47" s="2"/>
      <c r="W47" s="1"/>
    </row>
    <row r="48" spans="1:23" ht="16" x14ac:dyDescent="0.2">
      <c r="A48" s="10"/>
      <c r="B48" s="62">
        <f>HLOOKUP($B$4,Region_Table,12,0)</f>
        <v>0</v>
      </c>
      <c r="C48" s="75">
        <f>COUNTIFS('capacity data'!$B:$B,'cluster capacity, unallocateds'!B48,'capacity data'!$E:$E,"PO")</f>
        <v>0</v>
      </c>
      <c r="D48" s="75">
        <f>COUNTIFS('capacity data'!$B:$B,'cluster capacity, unallocateds'!B48,'capacity data'!$E:$E,"PO",'capacity data'!$F:$F,"&gt;110%")</f>
        <v>0</v>
      </c>
      <c r="E48" s="66" t="str">
        <f t="shared" si="0"/>
        <v/>
      </c>
      <c r="F48" s="75">
        <f>COUNTIFS('capacity data'!$B:$B,'cluster capacity, unallocateds'!B48,'capacity data'!$E:$E,"PSO")</f>
        <v>0</v>
      </c>
      <c r="G48" s="75">
        <f>COUNTIFS('capacity data'!$B:$B,'cluster capacity, unallocateds'!B48,'capacity data'!$E:$E,"PSO",'capacity data'!$F:$F,"&gt;110%")</f>
        <v>0</v>
      </c>
      <c r="H48" s="66" t="str">
        <f t="shared" si="1"/>
        <v/>
      </c>
      <c r="I48" s="75">
        <f>COUNTIFS('capacity data'!$B:$B,'cluster capacity, unallocateds'!B48,'capacity data'!$E:$E,"PSO",'capacity data'!$F:$F,"&lt;90%")</f>
        <v>0</v>
      </c>
      <c r="J48" s="66" t="str">
        <f t="shared" si="2"/>
        <v/>
      </c>
      <c r="K48" s="75">
        <f>COUNTIFS('capacity data'!$B:$B,'cluster capacity, unallocateds'!B48,'capacity data'!$E:$E,"TPO")</f>
        <v>0</v>
      </c>
      <c r="L48" s="75">
        <f>COUNTIFS('capacity data'!$B:$B,'cluster capacity, unallocateds'!B48,'capacity data'!$E:$E,"TPO",'capacity data'!$F:$F,"&gt;110%")</f>
        <v>0</v>
      </c>
      <c r="M48" s="66" t="str">
        <f t="shared" si="3"/>
        <v/>
      </c>
      <c r="N48" s="2"/>
      <c r="O48" s="2"/>
      <c r="P48" s="2"/>
      <c r="Q48" s="2"/>
      <c r="R48" s="2"/>
      <c r="S48" s="2"/>
      <c r="T48" s="2"/>
      <c r="U48" s="2"/>
      <c r="V48" s="2"/>
      <c r="W48" s="1"/>
    </row>
    <row r="49" spans="1:23" ht="16" x14ac:dyDescent="0.2">
      <c r="A49" s="10"/>
      <c r="B49" s="62">
        <f>HLOOKUP($B$4,Region_Table,13,0)</f>
        <v>0</v>
      </c>
      <c r="C49" s="75">
        <f>COUNTIFS('capacity data'!$B:$B,'cluster capacity, unallocateds'!B49,'capacity data'!$E:$E,"PO")</f>
        <v>0</v>
      </c>
      <c r="D49" s="75">
        <f>COUNTIFS('capacity data'!$B:$B,'cluster capacity, unallocateds'!B49,'capacity data'!$E:$E,"PO",'capacity data'!$F:$F,"&gt;110%")</f>
        <v>0</v>
      </c>
      <c r="E49" s="66" t="str">
        <f t="shared" si="0"/>
        <v/>
      </c>
      <c r="F49" s="75">
        <f>COUNTIFS('capacity data'!$B:$B,'cluster capacity, unallocateds'!B49,'capacity data'!$E:$E,"PSO")</f>
        <v>0</v>
      </c>
      <c r="G49" s="75">
        <f>COUNTIFS('capacity data'!$B:$B,'cluster capacity, unallocateds'!B49,'capacity data'!$E:$E,"PSO",'capacity data'!$F:$F,"&gt;110%")</f>
        <v>0</v>
      </c>
      <c r="H49" s="66" t="str">
        <f t="shared" si="1"/>
        <v/>
      </c>
      <c r="I49" s="75">
        <f>COUNTIFS('capacity data'!$B:$B,'cluster capacity, unallocateds'!B49,'capacity data'!$E:$E,"PSO",'capacity data'!$F:$F,"&lt;90%")</f>
        <v>0</v>
      </c>
      <c r="J49" s="66" t="str">
        <f t="shared" si="2"/>
        <v/>
      </c>
      <c r="K49" s="75">
        <f>COUNTIFS('capacity data'!$B:$B,'cluster capacity, unallocateds'!B49,'capacity data'!$E:$E,"TPO")</f>
        <v>0</v>
      </c>
      <c r="L49" s="75">
        <f>COUNTIFS('capacity data'!$B:$B,'cluster capacity, unallocateds'!B49,'capacity data'!$E:$E,"TPO",'capacity data'!$F:$F,"&gt;110%")</f>
        <v>0</v>
      </c>
      <c r="M49" s="66" t="str">
        <f t="shared" si="3"/>
        <v/>
      </c>
      <c r="N49" s="2"/>
      <c r="O49" s="2"/>
      <c r="P49" s="2"/>
      <c r="Q49" s="2"/>
      <c r="R49" s="2"/>
      <c r="S49" s="2"/>
      <c r="T49" s="2"/>
      <c r="U49" s="2"/>
      <c r="V49" s="2"/>
      <c r="W49" s="1"/>
    </row>
    <row r="50" spans="1:23" ht="16" x14ac:dyDescent="0.2">
      <c r="A50" s="10"/>
      <c r="B50" s="62">
        <f>HLOOKUP($B$4,Region_Table,14,0)</f>
        <v>0</v>
      </c>
      <c r="C50" s="75">
        <f>COUNTIFS('capacity data'!$B:$B,'cluster capacity, unallocateds'!B50,'capacity data'!$E:$E,"PO")</f>
        <v>0</v>
      </c>
      <c r="D50" s="75">
        <f>COUNTIFS('capacity data'!$B:$B,'cluster capacity, unallocateds'!B50,'capacity data'!$E:$E,"PO",'capacity data'!$F:$F,"&gt;110%")</f>
        <v>0</v>
      </c>
      <c r="E50" s="66" t="str">
        <f t="shared" si="0"/>
        <v/>
      </c>
      <c r="F50" s="75">
        <f>COUNTIFS('capacity data'!$B:$B,'cluster capacity, unallocateds'!B50,'capacity data'!$E:$E,"PSO")</f>
        <v>0</v>
      </c>
      <c r="G50" s="75">
        <f>COUNTIFS('capacity data'!$B:$B,'cluster capacity, unallocateds'!B50,'capacity data'!$E:$E,"PSO",'capacity data'!$F:$F,"&gt;110%")</f>
        <v>0</v>
      </c>
      <c r="H50" s="66" t="str">
        <f t="shared" si="1"/>
        <v/>
      </c>
      <c r="I50" s="75">
        <f>COUNTIFS('capacity data'!$B:$B,'cluster capacity, unallocateds'!B50,'capacity data'!$E:$E,"PSO",'capacity data'!$F:$F,"&lt;90%")</f>
        <v>0</v>
      </c>
      <c r="J50" s="66" t="str">
        <f t="shared" si="2"/>
        <v/>
      </c>
      <c r="K50" s="75">
        <f>COUNTIFS('capacity data'!$B:$B,'cluster capacity, unallocateds'!B50,'capacity data'!$E:$E,"TPO")</f>
        <v>0</v>
      </c>
      <c r="L50" s="75">
        <f>COUNTIFS('capacity data'!$B:$B,'cluster capacity, unallocateds'!B50,'capacity data'!$E:$E,"TPO",'capacity data'!$F:$F,"&gt;110%")</f>
        <v>0</v>
      </c>
      <c r="M50" s="66" t="str">
        <f t="shared" si="3"/>
        <v/>
      </c>
      <c r="N50" s="2"/>
      <c r="O50" s="2"/>
      <c r="P50" s="2"/>
      <c r="Q50" s="2"/>
      <c r="R50" s="2"/>
      <c r="S50" s="2"/>
      <c r="T50" s="2"/>
      <c r="U50" s="2"/>
      <c r="V50" s="2"/>
      <c r="W50" s="1"/>
    </row>
    <row r="51" spans="1:23" ht="16" x14ac:dyDescent="0.2">
      <c r="A51" s="10"/>
      <c r="B51" s="62">
        <f>HLOOKUP($B$4,Region_Table,15,0)</f>
        <v>0</v>
      </c>
      <c r="C51" s="75">
        <f>COUNTIFS('capacity data'!$B:$B,'cluster capacity, unallocateds'!B51,'capacity data'!$E:$E,"PO")</f>
        <v>0</v>
      </c>
      <c r="D51" s="75">
        <f>COUNTIFS('capacity data'!$B:$B,'cluster capacity, unallocateds'!B51,'capacity data'!$E:$E,"PO",'capacity data'!$F:$F,"&gt;110%")</f>
        <v>0</v>
      </c>
      <c r="E51" s="66" t="str">
        <f t="shared" si="0"/>
        <v/>
      </c>
      <c r="F51" s="75">
        <f>COUNTIFS('capacity data'!$B:$B,'cluster capacity, unallocateds'!B51,'capacity data'!$E:$E,"PSO")</f>
        <v>0</v>
      </c>
      <c r="G51" s="75">
        <f>COUNTIFS('capacity data'!$B:$B,'cluster capacity, unallocateds'!B51,'capacity data'!$E:$E,"PSO",'capacity data'!$F:$F,"&gt;110%")</f>
        <v>0</v>
      </c>
      <c r="H51" s="66" t="str">
        <f t="shared" si="1"/>
        <v/>
      </c>
      <c r="I51" s="75">
        <f>COUNTIFS('capacity data'!$B:$B,'cluster capacity, unallocateds'!B51,'capacity data'!$E:$E,"PSO",'capacity data'!$F:$F,"&lt;90%")</f>
        <v>0</v>
      </c>
      <c r="J51" s="66" t="str">
        <f t="shared" si="2"/>
        <v/>
      </c>
      <c r="K51" s="75">
        <f>COUNTIFS('capacity data'!$B:$B,'cluster capacity, unallocateds'!B51,'capacity data'!$E:$E,"TPO")</f>
        <v>0</v>
      </c>
      <c r="L51" s="75">
        <f>COUNTIFS('capacity data'!$B:$B,'cluster capacity, unallocateds'!B51,'capacity data'!$E:$E,"TPO",'capacity data'!$F:$F,"&gt;110%")</f>
        <v>0</v>
      </c>
      <c r="M51" s="66" t="str">
        <f t="shared" si="3"/>
        <v/>
      </c>
      <c r="N51" s="2"/>
      <c r="O51" s="2"/>
      <c r="P51" s="2"/>
      <c r="Q51" s="2"/>
      <c r="R51" s="2"/>
      <c r="S51" s="2"/>
      <c r="T51" s="2"/>
      <c r="U51" s="2"/>
      <c r="V51" s="2"/>
      <c r="W51" s="1"/>
    </row>
    <row r="52" spans="1:23" ht="16" x14ac:dyDescent="0.2">
      <c r="A52" s="10"/>
      <c r="B52" s="62">
        <f>HLOOKUP($B$4,Region_Table,16,0)</f>
        <v>0</v>
      </c>
      <c r="C52" s="75">
        <f>COUNTIFS('capacity data'!$B:$B,'cluster capacity, unallocateds'!B52,'capacity data'!$E:$E,"PO")</f>
        <v>0</v>
      </c>
      <c r="D52" s="75">
        <f>COUNTIFS('capacity data'!$B:$B,'cluster capacity, unallocateds'!B52,'capacity data'!$E:$E,"PO",'capacity data'!$F:$F,"&gt;110%")</f>
        <v>0</v>
      </c>
      <c r="E52" s="66" t="str">
        <f t="shared" si="0"/>
        <v/>
      </c>
      <c r="F52" s="75">
        <f>COUNTIFS('capacity data'!$B:$B,'cluster capacity, unallocateds'!B52,'capacity data'!$E:$E,"PSO")</f>
        <v>0</v>
      </c>
      <c r="G52" s="75">
        <f>COUNTIFS('capacity data'!$B:$B,'cluster capacity, unallocateds'!B52,'capacity data'!$E:$E,"PSO",'capacity data'!$F:$F,"&gt;110%")</f>
        <v>0</v>
      </c>
      <c r="H52" s="66" t="str">
        <f t="shared" si="1"/>
        <v/>
      </c>
      <c r="I52" s="75">
        <f>COUNTIFS('capacity data'!$B:$B,'cluster capacity, unallocateds'!B52,'capacity data'!$E:$E,"PSO",'capacity data'!$F:$F,"&lt;90%")</f>
        <v>0</v>
      </c>
      <c r="J52" s="66" t="str">
        <f t="shared" si="2"/>
        <v/>
      </c>
      <c r="K52" s="75">
        <f>COUNTIFS('capacity data'!$B:$B,'cluster capacity, unallocateds'!B52,'capacity data'!$E:$E,"TPO")</f>
        <v>0</v>
      </c>
      <c r="L52" s="75">
        <f>COUNTIFS('capacity data'!$B:$B,'cluster capacity, unallocateds'!B52,'capacity data'!$E:$E,"TPO",'capacity data'!$F:$F,"&gt;110%")</f>
        <v>0</v>
      </c>
      <c r="M52" s="66" t="str">
        <f t="shared" si="3"/>
        <v/>
      </c>
      <c r="N52" s="2"/>
      <c r="O52" s="2"/>
      <c r="P52" s="2"/>
      <c r="Q52" s="2"/>
      <c r="R52" s="2"/>
      <c r="S52" s="2"/>
      <c r="T52" s="2"/>
      <c r="U52" s="2"/>
      <c r="V52" s="2"/>
      <c r="W52" s="1"/>
    </row>
    <row r="53" spans="1:23" ht="16" x14ac:dyDescent="0.2">
      <c r="A53" s="10"/>
      <c r="B53" s="62">
        <f>HLOOKUP($B$4,Region_Table,17,0)</f>
        <v>0</v>
      </c>
      <c r="C53" s="75">
        <f>COUNTIFS('capacity data'!$B:$B,'cluster capacity, unallocateds'!B53,'capacity data'!$E:$E,"PO")</f>
        <v>0</v>
      </c>
      <c r="D53" s="75">
        <f>COUNTIFS('capacity data'!$B:$B,'cluster capacity, unallocateds'!B53,'capacity data'!$E:$E,"PO",'capacity data'!$F:$F,"&gt;110%")</f>
        <v>0</v>
      </c>
      <c r="E53" s="66" t="str">
        <f t="shared" si="0"/>
        <v/>
      </c>
      <c r="F53" s="75">
        <f>COUNTIFS('capacity data'!$B:$B,'cluster capacity, unallocateds'!B53,'capacity data'!$E:$E,"PSO")</f>
        <v>0</v>
      </c>
      <c r="G53" s="75">
        <f>COUNTIFS('capacity data'!$B:$B,'cluster capacity, unallocateds'!B53,'capacity data'!$E:$E,"PSO",'capacity data'!$F:$F,"&gt;110%")</f>
        <v>0</v>
      </c>
      <c r="H53" s="66" t="str">
        <f t="shared" si="1"/>
        <v/>
      </c>
      <c r="I53" s="75">
        <f>COUNTIFS('capacity data'!$B:$B,'cluster capacity, unallocateds'!B53,'capacity data'!$E:$E,"PSO",'capacity data'!$F:$F,"&lt;90%")</f>
        <v>0</v>
      </c>
      <c r="J53" s="66" t="str">
        <f t="shared" si="2"/>
        <v/>
      </c>
      <c r="K53" s="75">
        <f>COUNTIFS('capacity data'!$B:$B,'cluster capacity, unallocateds'!B53,'capacity data'!$E:$E,"TPO")</f>
        <v>0</v>
      </c>
      <c r="L53" s="75">
        <f>COUNTIFS('capacity data'!$B:$B,'cluster capacity, unallocateds'!B53,'capacity data'!$E:$E,"TPO",'capacity data'!$F:$F,"&gt;110%")</f>
        <v>0</v>
      </c>
      <c r="M53" s="66" t="str">
        <f t="shared" si="3"/>
        <v/>
      </c>
      <c r="N53" s="2"/>
      <c r="O53" s="2"/>
      <c r="P53" s="2"/>
      <c r="Q53" s="2"/>
      <c r="R53" s="2"/>
      <c r="S53" s="2"/>
      <c r="T53" s="2"/>
      <c r="U53" s="2"/>
      <c r="V53" s="2"/>
      <c r="W53" s="1"/>
    </row>
    <row r="54" spans="1:23" ht="16" x14ac:dyDescent="0.2">
      <c r="A54" s="10"/>
      <c r="B54" s="62">
        <f>HLOOKUP($B$4,Region_Table,18,0)</f>
        <v>0</v>
      </c>
      <c r="C54" s="75">
        <f>COUNTIFS('capacity data'!$B:$B,'cluster capacity, unallocateds'!B54,'capacity data'!$E:$E,"PO")</f>
        <v>0</v>
      </c>
      <c r="D54" s="75">
        <f>COUNTIFS('capacity data'!$B:$B,'cluster capacity, unallocateds'!B54,'capacity data'!$E:$E,"PO",'capacity data'!$F:$F,"&gt;110%")</f>
        <v>0</v>
      </c>
      <c r="E54" s="66" t="str">
        <f t="shared" si="0"/>
        <v/>
      </c>
      <c r="F54" s="75">
        <f>COUNTIFS('capacity data'!$B:$B,'cluster capacity, unallocateds'!B54,'capacity data'!$E:$E,"PSO")</f>
        <v>0</v>
      </c>
      <c r="G54" s="75">
        <f>COUNTIFS('capacity data'!$B:$B,'cluster capacity, unallocateds'!B54,'capacity data'!$E:$E,"PSO",'capacity data'!$F:$F,"&gt;110%")</f>
        <v>0</v>
      </c>
      <c r="H54" s="66" t="str">
        <f t="shared" si="1"/>
        <v/>
      </c>
      <c r="I54" s="75">
        <f>COUNTIFS('capacity data'!$B:$B,'cluster capacity, unallocateds'!B54,'capacity data'!$E:$E,"PSO",'capacity data'!$F:$F,"&lt;90%")</f>
        <v>0</v>
      </c>
      <c r="J54" s="66" t="str">
        <f t="shared" si="2"/>
        <v/>
      </c>
      <c r="K54" s="75">
        <f>COUNTIFS('capacity data'!$B:$B,'cluster capacity, unallocateds'!B54,'capacity data'!$E:$E,"TPO")</f>
        <v>0</v>
      </c>
      <c r="L54" s="75">
        <f>COUNTIFS('capacity data'!$B:$B,'cluster capacity, unallocateds'!B54,'capacity data'!$E:$E,"TPO",'capacity data'!$F:$F,"&gt;110%")</f>
        <v>0</v>
      </c>
      <c r="M54" s="66" t="str">
        <f t="shared" si="3"/>
        <v/>
      </c>
      <c r="N54" s="2"/>
      <c r="O54" s="2"/>
      <c r="P54" s="2"/>
      <c r="Q54" s="2"/>
      <c r="R54" s="2"/>
      <c r="S54" s="2"/>
      <c r="T54" s="2"/>
      <c r="U54" s="2"/>
      <c r="V54" s="2"/>
      <c r="W54" s="1"/>
    </row>
    <row r="55" spans="1:23" ht="16" x14ac:dyDescent="0.2">
      <c r="A55" s="10"/>
      <c r="B55" s="62">
        <f>HLOOKUP($B$4,Region_Table,19,0)</f>
        <v>0</v>
      </c>
      <c r="C55" s="75">
        <f>COUNTIFS('capacity data'!$B:$B,'cluster capacity, unallocateds'!B55,'capacity data'!$E:$E,"PO")</f>
        <v>0</v>
      </c>
      <c r="D55" s="75">
        <f>COUNTIFS('capacity data'!$B:$B,'cluster capacity, unallocateds'!B55,'capacity data'!$E:$E,"PO",'capacity data'!$F:$F,"&gt;110%")</f>
        <v>0</v>
      </c>
      <c r="E55" s="66" t="str">
        <f t="shared" si="0"/>
        <v/>
      </c>
      <c r="F55" s="75">
        <f>COUNTIFS('capacity data'!$B:$B,'cluster capacity, unallocateds'!B55,'capacity data'!$E:$E,"PSO")</f>
        <v>0</v>
      </c>
      <c r="G55" s="75">
        <f>COUNTIFS('capacity data'!$B:$B,'cluster capacity, unallocateds'!B55,'capacity data'!$E:$E,"PSO",'capacity data'!$F:$F,"&gt;110%")</f>
        <v>0</v>
      </c>
      <c r="H55" s="66" t="str">
        <f t="shared" si="1"/>
        <v/>
      </c>
      <c r="I55" s="75">
        <f>COUNTIFS('capacity data'!$B:$B,'cluster capacity, unallocateds'!B55,'capacity data'!$E:$E,"PSO",'capacity data'!$F:$F,"&lt;90%")</f>
        <v>0</v>
      </c>
      <c r="J55" s="66" t="str">
        <f t="shared" si="2"/>
        <v/>
      </c>
      <c r="K55" s="75">
        <f>COUNTIFS('capacity data'!$B:$B,'cluster capacity, unallocateds'!B55,'capacity data'!$E:$E,"TPO")</f>
        <v>0</v>
      </c>
      <c r="L55" s="75">
        <f>COUNTIFS('capacity data'!$B:$B,'cluster capacity, unallocateds'!B55,'capacity data'!$E:$E,"TPO",'capacity data'!$F:$F,"&gt;110%")</f>
        <v>0</v>
      </c>
      <c r="M55" s="66" t="str">
        <f t="shared" si="3"/>
        <v/>
      </c>
      <c r="N55" s="2"/>
      <c r="O55" s="2"/>
      <c r="P55" s="2"/>
      <c r="Q55" s="2"/>
      <c r="R55" s="2"/>
      <c r="S55" s="2"/>
      <c r="T55" s="2"/>
      <c r="U55" s="2"/>
      <c r="V55" s="2"/>
      <c r="W55" s="1"/>
    </row>
    <row r="56" spans="1:23" ht="16" x14ac:dyDescent="0.2">
      <c r="A56" s="10"/>
      <c r="B56" s="62">
        <f>HLOOKUP($B$4,Region_Table,20,0)</f>
        <v>0</v>
      </c>
      <c r="C56" s="75">
        <f>COUNTIFS('capacity data'!$B:$B,'cluster capacity, unallocateds'!B56,'capacity data'!$E:$E,"PO")</f>
        <v>0</v>
      </c>
      <c r="D56" s="75">
        <f>COUNTIFS('capacity data'!$B:$B,'cluster capacity, unallocateds'!B56,'capacity data'!$E:$E,"PO",'capacity data'!$F:$F,"&gt;110%")</f>
        <v>0</v>
      </c>
      <c r="E56" s="66" t="str">
        <f t="shared" si="0"/>
        <v/>
      </c>
      <c r="F56" s="75">
        <f>COUNTIFS('capacity data'!$B:$B,'cluster capacity, unallocateds'!B56,'capacity data'!$E:$E,"PSO")</f>
        <v>0</v>
      </c>
      <c r="G56" s="75">
        <f>COUNTIFS('capacity data'!$B:$B,'cluster capacity, unallocateds'!B56,'capacity data'!$E:$E,"PSO",'capacity data'!$F:$F,"&gt;110%")</f>
        <v>0</v>
      </c>
      <c r="H56" s="66" t="str">
        <f t="shared" si="1"/>
        <v/>
      </c>
      <c r="I56" s="75">
        <f>COUNTIFS('capacity data'!$B:$B,'cluster capacity, unallocateds'!B56,'capacity data'!$E:$E,"PSO",'capacity data'!$F:$F,"&lt;90%")</f>
        <v>0</v>
      </c>
      <c r="J56" s="66" t="str">
        <f t="shared" si="2"/>
        <v/>
      </c>
      <c r="K56" s="75">
        <f>COUNTIFS('capacity data'!$B:$B,'cluster capacity, unallocateds'!B56,'capacity data'!$E:$E,"TPO")</f>
        <v>0</v>
      </c>
      <c r="L56" s="75">
        <f>COUNTIFS('capacity data'!$B:$B,'cluster capacity, unallocateds'!B56,'capacity data'!$E:$E,"TPO",'capacity data'!$F:$F,"&gt;110%")</f>
        <v>0</v>
      </c>
      <c r="M56" s="66" t="str">
        <f t="shared" si="3"/>
        <v/>
      </c>
      <c r="N56" s="2"/>
      <c r="O56" s="2"/>
      <c r="P56" s="2"/>
      <c r="Q56" s="2"/>
      <c r="R56" s="2"/>
      <c r="S56" s="2"/>
      <c r="T56" s="2"/>
      <c r="U56" s="2"/>
      <c r="V56" s="2"/>
      <c r="W56" s="1"/>
    </row>
    <row r="57" spans="1:23" ht="16" x14ac:dyDescent="0.2">
      <c r="A57" s="10"/>
      <c r="B57" s="62">
        <f>HLOOKUP($B$4,Region_Table,21,0)</f>
        <v>0</v>
      </c>
      <c r="C57" s="75">
        <f>COUNTIFS('capacity data'!$B:$B,'cluster capacity, unallocateds'!B57,'capacity data'!$E:$E,"PO")</f>
        <v>0</v>
      </c>
      <c r="D57" s="75">
        <f>COUNTIFS('capacity data'!$B:$B,'cluster capacity, unallocateds'!B57,'capacity data'!$E:$E,"PO",'capacity data'!$F:$F,"&gt;110%")</f>
        <v>0</v>
      </c>
      <c r="E57" s="66" t="str">
        <f t="shared" ref="E57:E64" si="4">IFERROR((D57/C57),"")</f>
        <v/>
      </c>
      <c r="F57" s="75">
        <f>COUNTIFS('capacity data'!$B:$B,'cluster capacity, unallocateds'!B57,'capacity data'!$E:$E,"PSO")</f>
        <v>0</v>
      </c>
      <c r="G57" s="75">
        <f>COUNTIFS('capacity data'!$B:$B,'cluster capacity, unallocateds'!B57,'capacity data'!$E:$E,"PSO",'capacity data'!$F:$F,"&gt;110%")</f>
        <v>0</v>
      </c>
      <c r="H57" s="66" t="str">
        <f t="shared" ref="H57:H64" si="5">IFERROR((G57/F57),"")</f>
        <v/>
      </c>
      <c r="I57" s="75">
        <f>COUNTIFS('capacity data'!$B:$B,'cluster capacity, unallocateds'!B57,'capacity data'!$E:$E,"PSO",'capacity data'!$F:$F,"&lt;90%")</f>
        <v>0</v>
      </c>
      <c r="J57" s="66" t="str">
        <f t="shared" ref="J57:J64" si="6">IFERROR((I57/F57),"")</f>
        <v/>
      </c>
      <c r="K57" s="75">
        <f>COUNTIFS('capacity data'!$B:$B,'cluster capacity, unallocateds'!B57,'capacity data'!$E:$E,"TPO")</f>
        <v>0</v>
      </c>
      <c r="L57" s="75">
        <f>COUNTIFS('capacity data'!$B:$B,'cluster capacity, unallocateds'!B57,'capacity data'!$E:$E,"TPO",'capacity data'!$F:$F,"&gt;110%")</f>
        <v>0</v>
      </c>
      <c r="M57" s="66" t="str">
        <f t="shared" ref="M57:M64" si="7">IFERROR((L57/K57),"")</f>
        <v/>
      </c>
      <c r="N57" s="2"/>
      <c r="O57" s="2"/>
      <c r="P57" s="2"/>
      <c r="Q57" s="2"/>
      <c r="R57" s="2"/>
      <c r="S57" s="2"/>
      <c r="T57" s="2"/>
      <c r="U57" s="2"/>
      <c r="V57" s="2"/>
      <c r="W57" s="1"/>
    </row>
    <row r="58" spans="1:23" ht="16" x14ac:dyDescent="0.2">
      <c r="A58" s="10"/>
      <c r="B58" s="62">
        <f>HLOOKUP($B$4,Region_Table,22,0)</f>
        <v>0</v>
      </c>
      <c r="C58" s="75">
        <f>COUNTIFS('capacity data'!$B:$B,'cluster capacity, unallocateds'!B58,'capacity data'!$E:$E,"PO")</f>
        <v>0</v>
      </c>
      <c r="D58" s="75">
        <f>COUNTIFS('capacity data'!$B:$B,'cluster capacity, unallocateds'!B58,'capacity data'!$E:$E,"PO",'capacity data'!$F:$F,"&gt;110%")</f>
        <v>0</v>
      </c>
      <c r="E58" s="66" t="str">
        <f t="shared" si="4"/>
        <v/>
      </c>
      <c r="F58" s="75">
        <f>COUNTIFS('capacity data'!$B:$B,'cluster capacity, unallocateds'!B58,'capacity data'!$E:$E,"PSO")</f>
        <v>0</v>
      </c>
      <c r="G58" s="75">
        <f>COUNTIFS('capacity data'!$B:$B,'cluster capacity, unallocateds'!B58,'capacity data'!$E:$E,"PSO",'capacity data'!$F:$F,"&gt;110%")</f>
        <v>0</v>
      </c>
      <c r="H58" s="66" t="str">
        <f t="shared" si="5"/>
        <v/>
      </c>
      <c r="I58" s="75">
        <f>COUNTIFS('capacity data'!$B:$B,'cluster capacity, unallocateds'!B58,'capacity data'!$E:$E,"PSO",'capacity data'!$F:$F,"&lt;90%")</f>
        <v>0</v>
      </c>
      <c r="J58" s="66" t="str">
        <f t="shared" si="6"/>
        <v/>
      </c>
      <c r="K58" s="75">
        <f>COUNTIFS('capacity data'!$B:$B,'cluster capacity, unallocateds'!B58,'capacity data'!$E:$E,"TPO")</f>
        <v>0</v>
      </c>
      <c r="L58" s="75">
        <f>COUNTIFS('capacity data'!$B:$B,'cluster capacity, unallocateds'!B58,'capacity data'!$E:$E,"TPO",'capacity data'!$F:$F,"&gt;110%")</f>
        <v>0</v>
      </c>
      <c r="M58" s="66" t="str">
        <f t="shared" si="7"/>
        <v/>
      </c>
      <c r="N58" s="2"/>
      <c r="O58" s="2"/>
      <c r="P58" s="2"/>
      <c r="Q58" s="2"/>
      <c r="R58" s="2"/>
      <c r="S58" s="2"/>
      <c r="T58" s="2"/>
      <c r="U58" s="2"/>
      <c r="V58" s="2"/>
      <c r="W58" s="1"/>
    </row>
    <row r="59" spans="1:23" ht="16" x14ac:dyDescent="0.2">
      <c r="A59" s="10"/>
      <c r="B59" s="62">
        <f>HLOOKUP($B$4,Region_Table,23,0)</f>
        <v>0</v>
      </c>
      <c r="C59" s="75">
        <f>COUNTIFS('capacity data'!$B:$B,'cluster capacity, unallocateds'!B59,'capacity data'!$E:$E,"PO")</f>
        <v>0</v>
      </c>
      <c r="D59" s="75">
        <f>COUNTIFS('capacity data'!$B:$B,'cluster capacity, unallocateds'!B59,'capacity data'!$E:$E,"PO",'capacity data'!$F:$F,"&gt;110%")</f>
        <v>0</v>
      </c>
      <c r="E59" s="66" t="str">
        <f t="shared" si="4"/>
        <v/>
      </c>
      <c r="F59" s="75">
        <f>COUNTIFS('capacity data'!$B:$B,'cluster capacity, unallocateds'!B59,'capacity data'!$E:$E,"PSO")</f>
        <v>0</v>
      </c>
      <c r="G59" s="75">
        <f>COUNTIFS('capacity data'!$B:$B,'cluster capacity, unallocateds'!B59,'capacity data'!$E:$E,"PSO",'capacity data'!$F:$F,"&gt;110%")</f>
        <v>0</v>
      </c>
      <c r="H59" s="66" t="str">
        <f t="shared" si="5"/>
        <v/>
      </c>
      <c r="I59" s="75">
        <f>COUNTIFS('capacity data'!$B:$B,'cluster capacity, unallocateds'!B59,'capacity data'!$E:$E,"PSO",'capacity data'!$F:$F,"&lt;90%")</f>
        <v>0</v>
      </c>
      <c r="J59" s="66" t="str">
        <f t="shared" si="6"/>
        <v/>
      </c>
      <c r="K59" s="75">
        <f>COUNTIFS('capacity data'!$B:$B,'cluster capacity, unallocateds'!B59,'capacity data'!$E:$E,"TPO")</f>
        <v>0</v>
      </c>
      <c r="L59" s="75">
        <f>COUNTIFS('capacity data'!$B:$B,'cluster capacity, unallocateds'!B59,'capacity data'!$E:$E,"TPO",'capacity data'!$F:$F,"&gt;110%")</f>
        <v>0</v>
      </c>
      <c r="M59" s="66" t="str">
        <f t="shared" si="7"/>
        <v/>
      </c>
      <c r="N59" s="2"/>
      <c r="O59" s="2"/>
      <c r="P59" s="2"/>
      <c r="Q59" s="2"/>
      <c r="R59" s="2"/>
      <c r="S59" s="2"/>
      <c r="T59" s="2"/>
      <c r="U59" s="2"/>
      <c r="V59" s="2"/>
      <c r="W59" s="1"/>
    </row>
    <row r="60" spans="1:23" ht="16" x14ac:dyDescent="0.2">
      <c r="A60" s="10"/>
      <c r="B60" s="62">
        <f>HLOOKUP($B$4,Region_Table,24,0)</f>
        <v>0</v>
      </c>
      <c r="C60" s="75">
        <f>COUNTIFS('capacity data'!$B:$B,'cluster capacity, unallocateds'!B60,'capacity data'!$E:$E,"PO")</f>
        <v>0</v>
      </c>
      <c r="D60" s="75">
        <f>COUNTIFS('capacity data'!$B:$B,'cluster capacity, unallocateds'!B60,'capacity data'!$E:$E,"PO",'capacity data'!$F:$F,"&gt;110%")</f>
        <v>0</v>
      </c>
      <c r="E60" s="66" t="str">
        <f t="shared" si="4"/>
        <v/>
      </c>
      <c r="F60" s="75">
        <f>COUNTIFS('capacity data'!$B:$B,'cluster capacity, unallocateds'!B60,'capacity data'!$E:$E,"PSO")</f>
        <v>0</v>
      </c>
      <c r="G60" s="75">
        <f>COUNTIFS('capacity data'!$B:$B,'cluster capacity, unallocateds'!B60,'capacity data'!$E:$E,"PSO",'capacity data'!$F:$F,"&gt;110%")</f>
        <v>0</v>
      </c>
      <c r="H60" s="66" t="str">
        <f t="shared" si="5"/>
        <v/>
      </c>
      <c r="I60" s="75">
        <f>COUNTIFS('capacity data'!$B:$B,'cluster capacity, unallocateds'!B60,'capacity data'!$E:$E,"PSO",'capacity data'!$F:$F,"&lt;90%")</f>
        <v>0</v>
      </c>
      <c r="J60" s="66" t="str">
        <f t="shared" si="6"/>
        <v/>
      </c>
      <c r="K60" s="75">
        <f>COUNTIFS('capacity data'!$B:$B,'cluster capacity, unallocateds'!B60,'capacity data'!$E:$E,"TPO")</f>
        <v>0</v>
      </c>
      <c r="L60" s="75">
        <f>COUNTIFS('capacity data'!$B:$B,'cluster capacity, unallocateds'!B60,'capacity data'!$E:$E,"TPO",'capacity data'!$F:$F,"&gt;110%")</f>
        <v>0</v>
      </c>
      <c r="M60" s="66" t="str">
        <f t="shared" si="7"/>
        <v/>
      </c>
      <c r="N60" s="2"/>
      <c r="O60" s="2"/>
      <c r="P60" s="2"/>
      <c r="Q60" s="2"/>
      <c r="R60" s="2"/>
      <c r="S60" s="2"/>
      <c r="T60" s="2"/>
      <c r="U60" s="2"/>
      <c r="V60" s="2"/>
      <c r="W60" s="1"/>
    </row>
    <row r="61" spans="1:23" ht="16" x14ac:dyDescent="0.2">
      <c r="A61" s="10"/>
      <c r="B61" s="62">
        <f>HLOOKUP($B$4,Region_Table,25,0)</f>
        <v>0</v>
      </c>
      <c r="C61" s="75">
        <f>COUNTIFS('capacity data'!$B:$B,'cluster capacity, unallocateds'!B61,'capacity data'!$E:$E,"PO")</f>
        <v>0</v>
      </c>
      <c r="D61" s="75">
        <f>COUNTIFS('capacity data'!$B:$B,'cluster capacity, unallocateds'!B61,'capacity data'!$E:$E,"PO",'capacity data'!$F:$F,"&gt;110%")</f>
        <v>0</v>
      </c>
      <c r="E61" s="66" t="str">
        <f t="shared" si="4"/>
        <v/>
      </c>
      <c r="F61" s="75">
        <f>COUNTIFS('capacity data'!$B:$B,'cluster capacity, unallocateds'!B61,'capacity data'!$E:$E,"PSO")</f>
        <v>0</v>
      </c>
      <c r="G61" s="75">
        <f>COUNTIFS('capacity data'!$B:$B,'cluster capacity, unallocateds'!B61,'capacity data'!$E:$E,"PSO",'capacity data'!$F:$F,"&gt;110%")</f>
        <v>0</v>
      </c>
      <c r="H61" s="66" t="str">
        <f t="shared" si="5"/>
        <v/>
      </c>
      <c r="I61" s="75">
        <f>COUNTIFS('capacity data'!$B:$B,'cluster capacity, unallocateds'!B61,'capacity data'!$E:$E,"PSO",'capacity data'!$F:$F,"&lt;90%")</f>
        <v>0</v>
      </c>
      <c r="J61" s="66" t="str">
        <f t="shared" si="6"/>
        <v/>
      </c>
      <c r="K61" s="75">
        <f>COUNTIFS('capacity data'!$B:$B,'cluster capacity, unallocateds'!B61,'capacity data'!$E:$E,"TPO")</f>
        <v>0</v>
      </c>
      <c r="L61" s="75">
        <f>COUNTIFS('capacity data'!$B:$B,'cluster capacity, unallocateds'!B61,'capacity data'!$E:$E,"TPO",'capacity data'!$F:$F,"&gt;110%")</f>
        <v>0</v>
      </c>
      <c r="M61" s="66" t="str">
        <f t="shared" si="7"/>
        <v/>
      </c>
      <c r="N61" s="2"/>
      <c r="O61" s="2"/>
      <c r="P61" s="2"/>
      <c r="Q61" s="2"/>
      <c r="R61" s="2"/>
      <c r="S61" s="2"/>
      <c r="T61" s="2"/>
      <c r="U61" s="2"/>
      <c r="V61" s="2"/>
      <c r="W61" s="1"/>
    </row>
    <row r="62" spans="1:23" ht="16" x14ac:dyDescent="0.2">
      <c r="A62" s="10"/>
      <c r="B62" s="62">
        <f>HLOOKUP($B$4,Region_Table,26,0)</f>
        <v>0</v>
      </c>
      <c r="C62" s="75">
        <f>COUNTIFS('capacity data'!$B:$B,'cluster capacity, unallocateds'!B62,'capacity data'!$E:$E,"PO")</f>
        <v>0</v>
      </c>
      <c r="D62" s="75">
        <f>COUNTIFS('capacity data'!$B:$B,'cluster capacity, unallocateds'!B62,'capacity data'!$E:$E,"PO",'capacity data'!$F:$F,"&gt;110%")</f>
        <v>0</v>
      </c>
      <c r="E62" s="66" t="str">
        <f t="shared" si="4"/>
        <v/>
      </c>
      <c r="F62" s="75">
        <f>COUNTIFS('capacity data'!$B:$B,'cluster capacity, unallocateds'!B62,'capacity data'!$E:$E,"PSO")</f>
        <v>0</v>
      </c>
      <c r="G62" s="75">
        <f>COUNTIFS('capacity data'!$B:$B,'cluster capacity, unallocateds'!B62,'capacity data'!$E:$E,"PSO",'capacity data'!$F:$F,"&gt;110%")</f>
        <v>0</v>
      </c>
      <c r="H62" s="66" t="str">
        <f t="shared" si="5"/>
        <v/>
      </c>
      <c r="I62" s="75">
        <f>COUNTIFS('capacity data'!$B:$B,'cluster capacity, unallocateds'!B62,'capacity data'!$E:$E,"PSO",'capacity data'!$F:$F,"&lt;90%")</f>
        <v>0</v>
      </c>
      <c r="J62" s="66" t="str">
        <f t="shared" si="6"/>
        <v/>
      </c>
      <c r="K62" s="75">
        <f>COUNTIFS('capacity data'!$B:$B,'cluster capacity, unallocateds'!B62,'capacity data'!$E:$E,"TPO")</f>
        <v>0</v>
      </c>
      <c r="L62" s="75">
        <f>COUNTIFS('capacity data'!$B:$B,'cluster capacity, unallocateds'!B62,'capacity data'!$E:$E,"TPO",'capacity data'!$F:$F,"&gt;110%")</f>
        <v>0</v>
      </c>
      <c r="M62" s="66" t="str">
        <f t="shared" si="7"/>
        <v/>
      </c>
      <c r="N62" s="2"/>
      <c r="O62" s="2"/>
      <c r="P62" s="2"/>
      <c r="Q62" s="2"/>
      <c r="R62" s="2"/>
      <c r="S62" s="2"/>
      <c r="T62" s="2"/>
      <c r="U62" s="2"/>
      <c r="V62" s="2"/>
      <c r="W62" s="1"/>
    </row>
    <row r="63" spans="1:23" ht="16" x14ac:dyDescent="0.2">
      <c r="A63" s="10"/>
      <c r="B63" s="62">
        <f>HLOOKUP($B$4,Region_Table,27,0)</f>
        <v>0</v>
      </c>
      <c r="C63" s="75">
        <f>COUNTIFS('capacity data'!$B:$B,'cluster capacity, unallocateds'!B63,'capacity data'!$E:$E,"PO")</f>
        <v>0</v>
      </c>
      <c r="D63" s="75">
        <f>COUNTIFS('capacity data'!$B:$B,'cluster capacity, unallocateds'!B63,'capacity data'!$E:$E,"PO",'capacity data'!$F:$F,"&gt;110%")</f>
        <v>0</v>
      </c>
      <c r="E63" s="66" t="str">
        <f t="shared" si="4"/>
        <v/>
      </c>
      <c r="F63" s="75">
        <f>COUNTIFS('capacity data'!$B:$B,'cluster capacity, unallocateds'!B63,'capacity data'!$E:$E,"PSO")</f>
        <v>0</v>
      </c>
      <c r="G63" s="75">
        <f>COUNTIFS('capacity data'!$B:$B,'cluster capacity, unallocateds'!B63,'capacity data'!$E:$E,"PSO",'capacity data'!$F:$F,"&gt;110%")</f>
        <v>0</v>
      </c>
      <c r="H63" s="66" t="str">
        <f t="shared" si="5"/>
        <v/>
      </c>
      <c r="I63" s="75">
        <f>COUNTIFS('capacity data'!$B:$B,'cluster capacity, unallocateds'!B63,'capacity data'!$E:$E,"PSO",'capacity data'!$F:$F,"&lt;90%")</f>
        <v>0</v>
      </c>
      <c r="J63" s="66" t="str">
        <f t="shared" si="6"/>
        <v/>
      </c>
      <c r="K63" s="75">
        <f>COUNTIFS('capacity data'!$B:$B,'cluster capacity, unallocateds'!B63,'capacity data'!$E:$E,"TPO")</f>
        <v>0</v>
      </c>
      <c r="L63" s="75">
        <f>COUNTIFS('capacity data'!$B:$B,'cluster capacity, unallocateds'!B63,'capacity data'!$E:$E,"TPO",'capacity data'!$F:$F,"&gt;110%")</f>
        <v>0</v>
      </c>
      <c r="M63" s="66" t="str">
        <f t="shared" si="7"/>
        <v/>
      </c>
      <c r="N63" s="2"/>
      <c r="O63" s="2"/>
      <c r="P63" s="2"/>
      <c r="Q63" s="2"/>
      <c r="R63" s="2"/>
      <c r="S63" s="2"/>
      <c r="T63" s="2"/>
      <c r="U63" s="2"/>
      <c r="V63" s="2"/>
      <c r="W63" s="1"/>
    </row>
    <row r="64" spans="1:23" ht="16" x14ac:dyDescent="0.2">
      <c r="A64" s="10"/>
      <c r="B64" s="62">
        <f>HLOOKUP($B$4,Region_Table,28,0)</f>
        <v>0</v>
      </c>
      <c r="C64" s="75">
        <f>COUNTIFS('capacity data'!$B:$B,'cluster capacity, unallocateds'!B64,'capacity data'!$E:$E,"PO")</f>
        <v>0</v>
      </c>
      <c r="D64" s="75">
        <f>COUNTIFS('capacity data'!$B:$B,'cluster capacity, unallocateds'!B64,'capacity data'!$E:$E,"PO",'capacity data'!$F:$F,"&gt;110%")</f>
        <v>0</v>
      </c>
      <c r="E64" s="66" t="str">
        <f t="shared" si="4"/>
        <v/>
      </c>
      <c r="F64" s="75">
        <f>COUNTIFS('capacity data'!$B:$B,'cluster capacity, unallocateds'!B64,'capacity data'!$E:$E,"PSO")</f>
        <v>0</v>
      </c>
      <c r="G64" s="75">
        <f>COUNTIFS('capacity data'!$B:$B,'cluster capacity, unallocateds'!B64,'capacity data'!$E:$E,"PSO",'capacity data'!$F:$F,"&gt;110%")</f>
        <v>0</v>
      </c>
      <c r="H64" s="66" t="str">
        <f t="shared" si="5"/>
        <v/>
      </c>
      <c r="I64" s="75">
        <f>COUNTIFS('capacity data'!$B:$B,'cluster capacity, unallocateds'!B64,'capacity data'!$E:$E,"PSO",'capacity data'!$F:$F,"&lt;90%")</f>
        <v>0</v>
      </c>
      <c r="J64" s="66" t="str">
        <f t="shared" si="6"/>
        <v/>
      </c>
      <c r="K64" s="75">
        <f>COUNTIFS('capacity data'!$B:$B,'cluster capacity, unallocateds'!B64,'capacity data'!$E:$E,"TPO")</f>
        <v>0</v>
      </c>
      <c r="L64" s="75">
        <f>COUNTIFS('capacity data'!$B:$B,'cluster capacity, unallocateds'!B64,'capacity data'!$E:$E,"TPO",'capacity data'!$F:$F,"&gt;110%")</f>
        <v>0</v>
      </c>
      <c r="M64" s="66" t="str">
        <f t="shared" si="7"/>
        <v/>
      </c>
      <c r="N64" s="2"/>
      <c r="O64" s="2"/>
      <c r="P64" s="2"/>
      <c r="Q64" s="2"/>
      <c r="R64" s="2"/>
      <c r="S64" s="2"/>
      <c r="T64" s="2"/>
      <c r="U64" s="2"/>
      <c r="V64" s="2"/>
      <c r="W64" s="1"/>
    </row>
    <row r="65" spans="1:23" ht="55.5" customHeight="1" x14ac:dyDescent="0.2">
      <c r="A65" s="10"/>
      <c r="B65" s="1"/>
      <c r="C65" s="531"/>
      <c r="D65" s="532"/>
      <c r="E65" s="532"/>
      <c r="F65" s="532"/>
      <c r="G65" s="532"/>
      <c r="H65" s="532"/>
      <c r="I65" s="532"/>
      <c r="J65" s="532"/>
      <c r="K65" s="532"/>
      <c r="L65" s="2"/>
      <c r="M65" s="2"/>
      <c r="N65" s="2"/>
      <c r="O65" s="2"/>
      <c r="P65" s="2"/>
      <c r="Q65" s="2"/>
      <c r="R65" s="2"/>
      <c r="S65" s="2"/>
      <c r="T65" s="2"/>
      <c r="U65" s="2"/>
      <c r="V65" s="2"/>
      <c r="W65" s="1"/>
    </row>
    <row r="66" spans="1:23" ht="72.75" customHeight="1" x14ac:dyDescent="0.2">
      <c r="A66" s="10"/>
      <c r="B66" s="219" t="s">
        <v>1098</v>
      </c>
      <c r="C66" s="219" t="s">
        <v>969</v>
      </c>
      <c r="D66" s="219" t="s">
        <v>970</v>
      </c>
      <c r="E66" s="219" t="s">
        <v>971</v>
      </c>
      <c r="F66" s="219" t="s">
        <v>972</v>
      </c>
      <c r="G66" s="219" t="s">
        <v>973</v>
      </c>
      <c r="H66" s="219" t="s">
        <v>974</v>
      </c>
      <c r="I66" s="219" t="s">
        <v>975</v>
      </c>
      <c r="J66" s="219" t="s">
        <v>976</v>
      </c>
      <c r="K66" s="219" t="s">
        <v>977</v>
      </c>
      <c r="O66" s="2"/>
      <c r="P66" s="2"/>
      <c r="Q66" s="2"/>
      <c r="R66" s="2"/>
      <c r="S66" s="2"/>
      <c r="T66" s="2"/>
      <c r="U66" s="2"/>
      <c r="V66" s="2"/>
      <c r="W66" s="1"/>
    </row>
    <row r="67" spans="1:23" ht="16" x14ac:dyDescent="0.2">
      <c r="A67" s="10"/>
      <c r="B67" s="154" t="s">
        <v>1049</v>
      </c>
      <c r="C67" s="161">
        <f>SUMIF('capacity data'!E:E,"PO",'capacity data'!I:I)</f>
        <v>0</v>
      </c>
      <c r="D67" s="161">
        <f>SUMIF('capacity data'!E:E,"PO",'capacity data'!J:J)</f>
        <v>0</v>
      </c>
      <c r="E67" s="162" t="e">
        <f>D67/C67</f>
        <v>#DIV/0!</v>
      </c>
      <c r="F67" s="161">
        <f>SUMIF('capacity data'!E:E,"PSO",'capacity data'!I:I)</f>
        <v>0</v>
      </c>
      <c r="G67" s="161">
        <f>SUMIF('capacity data'!E:E,"PSO",'capacity data'!J:J)</f>
        <v>0</v>
      </c>
      <c r="H67" s="162" t="e">
        <f>G67/F67</f>
        <v>#DIV/0!</v>
      </c>
      <c r="I67" s="161">
        <f>SUMIF('capacity data'!E:E,"TPO",'capacity data'!I:I)</f>
        <v>0</v>
      </c>
      <c r="J67" s="161">
        <f>SUMIF('capacity data'!E:E,"TPO",'capacity data'!J:J)</f>
        <v>0</v>
      </c>
      <c r="K67" s="162" t="e">
        <f>J67/I67</f>
        <v>#DIV/0!</v>
      </c>
      <c r="O67" s="2"/>
      <c r="P67" s="2"/>
      <c r="Q67" s="2"/>
      <c r="R67" s="2"/>
      <c r="S67" s="2"/>
      <c r="T67" s="2"/>
      <c r="U67" s="2"/>
      <c r="V67" s="2"/>
      <c r="W67" s="1"/>
    </row>
    <row r="68" spans="1:23" ht="16" x14ac:dyDescent="0.2">
      <c r="A68" s="10"/>
      <c r="B68" s="62" t="str">
        <f>HLOOKUP($B$4,Region_Table,2,0)</f>
        <v>All East Midlands Region</v>
      </c>
      <c r="C68" s="94">
        <f>SUMIFS('capacity data'!I:I,'capacity data'!E:E,"PO",'capacity data'!B:B,'cluster capacity, unallocateds'!B68)</f>
        <v>0</v>
      </c>
      <c r="D68" s="94">
        <f>SUMIFS('capacity data'!J:J,'capacity data'!E:E,"PO",'capacity data'!B:B,'cluster capacity, unallocateds'!B68)</f>
        <v>0</v>
      </c>
      <c r="E68" s="162" t="str">
        <f>IFERROR(D68/C68,"")</f>
        <v/>
      </c>
      <c r="F68" s="94">
        <f>SUMIFS('capacity data'!I:I,'capacity data'!E:E,"PSO",'capacity data'!B:B,'cluster capacity, unallocateds'!B68)</f>
        <v>0</v>
      </c>
      <c r="G68" s="94">
        <f>SUMIFS('capacity data'!J:J,'capacity data'!E:E,"PSO",'capacity data'!B:B,'cluster capacity, unallocateds'!B68)</f>
        <v>0</v>
      </c>
      <c r="H68" s="162" t="str">
        <f>IFERROR(G68/F68,"")</f>
        <v/>
      </c>
      <c r="I68" s="94">
        <f>SUMIFS('capacity data'!I:I,'capacity data'!E:E,"TPO",'capacity data'!B:B,'cluster capacity, unallocateds'!B68)</f>
        <v>0</v>
      </c>
      <c r="J68" s="94">
        <f>SUMIFS('capacity data'!J:J,'capacity data'!E:E,"TPO",'capacity data'!B:B,'cluster capacity, unallocateds'!B68)</f>
        <v>0</v>
      </c>
      <c r="K68" s="162" t="str">
        <f>IFERROR(J68/I68,"")</f>
        <v/>
      </c>
      <c r="O68" s="2"/>
      <c r="P68" s="2"/>
      <c r="Q68" s="2"/>
      <c r="R68" s="2"/>
      <c r="S68" s="2"/>
      <c r="T68" s="2"/>
      <c r="U68" s="2"/>
      <c r="V68" s="2"/>
      <c r="W68" s="1"/>
    </row>
    <row r="69" spans="1:23" ht="16" x14ac:dyDescent="0.2">
      <c r="A69" s="10"/>
      <c r="B69" s="62" t="str">
        <f>HLOOKUP($B$4,Region_Table,3,0)</f>
        <v>Derby City - N53</v>
      </c>
      <c r="C69" s="94">
        <f>SUMIFS('capacity data'!I:I,'capacity data'!E:E,"PO",'capacity data'!B:B,'cluster capacity, unallocateds'!B69)</f>
        <v>0</v>
      </c>
      <c r="D69" s="94">
        <f>SUMIFS('capacity data'!J:J,'capacity data'!E:E,"PO",'capacity data'!B:B,'cluster capacity, unallocateds'!B69)</f>
        <v>0</v>
      </c>
      <c r="E69" s="162" t="str">
        <f t="shared" ref="E69:E83" si="8">IFERROR(D69/C69,"")</f>
        <v/>
      </c>
      <c r="F69" s="94">
        <f>SUMIFS('capacity data'!I:I,'capacity data'!E:E,"PSO",'capacity data'!B:B,'cluster capacity, unallocateds'!B69)</f>
        <v>0</v>
      </c>
      <c r="G69" s="94">
        <f>SUMIFS('capacity data'!J:J,'capacity data'!E:E,"PSO",'capacity data'!B:B,'cluster capacity, unallocateds'!B69)</f>
        <v>0</v>
      </c>
      <c r="H69" s="162" t="str">
        <f t="shared" ref="H69:H83" si="9">IFERROR(G69/F69,"")</f>
        <v/>
      </c>
      <c r="I69" s="94">
        <f>SUMIFS('capacity data'!I:I,'capacity data'!E:E,"TPO",'capacity data'!B:B,'cluster capacity, unallocateds'!B69)</f>
        <v>0</v>
      </c>
      <c r="J69" s="94">
        <f>SUMIFS('capacity data'!J:J,'capacity data'!E:E,"TPO",'capacity data'!B:B,'cluster capacity, unallocateds'!B69)</f>
        <v>0</v>
      </c>
      <c r="K69" s="162" t="str">
        <f t="shared" ref="K69:K83" si="10">IFERROR(J69/I69,"")</f>
        <v/>
      </c>
      <c r="O69" s="2"/>
      <c r="P69" s="2"/>
      <c r="Q69" s="2"/>
      <c r="R69" s="2"/>
      <c r="S69" s="2"/>
      <c r="T69" s="2"/>
      <c r="U69" s="2"/>
      <c r="V69" s="2"/>
      <c r="W69" s="1"/>
    </row>
    <row r="70" spans="1:23" x14ac:dyDescent="0.15">
      <c r="B70" s="62" t="str">
        <f>HLOOKUP($B$4,Region_Table,4,0)</f>
        <v>Derbyshire - N53</v>
      </c>
      <c r="C70" s="94">
        <f>SUMIFS('capacity data'!I:I,'capacity data'!E:E,"PO",'capacity data'!B:B,'cluster capacity, unallocateds'!B70)</f>
        <v>0</v>
      </c>
      <c r="D70" s="94">
        <f>SUMIFS('capacity data'!J:J,'capacity data'!E:E,"PO",'capacity data'!B:B,'cluster capacity, unallocateds'!B70)</f>
        <v>0</v>
      </c>
      <c r="E70" s="162" t="str">
        <f t="shared" si="8"/>
        <v/>
      </c>
      <c r="F70" s="94">
        <f>SUMIFS('capacity data'!I:I,'capacity data'!E:E,"PSO",'capacity data'!B:B,'cluster capacity, unallocateds'!B70)</f>
        <v>0</v>
      </c>
      <c r="G70" s="94">
        <f>SUMIFS('capacity data'!J:J,'capacity data'!E:E,"PSO",'capacity data'!B:B,'cluster capacity, unallocateds'!B70)</f>
        <v>0</v>
      </c>
      <c r="H70" s="162" t="str">
        <f t="shared" si="9"/>
        <v/>
      </c>
      <c r="I70" s="94">
        <f>SUMIFS('capacity data'!I:I,'capacity data'!E:E,"TPO",'capacity data'!B:B,'cluster capacity, unallocateds'!B70)</f>
        <v>0</v>
      </c>
      <c r="J70" s="94">
        <f>SUMIFS('capacity data'!J:J,'capacity data'!E:E,"TPO",'capacity data'!B:B,'cluster capacity, unallocateds'!B70)</f>
        <v>0</v>
      </c>
      <c r="K70" s="162" t="str">
        <f t="shared" si="10"/>
        <v/>
      </c>
    </row>
    <row r="71" spans="1:23" x14ac:dyDescent="0.15">
      <c r="B71" s="62" t="str">
        <f>HLOOKUP($B$4,Region_Table,5,0)</f>
        <v>Leicester, Leicestershire and Rutland</v>
      </c>
      <c r="C71" s="94">
        <f>SUMIFS('capacity data'!I:I,'capacity data'!E:E,"PO",'capacity data'!B:B,'cluster capacity, unallocateds'!B71)</f>
        <v>0</v>
      </c>
      <c r="D71" s="94">
        <f>SUMIFS('capacity data'!J:J,'capacity data'!E:E,"PO",'capacity data'!B:B,'cluster capacity, unallocateds'!B71)</f>
        <v>0</v>
      </c>
      <c r="E71" s="162" t="str">
        <f t="shared" si="8"/>
        <v/>
      </c>
      <c r="F71" s="94">
        <f>SUMIFS('capacity data'!I:I,'capacity data'!E:E,"PSO",'capacity data'!B:B,'cluster capacity, unallocateds'!B71)</f>
        <v>0</v>
      </c>
      <c r="G71" s="94">
        <f>SUMIFS('capacity data'!J:J,'capacity data'!E:E,"PSO",'capacity data'!B:B,'cluster capacity, unallocateds'!B71)</f>
        <v>0</v>
      </c>
      <c r="H71" s="162" t="str">
        <f t="shared" si="9"/>
        <v/>
      </c>
      <c r="I71" s="94">
        <f>SUMIFS('capacity data'!I:I,'capacity data'!E:E,"TPO",'capacity data'!B:B,'cluster capacity, unallocateds'!B71)</f>
        <v>0</v>
      </c>
      <c r="J71" s="94">
        <f>SUMIFS('capacity data'!J:J,'capacity data'!E:E,"TPO",'capacity data'!B:B,'cluster capacity, unallocateds'!B71)</f>
        <v>0</v>
      </c>
      <c r="K71" s="162" t="str">
        <f t="shared" si="10"/>
        <v/>
      </c>
    </row>
    <row r="72" spans="1:23" x14ac:dyDescent="0.15">
      <c r="B72" s="62" t="str">
        <f>HLOOKUP($B$4,Region_Table,6,0)</f>
        <v>Lincolnshire East and West - N53</v>
      </c>
      <c r="C72" s="94">
        <f>SUMIFS('capacity data'!I:I,'capacity data'!E:E,"PO",'capacity data'!B:B,'cluster capacity, unallocateds'!B72)</f>
        <v>0</v>
      </c>
      <c r="D72" s="94">
        <f>SUMIFS('capacity data'!J:J,'capacity data'!E:E,"PO",'capacity data'!B:B,'cluster capacity, unallocateds'!B72)</f>
        <v>0</v>
      </c>
      <c r="E72" s="162" t="str">
        <f t="shared" si="8"/>
        <v/>
      </c>
      <c r="F72" s="94">
        <f>SUMIFS('capacity data'!I:I,'capacity data'!E:E,"PSO",'capacity data'!B:B,'cluster capacity, unallocateds'!B72)</f>
        <v>0</v>
      </c>
      <c r="G72" s="94">
        <f>SUMIFS('capacity data'!J:J,'capacity data'!E:E,"PSO",'capacity data'!B:B,'cluster capacity, unallocateds'!B72)</f>
        <v>0</v>
      </c>
      <c r="H72" s="162" t="str">
        <f t="shared" si="9"/>
        <v/>
      </c>
      <c r="I72" s="94">
        <f>SUMIFS('capacity data'!I:I,'capacity data'!E:E,"TPO",'capacity data'!B:B,'cluster capacity, unallocateds'!B72)</f>
        <v>0</v>
      </c>
      <c r="J72" s="94">
        <f>SUMIFS('capacity data'!J:J,'capacity data'!E:E,"TPO",'capacity data'!B:B,'cluster capacity, unallocateds'!B72)</f>
        <v>0</v>
      </c>
      <c r="K72" s="162" t="str">
        <f t="shared" si="10"/>
        <v/>
      </c>
    </row>
    <row r="73" spans="1:23" x14ac:dyDescent="0.15">
      <c r="B73" s="62" t="str">
        <f>HLOOKUP($B$4,Region_Table,7,0)</f>
        <v>Nottingham City</v>
      </c>
      <c r="C73" s="94">
        <f>SUMIFS('capacity data'!I:I,'capacity data'!E:E,"PO",'capacity data'!B:B,'cluster capacity, unallocateds'!B73)</f>
        <v>0</v>
      </c>
      <c r="D73" s="94">
        <f>SUMIFS('capacity data'!J:J,'capacity data'!E:E,"PO",'capacity data'!B:B,'cluster capacity, unallocateds'!B73)</f>
        <v>0</v>
      </c>
      <c r="E73" s="162" t="str">
        <f t="shared" si="8"/>
        <v/>
      </c>
      <c r="F73" s="94">
        <f>SUMIFS('capacity data'!I:I,'capacity data'!E:E,"PSO",'capacity data'!B:B,'cluster capacity, unallocateds'!B73)</f>
        <v>0</v>
      </c>
      <c r="G73" s="94">
        <f>SUMIFS('capacity data'!J:J,'capacity data'!E:E,"PSO",'capacity data'!B:B,'cluster capacity, unallocateds'!B73)</f>
        <v>0</v>
      </c>
      <c r="H73" s="162" t="str">
        <f t="shared" si="9"/>
        <v/>
      </c>
      <c r="I73" s="94">
        <f>SUMIFS('capacity data'!I:I,'capacity data'!E:E,"TPO",'capacity data'!B:B,'cluster capacity, unallocateds'!B73)</f>
        <v>0</v>
      </c>
      <c r="J73" s="94">
        <f>SUMIFS('capacity data'!J:J,'capacity data'!E:E,"TPO",'capacity data'!B:B,'cluster capacity, unallocateds'!B73)</f>
        <v>0</v>
      </c>
      <c r="K73" s="162" t="str">
        <f t="shared" si="10"/>
        <v/>
      </c>
    </row>
    <row r="74" spans="1:23" x14ac:dyDescent="0.15">
      <c r="B74" s="62" t="str">
        <f>HLOOKUP($B$4,Region_Table,8,0)</f>
        <v>Nottinghamshire - N53</v>
      </c>
      <c r="C74" s="94">
        <f>SUMIFS('capacity data'!I:I,'capacity data'!E:E,"PO",'capacity data'!B:B,'cluster capacity, unallocateds'!B74)</f>
        <v>0</v>
      </c>
      <c r="D74" s="94">
        <f>SUMIFS('capacity data'!J:J,'capacity data'!E:E,"PO",'capacity data'!B:B,'cluster capacity, unallocateds'!B74)</f>
        <v>0</v>
      </c>
      <c r="E74" s="162" t="str">
        <f t="shared" si="8"/>
        <v/>
      </c>
      <c r="F74" s="94">
        <f>SUMIFS('capacity data'!I:I,'capacity data'!E:E,"PSO",'capacity data'!B:B,'cluster capacity, unallocateds'!B74)</f>
        <v>0</v>
      </c>
      <c r="G74" s="94">
        <f>SUMIFS('capacity data'!J:J,'capacity data'!E:E,"PSO",'capacity data'!B:B,'cluster capacity, unallocateds'!B74)</f>
        <v>0</v>
      </c>
      <c r="H74" s="162" t="str">
        <f t="shared" si="9"/>
        <v/>
      </c>
      <c r="I74" s="94">
        <f>SUMIFS('capacity data'!I:I,'capacity data'!E:E,"TPO",'capacity data'!B:B,'cluster capacity, unallocateds'!B74)</f>
        <v>0</v>
      </c>
      <c r="J74" s="94">
        <f>SUMIFS('capacity data'!J:J,'capacity data'!E:E,"TPO",'capacity data'!B:B,'cluster capacity, unallocateds'!B74)</f>
        <v>0</v>
      </c>
      <c r="K74" s="162" t="str">
        <f t="shared" si="10"/>
        <v/>
      </c>
    </row>
    <row r="75" spans="1:23" x14ac:dyDescent="0.15">
      <c r="B75" s="62" t="str">
        <f>HLOOKUP($B$4,Region_Table,9,0)</f>
        <v>Unpaid Work and Attendance Centres - N53</v>
      </c>
      <c r="C75" s="94">
        <f>SUMIFS('capacity data'!I:I,'capacity data'!E:E,"PO",'capacity data'!B:B,'cluster capacity, unallocateds'!B75)</f>
        <v>0</v>
      </c>
      <c r="D75" s="94">
        <f>SUMIFS('capacity data'!J:J,'capacity data'!E:E,"PO",'capacity data'!B:B,'cluster capacity, unallocateds'!B75)</f>
        <v>0</v>
      </c>
      <c r="E75" s="162" t="str">
        <f t="shared" si="8"/>
        <v/>
      </c>
      <c r="F75" s="94">
        <f>SUMIFS('capacity data'!I:I,'capacity data'!E:E,"PSO",'capacity data'!B:B,'cluster capacity, unallocateds'!B75)</f>
        <v>0</v>
      </c>
      <c r="G75" s="94">
        <f>SUMIFS('capacity data'!J:J,'capacity data'!E:E,"PSO",'capacity data'!B:B,'cluster capacity, unallocateds'!B75)</f>
        <v>0</v>
      </c>
      <c r="H75" s="162" t="str">
        <f t="shared" si="9"/>
        <v/>
      </c>
      <c r="I75" s="94">
        <f>SUMIFS('capacity data'!I:I,'capacity data'!E:E,"TPO",'capacity data'!B:B,'cluster capacity, unallocateds'!B75)</f>
        <v>0</v>
      </c>
      <c r="J75" s="94">
        <f>SUMIFS('capacity data'!J:J,'capacity data'!E:E,"TPO",'capacity data'!B:B,'cluster capacity, unallocateds'!B75)</f>
        <v>0</v>
      </c>
      <c r="K75" s="162" t="str">
        <f t="shared" si="10"/>
        <v/>
      </c>
    </row>
    <row r="76" spans="1:23" x14ac:dyDescent="0.15">
      <c r="B76" s="62">
        <f>HLOOKUP($B$4,Region_Table,10,0)</f>
        <v>0</v>
      </c>
      <c r="C76" s="94">
        <f>SUMIFS('capacity data'!I:I,'capacity data'!E:E,"PO",'capacity data'!B:B,'cluster capacity, unallocateds'!B76)</f>
        <v>0</v>
      </c>
      <c r="D76" s="94">
        <f>SUMIFS('capacity data'!J:J,'capacity data'!E:E,"PO",'capacity data'!B:B,'cluster capacity, unallocateds'!B76)</f>
        <v>0</v>
      </c>
      <c r="E76" s="162" t="str">
        <f t="shared" si="8"/>
        <v/>
      </c>
      <c r="F76" s="94">
        <f>SUMIFS('capacity data'!I:I,'capacity data'!E:E,"PSO",'capacity data'!B:B,'cluster capacity, unallocateds'!B76)</f>
        <v>0</v>
      </c>
      <c r="G76" s="94">
        <f>SUMIFS('capacity data'!J:J,'capacity data'!E:E,"PSO",'capacity data'!B:B,'cluster capacity, unallocateds'!B76)</f>
        <v>0</v>
      </c>
      <c r="H76" s="162" t="str">
        <f t="shared" si="9"/>
        <v/>
      </c>
      <c r="I76" s="94">
        <f>SUMIFS('capacity data'!I:I,'capacity data'!E:E,"TPO",'capacity data'!B:B,'cluster capacity, unallocateds'!B76)</f>
        <v>0</v>
      </c>
      <c r="J76" s="94">
        <f>SUMIFS('capacity data'!J:J,'capacity data'!E:E,"TPO",'capacity data'!B:B,'cluster capacity, unallocateds'!B76)</f>
        <v>0</v>
      </c>
      <c r="K76" s="162" t="str">
        <f t="shared" si="10"/>
        <v/>
      </c>
    </row>
    <row r="77" spans="1:23" x14ac:dyDescent="0.15">
      <c r="B77" s="62">
        <f>HLOOKUP($B$4,Region_Table,11,0)</f>
        <v>0</v>
      </c>
      <c r="C77" s="94">
        <f>SUMIFS('capacity data'!I:I,'capacity data'!E:E,"PO",'capacity data'!B:B,'cluster capacity, unallocateds'!B77)</f>
        <v>0</v>
      </c>
      <c r="D77" s="94">
        <f>SUMIFS('capacity data'!J:J,'capacity data'!E:E,"PO",'capacity data'!B:B,'cluster capacity, unallocateds'!B77)</f>
        <v>0</v>
      </c>
      <c r="E77" s="162" t="str">
        <f t="shared" si="8"/>
        <v/>
      </c>
      <c r="F77" s="94">
        <f>SUMIFS('capacity data'!I:I,'capacity data'!E:E,"PSO",'capacity data'!B:B,'cluster capacity, unallocateds'!B77)</f>
        <v>0</v>
      </c>
      <c r="G77" s="94">
        <f>SUMIFS('capacity data'!J:J,'capacity data'!E:E,"PSO",'capacity data'!B:B,'cluster capacity, unallocateds'!B77)</f>
        <v>0</v>
      </c>
      <c r="H77" s="162" t="str">
        <f t="shared" si="9"/>
        <v/>
      </c>
      <c r="I77" s="94">
        <f>SUMIFS('capacity data'!I:I,'capacity data'!E:E,"TPO",'capacity data'!B:B,'cluster capacity, unallocateds'!B77)</f>
        <v>0</v>
      </c>
      <c r="J77" s="94">
        <f>SUMIFS('capacity data'!J:J,'capacity data'!E:E,"TPO",'capacity data'!B:B,'cluster capacity, unallocateds'!B77)</f>
        <v>0</v>
      </c>
      <c r="K77" s="162" t="str">
        <f t="shared" si="10"/>
        <v/>
      </c>
    </row>
    <row r="78" spans="1:23" x14ac:dyDescent="0.15">
      <c r="B78" s="62">
        <f>HLOOKUP($B$4,Region_Table,12,0)</f>
        <v>0</v>
      </c>
      <c r="C78" s="94">
        <f>SUMIFS('capacity data'!I:I,'capacity data'!E:E,"PO",'capacity data'!B:B,'cluster capacity, unallocateds'!B78)</f>
        <v>0</v>
      </c>
      <c r="D78" s="94">
        <f>SUMIFS('capacity data'!J:J,'capacity data'!E:E,"PO",'capacity data'!B:B,'cluster capacity, unallocateds'!B78)</f>
        <v>0</v>
      </c>
      <c r="E78" s="162" t="str">
        <f t="shared" si="8"/>
        <v/>
      </c>
      <c r="F78" s="94">
        <f>SUMIFS('capacity data'!I:I,'capacity data'!E:E,"PSO",'capacity data'!B:B,'cluster capacity, unallocateds'!B78)</f>
        <v>0</v>
      </c>
      <c r="G78" s="94">
        <f>SUMIFS('capacity data'!J:J,'capacity data'!E:E,"PSO",'capacity data'!B:B,'cluster capacity, unallocateds'!B78)</f>
        <v>0</v>
      </c>
      <c r="H78" s="162" t="str">
        <f t="shared" si="9"/>
        <v/>
      </c>
      <c r="I78" s="94">
        <f>SUMIFS('capacity data'!I:I,'capacity data'!E:E,"TPO",'capacity data'!B:B,'cluster capacity, unallocateds'!B78)</f>
        <v>0</v>
      </c>
      <c r="J78" s="94">
        <f>SUMIFS('capacity data'!J:J,'capacity data'!E:E,"TPO",'capacity data'!B:B,'cluster capacity, unallocateds'!B78)</f>
        <v>0</v>
      </c>
      <c r="K78" s="162" t="str">
        <f t="shared" si="10"/>
        <v/>
      </c>
    </row>
    <row r="79" spans="1:23" x14ac:dyDescent="0.15">
      <c r="B79" s="62">
        <f>HLOOKUP($B$4,Region_Table,13,0)</f>
        <v>0</v>
      </c>
      <c r="C79" s="94">
        <f>SUMIFS('capacity data'!I:I,'capacity data'!E:E,"PO",'capacity data'!B:B,'cluster capacity, unallocateds'!B79)</f>
        <v>0</v>
      </c>
      <c r="D79" s="94">
        <f>SUMIFS('capacity data'!J:J,'capacity data'!E:E,"PO",'capacity data'!B:B,'cluster capacity, unallocateds'!B79)</f>
        <v>0</v>
      </c>
      <c r="E79" s="162" t="str">
        <f t="shared" si="8"/>
        <v/>
      </c>
      <c r="F79" s="94">
        <f>SUMIFS('capacity data'!I:I,'capacity data'!E:E,"PSO",'capacity data'!B:B,'cluster capacity, unallocateds'!B79)</f>
        <v>0</v>
      </c>
      <c r="G79" s="94">
        <f>SUMIFS('capacity data'!J:J,'capacity data'!E:E,"PSO",'capacity data'!B:B,'cluster capacity, unallocateds'!B79)</f>
        <v>0</v>
      </c>
      <c r="H79" s="162" t="str">
        <f t="shared" si="9"/>
        <v/>
      </c>
      <c r="I79" s="94">
        <f>SUMIFS('capacity data'!I:I,'capacity data'!E:E,"TPO",'capacity data'!B:B,'cluster capacity, unallocateds'!B79)</f>
        <v>0</v>
      </c>
      <c r="J79" s="94">
        <f>SUMIFS('capacity data'!J:J,'capacity data'!E:E,"TPO",'capacity data'!B:B,'cluster capacity, unallocateds'!B79)</f>
        <v>0</v>
      </c>
      <c r="K79" s="162" t="str">
        <f t="shared" si="10"/>
        <v/>
      </c>
    </row>
    <row r="80" spans="1:23" x14ac:dyDescent="0.15">
      <c r="B80" s="62">
        <f>HLOOKUP($B$4,Region_Table,14,0)</f>
        <v>0</v>
      </c>
      <c r="C80" s="94">
        <f>SUMIFS('capacity data'!I:I,'capacity data'!E:E,"PO",'capacity data'!B:B,'cluster capacity, unallocateds'!B80)</f>
        <v>0</v>
      </c>
      <c r="D80" s="94">
        <f>SUMIFS('capacity data'!J:J,'capacity data'!E:E,"PO",'capacity data'!B:B,'cluster capacity, unallocateds'!B80)</f>
        <v>0</v>
      </c>
      <c r="E80" s="162" t="str">
        <f t="shared" si="8"/>
        <v/>
      </c>
      <c r="F80" s="94">
        <f>SUMIFS('capacity data'!I:I,'capacity data'!E:E,"PSO",'capacity data'!B:B,'cluster capacity, unallocateds'!B80)</f>
        <v>0</v>
      </c>
      <c r="G80" s="94">
        <f>SUMIFS('capacity data'!J:J,'capacity data'!E:E,"PSO",'capacity data'!B:B,'cluster capacity, unallocateds'!B80)</f>
        <v>0</v>
      </c>
      <c r="H80" s="162" t="str">
        <f t="shared" si="9"/>
        <v/>
      </c>
      <c r="I80" s="94">
        <f>SUMIFS('capacity data'!I:I,'capacity data'!E:E,"TPO",'capacity data'!B:B,'cluster capacity, unallocateds'!B80)</f>
        <v>0</v>
      </c>
      <c r="J80" s="94">
        <f>SUMIFS('capacity data'!J:J,'capacity data'!E:E,"TPO",'capacity data'!B:B,'cluster capacity, unallocateds'!B80)</f>
        <v>0</v>
      </c>
      <c r="K80" s="162" t="str">
        <f t="shared" si="10"/>
        <v/>
      </c>
    </row>
    <row r="81" spans="2:11" x14ac:dyDescent="0.15">
      <c r="B81" s="62">
        <f>HLOOKUP($B$4,Region_Table,15,0)</f>
        <v>0</v>
      </c>
      <c r="C81" s="94">
        <f>SUMIFS('capacity data'!I:I,'capacity data'!E:E,"PO",'capacity data'!B:B,'cluster capacity, unallocateds'!B81)</f>
        <v>0</v>
      </c>
      <c r="D81" s="94">
        <f>SUMIFS('capacity data'!J:J,'capacity data'!E:E,"PO",'capacity data'!B:B,'cluster capacity, unallocateds'!B81)</f>
        <v>0</v>
      </c>
      <c r="E81" s="162" t="str">
        <f t="shared" si="8"/>
        <v/>
      </c>
      <c r="F81" s="94">
        <f>SUMIFS('capacity data'!I:I,'capacity data'!E:E,"PSO",'capacity data'!B:B,'cluster capacity, unallocateds'!B81)</f>
        <v>0</v>
      </c>
      <c r="G81" s="94">
        <f>SUMIFS('capacity data'!J:J,'capacity data'!E:E,"PSO",'capacity data'!B:B,'cluster capacity, unallocateds'!B81)</f>
        <v>0</v>
      </c>
      <c r="H81" s="162" t="str">
        <f t="shared" si="9"/>
        <v/>
      </c>
      <c r="I81" s="94">
        <f>SUMIFS('capacity data'!I:I,'capacity data'!E:E,"TPO",'capacity data'!B:B,'cluster capacity, unallocateds'!B81)</f>
        <v>0</v>
      </c>
      <c r="J81" s="94">
        <f>SUMIFS('capacity data'!J:J,'capacity data'!E:E,"TPO",'capacity data'!B:B,'cluster capacity, unallocateds'!B81)</f>
        <v>0</v>
      </c>
      <c r="K81" s="162" t="str">
        <f t="shared" si="10"/>
        <v/>
      </c>
    </row>
    <row r="82" spans="2:11" x14ac:dyDescent="0.15">
      <c r="B82" s="62">
        <f>HLOOKUP($B$4,Region_Table,16,0)</f>
        <v>0</v>
      </c>
      <c r="C82" s="94">
        <f>SUMIFS('capacity data'!I:I,'capacity data'!E:E,"PO",'capacity data'!B:B,'cluster capacity, unallocateds'!B82)</f>
        <v>0</v>
      </c>
      <c r="D82" s="94">
        <f>SUMIFS('capacity data'!J:J,'capacity data'!E:E,"PO",'capacity data'!B:B,'cluster capacity, unallocateds'!B82)</f>
        <v>0</v>
      </c>
      <c r="E82" s="162" t="str">
        <f t="shared" si="8"/>
        <v/>
      </c>
      <c r="F82" s="94">
        <f>SUMIFS('capacity data'!I:I,'capacity data'!E:E,"PSO",'capacity data'!B:B,'cluster capacity, unallocateds'!B82)</f>
        <v>0</v>
      </c>
      <c r="G82" s="94">
        <f>SUMIFS('capacity data'!J:J,'capacity data'!E:E,"PSO",'capacity data'!B:B,'cluster capacity, unallocateds'!B82)</f>
        <v>0</v>
      </c>
      <c r="H82" s="162" t="str">
        <f t="shared" si="9"/>
        <v/>
      </c>
      <c r="I82" s="94">
        <f>SUMIFS('capacity data'!I:I,'capacity data'!E:E,"TPO",'capacity data'!B:B,'cluster capacity, unallocateds'!B82)</f>
        <v>0</v>
      </c>
      <c r="J82" s="94">
        <f>SUMIFS('capacity data'!J:J,'capacity data'!E:E,"TPO",'capacity data'!B:B,'cluster capacity, unallocateds'!B82)</f>
        <v>0</v>
      </c>
      <c r="K82" s="162" t="str">
        <f t="shared" si="10"/>
        <v/>
      </c>
    </row>
    <row r="83" spans="2:11" x14ac:dyDescent="0.15">
      <c r="B83" s="62">
        <f>HLOOKUP($B$4,Region_Table,17,0)</f>
        <v>0</v>
      </c>
      <c r="C83" s="94">
        <f>SUMIFS('capacity data'!I:I,'capacity data'!E:E,"PO",'capacity data'!B:B,'cluster capacity, unallocateds'!B83)</f>
        <v>0</v>
      </c>
      <c r="D83" s="94">
        <f>SUMIFS('capacity data'!J:J,'capacity data'!E:E,"PO",'capacity data'!B:B,'cluster capacity, unallocateds'!B83)</f>
        <v>0</v>
      </c>
      <c r="E83" s="162" t="str">
        <f t="shared" si="8"/>
        <v/>
      </c>
      <c r="F83" s="94">
        <f>SUMIFS('capacity data'!I:I,'capacity data'!E:E,"PSO",'capacity data'!B:B,'cluster capacity, unallocateds'!B83)</f>
        <v>0</v>
      </c>
      <c r="G83" s="94">
        <f>SUMIFS('capacity data'!J:J,'capacity data'!E:E,"PSO",'capacity data'!B:B,'cluster capacity, unallocateds'!B83)</f>
        <v>0</v>
      </c>
      <c r="H83" s="162" t="str">
        <f t="shared" si="9"/>
        <v/>
      </c>
      <c r="I83" s="94">
        <f>SUMIFS('capacity data'!I:I,'capacity data'!E:E,"TPO",'capacity data'!B:B,'cluster capacity, unallocateds'!B83)</f>
        <v>0</v>
      </c>
      <c r="J83" s="94">
        <f>SUMIFS('capacity data'!J:J,'capacity data'!E:E,"TPO",'capacity data'!B:B,'cluster capacity, unallocateds'!B83)</f>
        <v>0</v>
      </c>
      <c r="K83" s="162" t="str">
        <f t="shared" si="10"/>
        <v/>
      </c>
    </row>
    <row r="84" spans="2:11" x14ac:dyDescent="0.15">
      <c r="B84" s="62">
        <f>HLOOKUP($B$4,Region_Table,18,0)</f>
        <v>0</v>
      </c>
      <c r="C84" s="94">
        <f>SUMIFS('capacity data'!I:I,'capacity data'!E:E,"PO",'capacity data'!B:B,'cluster capacity, unallocateds'!B84)</f>
        <v>0</v>
      </c>
      <c r="D84" s="94">
        <f>SUMIFS('capacity data'!J:J,'capacity data'!E:E,"PO",'capacity data'!B:B,'cluster capacity, unallocateds'!B84)</f>
        <v>0</v>
      </c>
      <c r="E84" s="162" t="str">
        <f t="shared" ref="E84:E86" si="11">IFERROR(D84/C84,"")</f>
        <v/>
      </c>
      <c r="F84" s="94">
        <f>SUMIFS('capacity data'!I:I,'capacity data'!E:E,"PSO",'capacity data'!B:B,'cluster capacity, unallocateds'!B84)</f>
        <v>0</v>
      </c>
      <c r="G84" s="94">
        <f>SUMIFS('capacity data'!J:J,'capacity data'!E:E,"PSO",'capacity data'!B:B,'cluster capacity, unallocateds'!B84)</f>
        <v>0</v>
      </c>
      <c r="H84" s="162" t="str">
        <f t="shared" ref="H84:H86" si="12">IFERROR(G84/F84,"")</f>
        <v/>
      </c>
      <c r="I84" s="94">
        <f>SUMIFS('capacity data'!I:I,'capacity data'!E:E,"TPO",'capacity data'!B:B,'cluster capacity, unallocateds'!B84)</f>
        <v>0</v>
      </c>
      <c r="J84" s="94">
        <f>SUMIFS('capacity data'!J:J,'capacity data'!E:E,"TPO",'capacity data'!B:B,'cluster capacity, unallocateds'!B84)</f>
        <v>0</v>
      </c>
      <c r="K84" s="162" t="str">
        <f t="shared" ref="K84:K86" si="13">IFERROR(J84/I84,"")</f>
        <v/>
      </c>
    </row>
    <row r="85" spans="2:11" x14ac:dyDescent="0.15">
      <c r="B85" s="62">
        <f>HLOOKUP($B$4,Region_Table,19,0)</f>
        <v>0</v>
      </c>
      <c r="C85" s="94">
        <f>SUMIFS('capacity data'!I:I,'capacity data'!E:E,"PO",'capacity data'!B:B,'cluster capacity, unallocateds'!B85)</f>
        <v>0</v>
      </c>
      <c r="D85" s="94">
        <f>SUMIFS('capacity data'!J:J,'capacity data'!E:E,"PO",'capacity data'!B:B,'cluster capacity, unallocateds'!B85)</f>
        <v>0</v>
      </c>
      <c r="E85" s="162" t="str">
        <f t="shared" si="11"/>
        <v/>
      </c>
      <c r="F85" s="94">
        <f>SUMIFS('capacity data'!I:I,'capacity data'!E:E,"PSO",'capacity data'!B:B,'cluster capacity, unallocateds'!B85)</f>
        <v>0</v>
      </c>
      <c r="G85" s="94">
        <f>SUMIFS('capacity data'!J:J,'capacity data'!E:E,"PSO",'capacity data'!B:B,'cluster capacity, unallocateds'!B85)</f>
        <v>0</v>
      </c>
      <c r="H85" s="162" t="str">
        <f t="shared" si="12"/>
        <v/>
      </c>
      <c r="I85" s="94">
        <f>SUMIFS('capacity data'!I:I,'capacity data'!E:E,"TPO",'capacity data'!B:B,'cluster capacity, unallocateds'!B85)</f>
        <v>0</v>
      </c>
      <c r="J85" s="94">
        <f>SUMIFS('capacity data'!J:J,'capacity data'!E:E,"TPO",'capacity data'!B:B,'cluster capacity, unallocateds'!B85)</f>
        <v>0</v>
      </c>
      <c r="K85" s="162" t="str">
        <f t="shared" si="13"/>
        <v/>
      </c>
    </row>
    <row r="86" spans="2:11" ht="15" customHeight="1" x14ac:dyDescent="0.15">
      <c r="B86" s="62">
        <f>HLOOKUP($B$4,Region_Table,20,0)</f>
        <v>0</v>
      </c>
      <c r="C86" s="94">
        <f>SUMIFS('capacity data'!I:I,'capacity data'!E:E,"PO",'capacity data'!B:B,'cluster capacity, unallocateds'!B86)</f>
        <v>0</v>
      </c>
      <c r="D86" s="94">
        <f>SUMIFS('capacity data'!J:J,'capacity data'!E:E,"PO",'capacity data'!B:B,'cluster capacity, unallocateds'!B86)</f>
        <v>0</v>
      </c>
      <c r="E86" s="162" t="str">
        <f t="shared" si="11"/>
        <v/>
      </c>
      <c r="F86" s="94">
        <f>SUMIFS('capacity data'!I:I,'capacity data'!E:E,"PSO",'capacity data'!B:B,'cluster capacity, unallocateds'!B86)</f>
        <v>0</v>
      </c>
      <c r="G86" s="94">
        <f>SUMIFS('capacity data'!J:J,'capacity data'!E:E,"PSO",'capacity data'!B:B,'cluster capacity, unallocateds'!B86)</f>
        <v>0</v>
      </c>
      <c r="H86" s="162" t="str">
        <f t="shared" si="12"/>
        <v/>
      </c>
      <c r="I86" s="94">
        <f>SUMIFS('capacity data'!I:I,'capacity data'!E:E,"TPO",'capacity data'!B:B,'cluster capacity, unallocateds'!B86)</f>
        <v>0</v>
      </c>
      <c r="J86" s="94">
        <f>SUMIFS('capacity data'!J:J,'capacity data'!E:E,"TPO",'capacity data'!B:B,'cluster capacity, unallocateds'!B86)</f>
        <v>0</v>
      </c>
      <c r="K86" s="162" t="str">
        <f t="shared" si="13"/>
        <v/>
      </c>
    </row>
    <row r="87" spans="2:11" ht="15" customHeight="1" x14ac:dyDescent="0.15">
      <c r="B87" s="62">
        <f>HLOOKUP($B$4,Region_Table,21,0)</f>
        <v>0</v>
      </c>
      <c r="C87" s="94">
        <f>SUMIFS('capacity data'!I:I,'capacity data'!E:E,"PO",'capacity data'!B:B,'cluster capacity, unallocateds'!B87)</f>
        <v>0</v>
      </c>
      <c r="D87" s="94">
        <f>SUMIFS('capacity data'!J:J,'capacity data'!E:E,"PO",'capacity data'!B:B,'cluster capacity, unallocateds'!B87)</f>
        <v>0</v>
      </c>
      <c r="E87" s="162" t="str">
        <f t="shared" ref="E87:E94" si="14">IFERROR(D87/C87,"")</f>
        <v/>
      </c>
      <c r="F87" s="94">
        <f>SUMIFS('capacity data'!I:I,'capacity data'!E:E,"PSO",'capacity data'!B:B,'cluster capacity, unallocateds'!B87)</f>
        <v>0</v>
      </c>
      <c r="G87" s="94">
        <f>SUMIFS('capacity data'!J:J,'capacity data'!E:E,"PSO",'capacity data'!B:B,'cluster capacity, unallocateds'!B87)</f>
        <v>0</v>
      </c>
      <c r="H87" s="162" t="str">
        <f t="shared" ref="H87:H94" si="15">IFERROR(G87/F87,"")</f>
        <v/>
      </c>
      <c r="I87" s="94">
        <f>SUMIFS('capacity data'!I:I,'capacity data'!E:E,"TPO",'capacity data'!B:B,'cluster capacity, unallocateds'!B87)</f>
        <v>0</v>
      </c>
      <c r="J87" s="94">
        <f>SUMIFS('capacity data'!J:J,'capacity data'!E:E,"TPO",'capacity data'!B:B,'cluster capacity, unallocateds'!B87)</f>
        <v>0</v>
      </c>
      <c r="K87" s="162" t="str">
        <f t="shared" ref="K87:K94" si="16">IFERROR(J87/I87,"")</f>
        <v/>
      </c>
    </row>
    <row r="88" spans="2:11" ht="15" customHeight="1" x14ac:dyDescent="0.15">
      <c r="B88" s="62">
        <f>HLOOKUP($B$4,Region_Table,22,0)</f>
        <v>0</v>
      </c>
      <c r="C88" s="94">
        <f>SUMIFS('capacity data'!I:I,'capacity data'!E:E,"PO",'capacity data'!B:B,'cluster capacity, unallocateds'!B88)</f>
        <v>0</v>
      </c>
      <c r="D88" s="94">
        <f>SUMIFS('capacity data'!J:J,'capacity data'!E:E,"PO",'capacity data'!B:B,'cluster capacity, unallocateds'!B88)</f>
        <v>0</v>
      </c>
      <c r="E88" s="162" t="str">
        <f t="shared" si="14"/>
        <v/>
      </c>
      <c r="F88" s="94">
        <f>SUMIFS('capacity data'!I:I,'capacity data'!E:E,"PSO",'capacity data'!B:B,'cluster capacity, unallocateds'!B88)</f>
        <v>0</v>
      </c>
      <c r="G88" s="94">
        <f>SUMIFS('capacity data'!J:J,'capacity data'!E:E,"PSO",'capacity data'!B:B,'cluster capacity, unallocateds'!B88)</f>
        <v>0</v>
      </c>
      <c r="H88" s="162" t="str">
        <f t="shared" si="15"/>
        <v/>
      </c>
      <c r="I88" s="94">
        <f>SUMIFS('capacity data'!I:I,'capacity data'!E:E,"TPO",'capacity data'!B:B,'cluster capacity, unallocateds'!B88)</f>
        <v>0</v>
      </c>
      <c r="J88" s="94">
        <f>SUMIFS('capacity data'!J:J,'capacity data'!E:E,"TPO",'capacity data'!B:B,'cluster capacity, unallocateds'!B88)</f>
        <v>0</v>
      </c>
      <c r="K88" s="162" t="str">
        <f t="shared" si="16"/>
        <v/>
      </c>
    </row>
    <row r="89" spans="2:11" ht="15" customHeight="1" x14ac:dyDescent="0.15">
      <c r="B89" s="62">
        <f>HLOOKUP($B$4,Region_Table,23,0)</f>
        <v>0</v>
      </c>
      <c r="C89" s="94">
        <f>SUMIFS('capacity data'!I:I,'capacity data'!E:E,"PO",'capacity data'!B:B,'cluster capacity, unallocateds'!B89)</f>
        <v>0</v>
      </c>
      <c r="D89" s="94">
        <f>SUMIFS('capacity data'!J:J,'capacity data'!E:E,"PO",'capacity data'!B:B,'cluster capacity, unallocateds'!B89)</f>
        <v>0</v>
      </c>
      <c r="E89" s="162" t="str">
        <f t="shared" si="14"/>
        <v/>
      </c>
      <c r="F89" s="94">
        <f>SUMIFS('capacity data'!I:I,'capacity data'!E:E,"PSO",'capacity data'!B:B,'cluster capacity, unallocateds'!B89)</f>
        <v>0</v>
      </c>
      <c r="G89" s="94">
        <f>SUMIFS('capacity data'!J:J,'capacity data'!E:E,"PSO",'capacity data'!B:B,'cluster capacity, unallocateds'!B89)</f>
        <v>0</v>
      </c>
      <c r="H89" s="162" t="str">
        <f t="shared" si="15"/>
        <v/>
      </c>
      <c r="I89" s="94">
        <f>SUMIFS('capacity data'!I:I,'capacity data'!E:E,"TPO",'capacity data'!B:B,'cluster capacity, unallocateds'!B89)</f>
        <v>0</v>
      </c>
      <c r="J89" s="94">
        <f>SUMIFS('capacity data'!J:J,'capacity data'!E:E,"TPO",'capacity data'!B:B,'cluster capacity, unallocateds'!B89)</f>
        <v>0</v>
      </c>
      <c r="K89" s="162" t="str">
        <f t="shared" si="16"/>
        <v/>
      </c>
    </row>
    <row r="90" spans="2:11" ht="15" customHeight="1" x14ac:dyDescent="0.15">
      <c r="B90" s="62">
        <f>HLOOKUP($B$4,Region_Table,24,0)</f>
        <v>0</v>
      </c>
      <c r="C90" s="94">
        <f>SUMIFS('capacity data'!I:I,'capacity data'!E:E,"PO",'capacity data'!B:B,'cluster capacity, unallocateds'!B90)</f>
        <v>0</v>
      </c>
      <c r="D90" s="94">
        <f>SUMIFS('capacity data'!J:J,'capacity data'!E:E,"PO",'capacity data'!B:B,'cluster capacity, unallocateds'!B90)</f>
        <v>0</v>
      </c>
      <c r="E90" s="162" t="str">
        <f t="shared" si="14"/>
        <v/>
      </c>
      <c r="F90" s="94">
        <f>SUMIFS('capacity data'!I:I,'capacity data'!E:E,"PSO",'capacity data'!B:B,'cluster capacity, unallocateds'!B90)</f>
        <v>0</v>
      </c>
      <c r="G90" s="94">
        <f>SUMIFS('capacity data'!J:J,'capacity data'!E:E,"PSO",'capacity data'!B:B,'cluster capacity, unallocateds'!B90)</f>
        <v>0</v>
      </c>
      <c r="H90" s="162" t="str">
        <f t="shared" si="15"/>
        <v/>
      </c>
      <c r="I90" s="94">
        <f>SUMIFS('capacity data'!I:I,'capacity data'!E:E,"TPO",'capacity data'!B:B,'cluster capacity, unallocateds'!B90)</f>
        <v>0</v>
      </c>
      <c r="J90" s="94">
        <f>SUMIFS('capacity data'!J:J,'capacity data'!E:E,"TPO",'capacity data'!B:B,'cluster capacity, unallocateds'!B90)</f>
        <v>0</v>
      </c>
      <c r="K90" s="162" t="str">
        <f t="shared" si="16"/>
        <v/>
      </c>
    </row>
    <row r="91" spans="2:11" ht="15" customHeight="1" x14ac:dyDescent="0.15">
      <c r="B91" s="62">
        <f>HLOOKUP($B$4,Region_Table,25,0)</f>
        <v>0</v>
      </c>
      <c r="C91" s="94">
        <f>SUMIFS('capacity data'!I:I,'capacity data'!E:E,"PO",'capacity data'!B:B,'cluster capacity, unallocateds'!B91)</f>
        <v>0</v>
      </c>
      <c r="D91" s="94">
        <f>SUMIFS('capacity data'!J:J,'capacity data'!E:E,"PO",'capacity data'!B:B,'cluster capacity, unallocateds'!B91)</f>
        <v>0</v>
      </c>
      <c r="E91" s="162" t="str">
        <f t="shared" si="14"/>
        <v/>
      </c>
      <c r="F91" s="94">
        <f>SUMIFS('capacity data'!I:I,'capacity data'!E:E,"PSO",'capacity data'!B:B,'cluster capacity, unallocateds'!B91)</f>
        <v>0</v>
      </c>
      <c r="G91" s="94">
        <f>SUMIFS('capacity data'!J:J,'capacity data'!E:E,"PSO",'capacity data'!B:B,'cluster capacity, unallocateds'!B91)</f>
        <v>0</v>
      </c>
      <c r="H91" s="162" t="str">
        <f t="shared" si="15"/>
        <v/>
      </c>
      <c r="I91" s="94">
        <f>SUMIFS('capacity data'!I:I,'capacity data'!E:E,"TPO",'capacity data'!B:B,'cluster capacity, unallocateds'!B91)</f>
        <v>0</v>
      </c>
      <c r="J91" s="94">
        <f>SUMIFS('capacity data'!J:J,'capacity data'!E:E,"TPO",'capacity data'!B:B,'cluster capacity, unallocateds'!B91)</f>
        <v>0</v>
      </c>
      <c r="K91" s="162" t="str">
        <f t="shared" si="16"/>
        <v/>
      </c>
    </row>
    <row r="92" spans="2:11" ht="15" customHeight="1" x14ac:dyDescent="0.15">
      <c r="B92" s="62">
        <f>HLOOKUP($B$4,Region_Table,26,0)</f>
        <v>0</v>
      </c>
      <c r="C92" s="94">
        <f>SUMIFS('capacity data'!I:I,'capacity data'!E:E,"PO",'capacity data'!B:B,'cluster capacity, unallocateds'!B92)</f>
        <v>0</v>
      </c>
      <c r="D92" s="94">
        <f>SUMIFS('capacity data'!J:J,'capacity data'!E:E,"PO",'capacity data'!B:B,'cluster capacity, unallocateds'!B92)</f>
        <v>0</v>
      </c>
      <c r="E92" s="162" t="str">
        <f t="shared" si="14"/>
        <v/>
      </c>
      <c r="F92" s="94">
        <f>SUMIFS('capacity data'!I:I,'capacity data'!E:E,"PSO",'capacity data'!B:B,'cluster capacity, unallocateds'!B92)</f>
        <v>0</v>
      </c>
      <c r="G92" s="94">
        <f>SUMIFS('capacity data'!J:J,'capacity data'!E:E,"PSO",'capacity data'!B:B,'cluster capacity, unallocateds'!B92)</f>
        <v>0</v>
      </c>
      <c r="H92" s="162" t="str">
        <f t="shared" si="15"/>
        <v/>
      </c>
      <c r="I92" s="94">
        <f>SUMIFS('capacity data'!I:I,'capacity data'!E:E,"TPO",'capacity data'!B:B,'cluster capacity, unallocateds'!B92)</f>
        <v>0</v>
      </c>
      <c r="J92" s="94">
        <f>SUMIFS('capacity data'!J:J,'capacity data'!E:E,"TPO",'capacity data'!B:B,'cluster capacity, unallocateds'!B92)</f>
        <v>0</v>
      </c>
      <c r="K92" s="162" t="str">
        <f t="shared" si="16"/>
        <v/>
      </c>
    </row>
    <row r="93" spans="2:11" ht="15" customHeight="1" x14ac:dyDescent="0.15">
      <c r="B93" s="62">
        <f>HLOOKUP($B$4,Region_Table,27,0)</f>
        <v>0</v>
      </c>
      <c r="C93" s="94">
        <f>SUMIFS('capacity data'!I:I,'capacity data'!E:E,"PO",'capacity data'!B:B,'cluster capacity, unallocateds'!B93)</f>
        <v>0</v>
      </c>
      <c r="D93" s="94">
        <f>SUMIFS('capacity data'!J:J,'capacity data'!E:E,"PO",'capacity data'!B:B,'cluster capacity, unallocateds'!B93)</f>
        <v>0</v>
      </c>
      <c r="E93" s="162" t="str">
        <f t="shared" si="14"/>
        <v/>
      </c>
      <c r="F93" s="94">
        <f>SUMIFS('capacity data'!I:I,'capacity data'!E:E,"PSO",'capacity data'!B:B,'cluster capacity, unallocateds'!B93)</f>
        <v>0</v>
      </c>
      <c r="G93" s="94">
        <f>SUMIFS('capacity data'!J:J,'capacity data'!E:E,"PSO",'capacity data'!B:B,'cluster capacity, unallocateds'!B93)</f>
        <v>0</v>
      </c>
      <c r="H93" s="162" t="str">
        <f t="shared" si="15"/>
        <v/>
      </c>
      <c r="I93" s="94">
        <f>SUMIFS('capacity data'!I:I,'capacity data'!E:E,"TPO",'capacity data'!B:B,'cluster capacity, unallocateds'!B93)</f>
        <v>0</v>
      </c>
      <c r="J93" s="94">
        <f>SUMIFS('capacity data'!J:J,'capacity data'!E:E,"TPO",'capacity data'!B:B,'cluster capacity, unallocateds'!B93)</f>
        <v>0</v>
      </c>
      <c r="K93" s="162" t="str">
        <f t="shared" si="16"/>
        <v/>
      </c>
    </row>
    <row r="94" spans="2:11" ht="15" customHeight="1" x14ac:dyDescent="0.15">
      <c r="B94" s="62">
        <f>HLOOKUP($B$4,Region_Table,28,0)</f>
        <v>0</v>
      </c>
      <c r="C94" s="94">
        <f>SUMIFS('capacity data'!I:I,'capacity data'!E:E,"PO",'capacity data'!B:B,'cluster capacity, unallocateds'!B94)</f>
        <v>0</v>
      </c>
      <c r="D94" s="94">
        <f>SUMIFS('capacity data'!J:J,'capacity data'!E:E,"PO",'capacity data'!B:B,'cluster capacity, unallocateds'!B94)</f>
        <v>0</v>
      </c>
      <c r="E94" s="162" t="str">
        <f t="shared" si="14"/>
        <v/>
      </c>
      <c r="F94" s="94">
        <f>SUMIFS('capacity data'!I:I,'capacity data'!E:E,"PSO",'capacity data'!B:B,'cluster capacity, unallocateds'!B94)</f>
        <v>0</v>
      </c>
      <c r="G94" s="94">
        <f>SUMIFS('capacity data'!J:J,'capacity data'!E:E,"PSO",'capacity data'!B:B,'cluster capacity, unallocateds'!B94)</f>
        <v>0</v>
      </c>
      <c r="H94" s="162" t="str">
        <f t="shared" si="15"/>
        <v/>
      </c>
      <c r="I94" s="94">
        <f>SUMIFS('capacity data'!I:I,'capacity data'!E:E,"TPO",'capacity data'!B:B,'cluster capacity, unallocateds'!B94)</f>
        <v>0</v>
      </c>
      <c r="J94" s="94">
        <f>SUMIFS('capacity data'!J:J,'capacity data'!E:E,"TPO",'capacity data'!B:B,'cluster capacity, unallocateds'!B94)</f>
        <v>0</v>
      </c>
      <c r="K94" s="162" t="str">
        <f t="shared" si="16"/>
        <v/>
      </c>
    </row>
    <row r="95" spans="2:11" ht="35.25" customHeight="1" x14ac:dyDescent="0.15"/>
    <row r="96" spans="2:11" ht="56" x14ac:dyDescent="0.15">
      <c r="B96" s="219" t="s">
        <v>1098</v>
      </c>
      <c r="C96" s="219" t="s">
        <v>1118</v>
      </c>
      <c r="D96" s="219" t="s">
        <v>1119</v>
      </c>
      <c r="E96" s="219" t="s">
        <v>1120</v>
      </c>
      <c r="F96" s="219" t="s">
        <v>1121</v>
      </c>
      <c r="G96" s="219" t="s">
        <v>1122</v>
      </c>
      <c r="H96" s="219" t="s">
        <v>1123</v>
      </c>
      <c r="I96" s="219" t="s">
        <v>1124</v>
      </c>
    </row>
    <row r="97" spans="2:9" x14ac:dyDescent="0.15">
      <c r="B97" s="154" t="s">
        <v>1049</v>
      </c>
      <c r="C97" s="161">
        <f>SUM('capacity data'!K:K)</f>
        <v>0</v>
      </c>
      <c r="D97" s="161">
        <f>COUNTIF('capacity data'!E:E,"DMY")</f>
        <v>0</v>
      </c>
      <c r="E97" s="161">
        <f>SUMIF('capacity data'!E:E,"DMY",'capacity data'!K:K)</f>
        <v>0</v>
      </c>
      <c r="F97" s="162" t="e">
        <f>E97/C97</f>
        <v>#DIV/0!</v>
      </c>
      <c r="G97" s="163">
        <f>SUMIF('capacity data'!E:E,"SPO",'capacity data'!K:K)</f>
        <v>0</v>
      </c>
      <c r="H97" s="161">
        <f>E97+G97</f>
        <v>0</v>
      </c>
      <c r="I97" s="164" t="e">
        <f>H97/C97</f>
        <v>#DIV/0!</v>
      </c>
    </row>
    <row r="98" spans="2:9" x14ac:dyDescent="0.15">
      <c r="B98" s="62" t="str">
        <f>HLOOKUP($B$4,Region_Table,2,0)</f>
        <v>All East Midlands Region</v>
      </c>
      <c r="C98" s="94">
        <f>SUMIF('capacity data'!B:B,'cluster capacity, unallocateds'!B98,'capacity data'!K:K)</f>
        <v>0</v>
      </c>
      <c r="D98" s="94">
        <f>COUNTIFS('capacity data'!B:B,'cluster capacity, unallocateds'!B98,'capacity data'!E:E,"DMY")</f>
        <v>0</v>
      </c>
      <c r="E98" s="94">
        <f>SUMIFS('capacity data'!K:K,'capacity data'!E:E,"DMY",'capacity data'!B:B,'cluster capacity, unallocateds'!B98)</f>
        <v>0</v>
      </c>
      <c r="F98" s="66" t="str">
        <f>IFERROR(E98/C98,"")</f>
        <v/>
      </c>
      <c r="G98" s="75">
        <f>SUMIFS('capacity data'!K:K,'capacity data'!E:E,"SPO",'capacity data'!B:B,'cluster capacity, unallocateds'!B98)</f>
        <v>0</v>
      </c>
      <c r="H98" s="161">
        <f t="shared" ref="H98:H113" si="17">E98+G98</f>
        <v>0</v>
      </c>
      <c r="I98" s="164" t="str">
        <f>IFERROR(H98/C98,"")</f>
        <v/>
      </c>
    </row>
    <row r="99" spans="2:9" x14ac:dyDescent="0.15">
      <c r="B99" s="62" t="str">
        <f>HLOOKUP($B$4,Region_Table,3,0)</f>
        <v>Derby City - N53</v>
      </c>
      <c r="C99" s="94">
        <f>SUMIF('capacity data'!B:B,'cluster capacity, unallocateds'!B99,'capacity data'!K:K)</f>
        <v>0</v>
      </c>
      <c r="D99" s="94">
        <f>COUNTIFS('capacity data'!B:B,'cluster capacity, unallocateds'!B99,'capacity data'!E:E,"DMY")</f>
        <v>0</v>
      </c>
      <c r="E99" s="94">
        <f>SUMIFS('capacity data'!K:K,'capacity data'!E:E,"DMY",'capacity data'!B:B,'cluster capacity, unallocateds'!B99)</f>
        <v>0</v>
      </c>
      <c r="F99" s="66" t="str">
        <f t="shared" ref="F99:F113" si="18">IFERROR(E99/C99,"")</f>
        <v/>
      </c>
      <c r="G99" s="75">
        <f>SUMIFS('capacity data'!K:K,'capacity data'!E:E,"SPO",'capacity data'!B:B,'cluster capacity, unallocateds'!B99)</f>
        <v>0</v>
      </c>
      <c r="H99" s="161">
        <f t="shared" si="17"/>
        <v>0</v>
      </c>
      <c r="I99" s="164" t="str">
        <f t="shared" ref="I99:I113" si="19">IFERROR(H99/C99,"")</f>
        <v/>
      </c>
    </row>
    <row r="100" spans="2:9" x14ac:dyDescent="0.15">
      <c r="B100" s="62" t="str">
        <f>HLOOKUP($B$4,Region_Table,4,0)</f>
        <v>Derbyshire - N53</v>
      </c>
      <c r="C100" s="94">
        <f>SUMIF('capacity data'!B:B,'cluster capacity, unallocateds'!B100,'capacity data'!K:K)</f>
        <v>0</v>
      </c>
      <c r="D100" s="94">
        <f>COUNTIFS('capacity data'!B:B,'cluster capacity, unallocateds'!B100,'capacity data'!E:E,"DMY")</f>
        <v>0</v>
      </c>
      <c r="E100" s="94">
        <f>SUMIFS('capacity data'!K:K,'capacity data'!E:E,"DMY",'capacity data'!B:B,'cluster capacity, unallocateds'!B100)</f>
        <v>0</v>
      </c>
      <c r="F100" s="66" t="str">
        <f t="shared" si="18"/>
        <v/>
      </c>
      <c r="G100" s="75">
        <f>SUMIFS('capacity data'!K:K,'capacity data'!E:E,"SPO",'capacity data'!B:B,'cluster capacity, unallocateds'!B100)</f>
        <v>0</v>
      </c>
      <c r="H100" s="161">
        <f t="shared" si="17"/>
        <v>0</v>
      </c>
      <c r="I100" s="164" t="str">
        <f t="shared" si="19"/>
        <v/>
      </c>
    </row>
    <row r="101" spans="2:9" x14ac:dyDescent="0.15">
      <c r="B101" s="62" t="str">
        <f>HLOOKUP($B$4,Region_Table,5,0)</f>
        <v>Leicester, Leicestershire and Rutland</v>
      </c>
      <c r="C101" s="94">
        <f>SUMIF('capacity data'!B:B,'cluster capacity, unallocateds'!B101,'capacity data'!K:K)</f>
        <v>0</v>
      </c>
      <c r="D101" s="94">
        <f>COUNTIFS('capacity data'!B:B,'cluster capacity, unallocateds'!B101,'capacity data'!E:E,"DMY")</f>
        <v>0</v>
      </c>
      <c r="E101" s="94">
        <f>SUMIFS('capacity data'!K:K,'capacity data'!E:E,"DMY",'capacity data'!B:B,'cluster capacity, unallocateds'!B101)</f>
        <v>0</v>
      </c>
      <c r="F101" s="66" t="str">
        <f t="shared" si="18"/>
        <v/>
      </c>
      <c r="G101" s="75">
        <f>SUMIFS('capacity data'!K:K,'capacity data'!E:E,"SPO",'capacity data'!B:B,'cluster capacity, unallocateds'!B101)</f>
        <v>0</v>
      </c>
      <c r="H101" s="161">
        <f t="shared" si="17"/>
        <v>0</v>
      </c>
      <c r="I101" s="164" t="str">
        <f t="shared" si="19"/>
        <v/>
      </c>
    </row>
    <row r="102" spans="2:9" x14ac:dyDescent="0.15">
      <c r="B102" s="62" t="str">
        <f>HLOOKUP($B$4,Region_Table,6,0)</f>
        <v>Lincolnshire East and West - N53</v>
      </c>
      <c r="C102" s="94">
        <f>SUMIF('capacity data'!B:B,'cluster capacity, unallocateds'!B102,'capacity data'!K:K)</f>
        <v>0</v>
      </c>
      <c r="D102" s="94">
        <f>COUNTIFS('capacity data'!B:B,'cluster capacity, unallocateds'!B102,'capacity data'!E:E,"DMY")</f>
        <v>0</v>
      </c>
      <c r="E102" s="94">
        <f>SUMIFS('capacity data'!K:K,'capacity data'!E:E,"DMY",'capacity data'!B:B,'cluster capacity, unallocateds'!B102)</f>
        <v>0</v>
      </c>
      <c r="F102" s="66" t="str">
        <f t="shared" si="18"/>
        <v/>
      </c>
      <c r="G102" s="75">
        <f>SUMIFS('capacity data'!K:K,'capacity data'!E:E,"SPO",'capacity data'!B:B,'cluster capacity, unallocateds'!B102)</f>
        <v>0</v>
      </c>
      <c r="H102" s="161">
        <f t="shared" si="17"/>
        <v>0</v>
      </c>
      <c r="I102" s="164" t="str">
        <f t="shared" si="19"/>
        <v/>
      </c>
    </row>
    <row r="103" spans="2:9" x14ac:dyDescent="0.15">
      <c r="B103" s="62" t="str">
        <f>HLOOKUP($B$4,Region_Table,7,0)</f>
        <v>Nottingham City</v>
      </c>
      <c r="C103" s="94">
        <f>SUMIF('capacity data'!B:B,'cluster capacity, unallocateds'!B103,'capacity data'!K:K)</f>
        <v>0</v>
      </c>
      <c r="D103" s="94">
        <f>COUNTIFS('capacity data'!B:B,'cluster capacity, unallocateds'!B103,'capacity data'!E:E,"DMY")</f>
        <v>0</v>
      </c>
      <c r="E103" s="94">
        <f>SUMIFS('capacity data'!K:K,'capacity data'!E:E,"DMY",'capacity data'!B:B,'cluster capacity, unallocateds'!B103)</f>
        <v>0</v>
      </c>
      <c r="F103" s="66" t="str">
        <f t="shared" si="18"/>
        <v/>
      </c>
      <c r="G103" s="75">
        <f>SUMIFS('capacity data'!K:K,'capacity data'!E:E,"SPO",'capacity data'!B:B,'cluster capacity, unallocateds'!B103)</f>
        <v>0</v>
      </c>
      <c r="H103" s="161">
        <f t="shared" si="17"/>
        <v>0</v>
      </c>
      <c r="I103" s="164" t="str">
        <f t="shared" si="19"/>
        <v/>
      </c>
    </row>
    <row r="104" spans="2:9" x14ac:dyDescent="0.15">
      <c r="B104" s="62" t="str">
        <f>HLOOKUP($B$4,Region_Table,8,0)</f>
        <v>Nottinghamshire - N53</v>
      </c>
      <c r="C104" s="94">
        <f>SUMIF('capacity data'!B:B,'cluster capacity, unallocateds'!B104,'capacity data'!K:K)</f>
        <v>0</v>
      </c>
      <c r="D104" s="94">
        <f>COUNTIFS('capacity data'!B:B,'cluster capacity, unallocateds'!B104,'capacity data'!E:E,"DMY")</f>
        <v>0</v>
      </c>
      <c r="E104" s="94">
        <f>SUMIFS('capacity data'!K:K,'capacity data'!E:E,"DMY",'capacity data'!B:B,'cluster capacity, unallocateds'!B104)</f>
        <v>0</v>
      </c>
      <c r="F104" s="66" t="str">
        <f t="shared" si="18"/>
        <v/>
      </c>
      <c r="G104" s="75">
        <f>SUMIFS('capacity data'!K:K,'capacity data'!E:E,"SPO",'capacity data'!B:B,'cluster capacity, unallocateds'!B104)</f>
        <v>0</v>
      </c>
      <c r="H104" s="161">
        <f t="shared" si="17"/>
        <v>0</v>
      </c>
      <c r="I104" s="164" t="str">
        <f t="shared" si="19"/>
        <v/>
      </c>
    </row>
    <row r="105" spans="2:9" x14ac:dyDescent="0.15">
      <c r="B105" s="62" t="str">
        <f>HLOOKUP($B$4,Region_Table,9,0)</f>
        <v>Unpaid Work and Attendance Centres - N53</v>
      </c>
      <c r="C105" s="94">
        <f>SUMIF('capacity data'!B:B,'cluster capacity, unallocateds'!B105,'capacity data'!K:K)</f>
        <v>0</v>
      </c>
      <c r="D105" s="94">
        <f>COUNTIFS('capacity data'!B:B,'cluster capacity, unallocateds'!B105,'capacity data'!E:E,"DMY")</f>
        <v>0</v>
      </c>
      <c r="E105" s="94">
        <f>SUMIFS('capacity data'!K:K,'capacity data'!E:E,"DMY",'capacity data'!B:B,'cluster capacity, unallocateds'!B105)</f>
        <v>0</v>
      </c>
      <c r="F105" s="66" t="str">
        <f t="shared" si="18"/>
        <v/>
      </c>
      <c r="G105" s="75">
        <f>SUMIFS('capacity data'!K:K,'capacity data'!E:E,"SPO",'capacity data'!B:B,'cluster capacity, unallocateds'!B105)</f>
        <v>0</v>
      </c>
      <c r="H105" s="161">
        <f t="shared" si="17"/>
        <v>0</v>
      </c>
      <c r="I105" s="164" t="str">
        <f t="shared" si="19"/>
        <v/>
      </c>
    </row>
    <row r="106" spans="2:9" x14ac:dyDescent="0.15">
      <c r="B106" s="62">
        <f>HLOOKUP($B$4,Region_Table,10,0)</f>
        <v>0</v>
      </c>
      <c r="C106" s="94">
        <f>SUMIF('capacity data'!B:B,'cluster capacity, unallocateds'!B106,'capacity data'!K:K)</f>
        <v>0</v>
      </c>
      <c r="D106" s="94">
        <f>COUNTIFS('capacity data'!B:B,'cluster capacity, unallocateds'!B106,'capacity data'!E:E,"DMY")</f>
        <v>0</v>
      </c>
      <c r="E106" s="94">
        <f>SUMIFS('capacity data'!K:K,'capacity data'!E:E,"DMY",'capacity data'!B:B,'cluster capacity, unallocateds'!B106)</f>
        <v>0</v>
      </c>
      <c r="F106" s="66" t="str">
        <f t="shared" si="18"/>
        <v/>
      </c>
      <c r="G106" s="75">
        <f>SUMIFS('capacity data'!K:K,'capacity data'!E:E,"SPO",'capacity data'!B:B,'cluster capacity, unallocateds'!B106)</f>
        <v>0</v>
      </c>
      <c r="H106" s="161">
        <f t="shared" si="17"/>
        <v>0</v>
      </c>
      <c r="I106" s="164" t="str">
        <f t="shared" si="19"/>
        <v/>
      </c>
    </row>
    <row r="107" spans="2:9" x14ac:dyDescent="0.15">
      <c r="B107" s="62">
        <f>HLOOKUP($B$4,Region_Table,11,0)</f>
        <v>0</v>
      </c>
      <c r="C107" s="94">
        <f>SUMIF('capacity data'!B:B,'cluster capacity, unallocateds'!B107,'capacity data'!K:K)</f>
        <v>0</v>
      </c>
      <c r="D107" s="94">
        <f>COUNTIFS('capacity data'!B:B,'cluster capacity, unallocateds'!B107,'capacity data'!E:E,"DMY")</f>
        <v>0</v>
      </c>
      <c r="E107" s="94">
        <f>SUMIFS('capacity data'!K:K,'capacity data'!E:E,"DMY",'capacity data'!B:B,'cluster capacity, unallocateds'!B107)</f>
        <v>0</v>
      </c>
      <c r="F107" s="66" t="str">
        <f t="shared" si="18"/>
        <v/>
      </c>
      <c r="G107" s="75">
        <f>SUMIFS('capacity data'!K:K,'capacity data'!E:E,"SPO",'capacity data'!B:B,'cluster capacity, unallocateds'!B107)</f>
        <v>0</v>
      </c>
      <c r="H107" s="161">
        <f t="shared" si="17"/>
        <v>0</v>
      </c>
      <c r="I107" s="164" t="str">
        <f t="shared" si="19"/>
        <v/>
      </c>
    </row>
    <row r="108" spans="2:9" x14ac:dyDescent="0.15">
      <c r="B108" s="62">
        <f>HLOOKUP($B$4,Region_Table,12,0)</f>
        <v>0</v>
      </c>
      <c r="C108" s="94">
        <f>SUMIF('capacity data'!B:B,'cluster capacity, unallocateds'!B108,'capacity data'!K:K)</f>
        <v>0</v>
      </c>
      <c r="D108" s="94">
        <f>COUNTIFS('capacity data'!B:B,'cluster capacity, unallocateds'!B108,'capacity data'!E:E,"DMY")</f>
        <v>0</v>
      </c>
      <c r="E108" s="94">
        <f>SUMIFS('capacity data'!K:K,'capacity data'!E:E,"DMY",'capacity data'!B:B,'cluster capacity, unallocateds'!B108)</f>
        <v>0</v>
      </c>
      <c r="F108" s="66" t="str">
        <f t="shared" si="18"/>
        <v/>
      </c>
      <c r="G108" s="75">
        <f>SUMIFS('capacity data'!K:K,'capacity data'!E:E,"SPO",'capacity data'!B:B,'cluster capacity, unallocateds'!B108)</f>
        <v>0</v>
      </c>
      <c r="H108" s="161">
        <f t="shared" si="17"/>
        <v>0</v>
      </c>
      <c r="I108" s="164" t="str">
        <f t="shared" si="19"/>
        <v/>
      </c>
    </row>
    <row r="109" spans="2:9" x14ac:dyDescent="0.15">
      <c r="B109" s="62">
        <f>HLOOKUP($B$4,Region_Table,13,0)</f>
        <v>0</v>
      </c>
      <c r="C109" s="94">
        <f>SUMIF('capacity data'!B:B,'cluster capacity, unallocateds'!B109,'capacity data'!K:K)</f>
        <v>0</v>
      </c>
      <c r="D109" s="94">
        <f>COUNTIFS('capacity data'!B:B,'cluster capacity, unallocateds'!B109,'capacity data'!E:E,"DMY")</f>
        <v>0</v>
      </c>
      <c r="E109" s="94">
        <f>SUMIFS('capacity data'!K:K,'capacity data'!E:E,"DMY",'capacity data'!B:B,'cluster capacity, unallocateds'!B109)</f>
        <v>0</v>
      </c>
      <c r="F109" s="66" t="str">
        <f t="shared" si="18"/>
        <v/>
      </c>
      <c r="G109" s="75">
        <f>SUMIFS('capacity data'!K:K,'capacity data'!E:E,"SPO",'capacity data'!B:B,'cluster capacity, unallocateds'!B109)</f>
        <v>0</v>
      </c>
      <c r="H109" s="161">
        <f t="shared" si="17"/>
        <v>0</v>
      </c>
      <c r="I109" s="164" t="str">
        <f t="shared" si="19"/>
        <v/>
      </c>
    </row>
    <row r="110" spans="2:9" x14ac:dyDescent="0.15">
      <c r="B110" s="62">
        <f>HLOOKUP($B$4,Region_Table,14,0)</f>
        <v>0</v>
      </c>
      <c r="C110" s="94">
        <f>SUMIF('capacity data'!B:B,'cluster capacity, unallocateds'!B110,'capacity data'!K:K)</f>
        <v>0</v>
      </c>
      <c r="D110" s="94">
        <f>COUNTIFS('capacity data'!B:B,'cluster capacity, unallocateds'!B110,'capacity data'!E:E,"DMY")</f>
        <v>0</v>
      </c>
      <c r="E110" s="94">
        <f>SUMIFS('capacity data'!K:K,'capacity data'!E:E,"DMY",'capacity data'!B:B,'cluster capacity, unallocateds'!B110)</f>
        <v>0</v>
      </c>
      <c r="F110" s="66" t="str">
        <f t="shared" si="18"/>
        <v/>
      </c>
      <c r="G110" s="75">
        <f>SUMIFS('capacity data'!K:K,'capacity data'!E:E,"SPO",'capacity data'!B:B,'cluster capacity, unallocateds'!B110)</f>
        <v>0</v>
      </c>
      <c r="H110" s="161">
        <f t="shared" si="17"/>
        <v>0</v>
      </c>
      <c r="I110" s="164" t="str">
        <f t="shared" si="19"/>
        <v/>
      </c>
    </row>
    <row r="111" spans="2:9" x14ac:dyDescent="0.15">
      <c r="B111" s="62">
        <f>HLOOKUP($B$4,Region_Table,15,0)</f>
        <v>0</v>
      </c>
      <c r="C111" s="94">
        <f>SUMIF('capacity data'!B:B,'cluster capacity, unallocateds'!B111,'capacity data'!K:K)</f>
        <v>0</v>
      </c>
      <c r="D111" s="94">
        <f>COUNTIFS('capacity data'!B:B,'cluster capacity, unallocateds'!B111,'capacity data'!E:E,"DMY")</f>
        <v>0</v>
      </c>
      <c r="E111" s="94">
        <f>SUMIFS('capacity data'!K:K,'capacity data'!E:E,"DMY",'capacity data'!B:B,'cluster capacity, unallocateds'!B111)</f>
        <v>0</v>
      </c>
      <c r="F111" s="66" t="str">
        <f t="shared" si="18"/>
        <v/>
      </c>
      <c r="G111" s="75">
        <f>SUMIFS('capacity data'!K:K,'capacity data'!E:E,"SPO",'capacity data'!B:B,'cluster capacity, unallocateds'!B111)</f>
        <v>0</v>
      </c>
      <c r="H111" s="161">
        <f t="shared" si="17"/>
        <v>0</v>
      </c>
      <c r="I111" s="164" t="str">
        <f t="shared" si="19"/>
        <v/>
      </c>
    </row>
    <row r="112" spans="2:9" x14ac:dyDescent="0.15">
      <c r="B112" s="62">
        <f>HLOOKUP($B$4,Region_Table,16,0)</f>
        <v>0</v>
      </c>
      <c r="C112" s="94">
        <f>SUMIF('capacity data'!B:B,'cluster capacity, unallocateds'!B112,'capacity data'!K:K)</f>
        <v>0</v>
      </c>
      <c r="D112" s="94">
        <f>COUNTIFS('capacity data'!B:B,'cluster capacity, unallocateds'!B112,'capacity data'!E:E,"DMY")</f>
        <v>0</v>
      </c>
      <c r="E112" s="94">
        <f>SUMIFS('capacity data'!K:K,'capacity data'!E:E,"DMY",'capacity data'!B:B,'cluster capacity, unallocateds'!B112)</f>
        <v>0</v>
      </c>
      <c r="F112" s="66" t="str">
        <f t="shared" si="18"/>
        <v/>
      </c>
      <c r="G112" s="75">
        <f>SUMIFS('capacity data'!K:K,'capacity data'!E:E,"SPO",'capacity data'!B:B,'cluster capacity, unallocateds'!B112)</f>
        <v>0</v>
      </c>
      <c r="H112" s="161">
        <f t="shared" si="17"/>
        <v>0</v>
      </c>
      <c r="I112" s="164" t="str">
        <f t="shared" si="19"/>
        <v/>
      </c>
    </row>
    <row r="113" spans="2:9" x14ac:dyDescent="0.15">
      <c r="B113" s="62">
        <f>HLOOKUP($B$4,Region_Table,17,0)</f>
        <v>0</v>
      </c>
      <c r="C113" s="94">
        <f>SUMIF('capacity data'!B:B,'cluster capacity, unallocateds'!B113,'capacity data'!K:K)</f>
        <v>0</v>
      </c>
      <c r="D113" s="94">
        <f>COUNTIFS('capacity data'!B:B,'cluster capacity, unallocateds'!B113,'capacity data'!E:E,"DMY")</f>
        <v>0</v>
      </c>
      <c r="E113" s="94">
        <f>SUMIFS('capacity data'!K:K,'capacity data'!E:E,"DMY",'capacity data'!B:B,'cluster capacity, unallocateds'!B113)</f>
        <v>0</v>
      </c>
      <c r="F113" s="66" t="str">
        <f t="shared" si="18"/>
        <v/>
      </c>
      <c r="G113" s="75">
        <f>SUMIFS('capacity data'!K:K,'capacity data'!E:E,"SPO",'capacity data'!B:B,'cluster capacity, unallocateds'!B113)</f>
        <v>0</v>
      </c>
      <c r="H113" s="161">
        <f t="shared" si="17"/>
        <v>0</v>
      </c>
      <c r="I113" s="164" t="str">
        <f t="shared" si="19"/>
        <v/>
      </c>
    </row>
    <row r="114" spans="2:9" x14ac:dyDescent="0.15">
      <c r="B114" s="62">
        <f>HLOOKUP($B$4,Region_Table,18,0)</f>
        <v>0</v>
      </c>
      <c r="C114" s="94">
        <f>SUMIF('capacity data'!B:B,'cluster capacity, unallocateds'!B114,'capacity data'!K:K)</f>
        <v>0</v>
      </c>
      <c r="D114" s="94">
        <f>COUNTIFS('capacity data'!B:B,'cluster capacity, unallocateds'!B114,'capacity data'!E:E,"DMY")</f>
        <v>0</v>
      </c>
      <c r="E114" s="94">
        <f>SUMIFS('capacity data'!K:K,'capacity data'!E:E,"DMY",'capacity data'!B:B,'cluster capacity, unallocateds'!B114)</f>
        <v>0</v>
      </c>
      <c r="F114" s="66" t="str">
        <f t="shared" ref="F114:F116" si="20">IFERROR(E114/C114,"")</f>
        <v/>
      </c>
      <c r="G114" s="75">
        <f>SUMIFS('capacity data'!K:K,'capacity data'!E:E,"SPO",'capacity data'!B:B,'cluster capacity, unallocateds'!B114)</f>
        <v>0</v>
      </c>
      <c r="H114" s="161">
        <f t="shared" ref="H114:H116" si="21">E114+G114</f>
        <v>0</v>
      </c>
      <c r="I114" s="164" t="str">
        <f t="shared" ref="I114:I116" si="22">IFERROR(H114/C114,"")</f>
        <v/>
      </c>
    </row>
    <row r="115" spans="2:9" x14ac:dyDescent="0.15">
      <c r="B115" s="62">
        <f>HLOOKUP($B$4,Region_Table,19,0)</f>
        <v>0</v>
      </c>
      <c r="C115" s="94">
        <f>SUMIF('capacity data'!B:B,'cluster capacity, unallocateds'!B115,'capacity data'!K:K)</f>
        <v>0</v>
      </c>
      <c r="D115" s="94">
        <f>COUNTIFS('capacity data'!B:B,'cluster capacity, unallocateds'!B115,'capacity data'!E:E,"DMY")</f>
        <v>0</v>
      </c>
      <c r="E115" s="94">
        <f>SUMIFS('capacity data'!K:K,'capacity data'!E:E,"DMY",'capacity data'!B:B,'cluster capacity, unallocateds'!B115)</f>
        <v>0</v>
      </c>
      <c r="F115" s="66" t="str">
        <f t="shared" si="20"/>
        <v/>
      </c>
      <c r="G115" s="75">
        <f>SUMIFS('capacity data'!K:K,'capacity data'!E:E,"SPO",'capacity data'!B:B,'cluster capacity, unallocateds'!B115)</f>
        <v>0</v>
      </c>
      <c r="H115" s="161">
        <f t="shared" si="21"/>
        <v>0</v>
      </c>
      <c r="I115" s="164" t="str">
        <f t="shared" si="22"/>
        <v/>
      </c>
    </row>
    <row r="116" spans="2:9" x14ac:dyDescent="0.15">
      <c r="B116" s="62">
        <f>HLOOKUP($B$4,Region_Table,20,0)</f>
        <v>0</v>
      </c>
      <c r="C116" s="94">
        <f>SUMIF('capacity data'!B:B,'cluster capacity, unallocateds'!B116,'capacity data'!K:K)</f>
        <v>0</v>
      </c>
      <c r="D116" s="94">
        <f>COUNTIFS('capacity data'!B:B,'cluster capacity, unallocateds'!B116,'capacity data'!E:E,"DMY")</f>
        <v>0</v>
      </c>
      <c r="E116" s="94">
        <f>SUMIFS('capacity data'!K:K,'capacity data'!E:E,"DMY",'capacity data'!B:B,'cluster capacity, unallocateds'!B116)</f>
        <v>0</v>
      </c>
      <c r="F116" s="66" t="str">
        <f t="shared" si="20"/>
        <v/>
      </c>
      <c r="G116" s="75">
        <f>SUMIFS('capacity data'!K:K,'capacity data'!E:E,"SPO",'capacity data'!B:B,'cluster capacity, unallocateds'!B116)</f>
        <v>0</v>
      </c>
      <c r="H116" s="161">
        <f t="shared" si="21"/>
        <v>0</v>
      </c>
      <c r="I116" s="164" t="str">
        <f t="shared" si="22"/>
        <v/>
      </c>
    </row>
    <row r="117" spans="2:9" ht="15.75" customHeight="1" x14ac:dyDescent="0.15">
      <c r="B117" s="62">
        <f>HLOOKUP($B$4,Region_Table,21,0)</f>
        <v>0</v>
      </c>
      <c r="C117" s="94">
        <f>SUMIF('capacity data'!B:B,'cluster capacity, unallocateds'!B117,'capacity data'!K:K)</f>
        <v>0</v>
      </c>
      <c r="D117" s="94">
        <f>COUNTIFS('capacity data'!B:B,'cluster capacity, unallocateds'!B117,'capacity data'!E:E,"DMY")</f>
        <v>0</v>
      </c>
      <c r="E117" s="94">
        <f>SUMIFS('capacity data'!K:K,'capacity data'!E:E,"DMY",'capacity data'!B:B,'cluster capacity, unallocateds'!B117)</f>
        <v>0</v>
      </c>
      <c r="F117" s="66" t="str">
        <f t="shared" ref="F117:F124" si="23">IFERROR(E117/C117,"")</f>
        <v/>
      </c>
      <c r="G117" s="75">
        <f>SUMIFS('capacity data'!K:K,'capacity data'!E:E,"SPO",'capacity data'!B:B,'cluster capacity, unallocateds'!B117)</f>
        <v>0</v>
      </c>
      <c r="H117" s="161">
        <f t="shared" ref="H117:H124" si="24">E117+G117</f>
        <v>0</v>
      </c>
      <c r="I117" s="164" t="str">
        <f t="shared" ref="I117:I124" si="25">IFERROR(H117/C117,"")</f>
        <v/>
      </c>
    </row>
    <row r="118" spans="2:9" x14ac:dyDescent="0.15">
      <c r="B118" s="62">
        <f>HLOOKUP($B$4,Region_Table,22,0)</f>
        <v>0</v>
      </c>
      <c r="C118" s="94">
        <f>SUMIF('capacity data'!B:B,'cluster capacity, unallocateds'!B118,'capacity data'!K:K)</f>
        <v>0</v>
      </c>
      <c r="D118" s="94">
        <f>COUNTIFS('capacity data'!B:B,'cluster capacity, unallocateds'!B118,'capacity data'!E:E,"DMY")</f>
        <v>0</v>
      </c>
      <c r="E118" s="94">
        <f>SUMIFS('capacity data'!K:K,'capacity data'!E:E,"DMY",'capacity data'!B:B,'cluster capacity, unallocateds'!B118)</f>
        <v>0</v>
      </c>
      <c r="F118" s="66" t="str">
        <f t="shared" si="23"/>
        <v/>
      </c>
      <c r="G118" s="75">
        <f>SUMIFS('capacity data'!K:K,'capacity data'!E:E,"SPO",'capacity data'!B:B,'cluster capacity, unallocateds'!B118)</f>
        <v>0</v>
      </c>
      <c r="H118" s="161">
        <f t="shared" si="24"/>
        <v>0</v>
      </c>
      <c r="I118" s="164" t="str">
        <f t="shared" si="25"/>
        <v/>
      </c>
    </row>
    <row r="119" spans="2:9" x14ac:dyDescent="0.15">
      <c r="B119" s="62">
        <f>HLOOKUP($B$4,Region_Table,23,0)</f>
        <v>0</v>
      </c>
      <c r="C119" s="94">
        <f>SUMIF('capacity data'!B:B,'cluster capacity, unallocateds'!B119,'capacity data'!K:K)</f>
        <v>0</v>
      </c>
      <c r="D119" s="94">
        <f>COUNTIFS('capacity data'!B:B,'cluster capacity, unallocateds'!B119,'capacity data'!E:E,"DMY")</f>
        <v>0</v>
      </c>
      <c r="E119" s="94">
        <f>SUMIFS('capacity data'!K:K,'capacity data'!E:E,"DMY",'capacity data'!B:B,'cluster capacity, unallocateds'!B119)</f>
        <v>0</v>
      </c>
      <c r="F119" s="66" t="str">
        <f t="shared" si="23"/>
        <v/>
      </c>
      <c r="G119" s="75">
        <f>SUMIFS('capacity data'!K:K,'capacity data'!E:E,"SPO",'capacity data'!B:B,'cluster capacity, unallocateds'!B119)</f>
        <v>0</v>
      </c>
      <c r="H119" s="161">
        <f t="shared" si="24"/>
        <v>0</v>
      </c>
      <c r="I119" s="164" t="str">
        <f t="shared" si="25"/>
        <v/>
      </c>
    </row>
    <row r="120" spans="2:9" x14ac:dyDescent="0.15">
      <c r="B120" s="62">
        <f>HLOOKUP($B$4,Region_Table,24,0)</f>
        <v>0</v>
      </c>
      <c r="C120" s="94">
        <f>SUMIF('capacity data'!B:B,'cluster capacity, unallocateds'!B120,'capacity data'!K:K)</f>
        <v>0</v>
      </c>
      <c r="D120" s="94">
        <f>COUNTIFS('capacity data'!B:B,'cluster capacity, unallocateds'!B120,'capacity data'!E:E,"DMY")</f>
        <v>0</v>
      </c>
      <c r="E120" s="94">
        <f>SUMIFS('capacity data'!K:K,'capacity data'!E:E,"DMY",'capacity data'!B:B,'cluster capacity, unallocateds'!B120)</f>
        <v>0</v>
      </c>
      <c r="F120" s="66" t="str">
        <f t="shared" si="23"/>
        <v/>
      </c>
      <c r="G120" s="75">
        <f>SUMIFS('capacity data'!K:K,'capacity data'!E:E,"SPO",'capacity data'!B:B,'cluster capacity, unallocateds'!B120)</f>
        <v>0</v>
      </c>
      <c r="H120" s="161">
        <f t="shared" si="24"/>
        <v>0</v>
      </c>
      <c r="I120" s="164" t="str">
        <f t="shared" si="25"/>
        <v/>
      </c>
    </row>
    <row r="121" spans="2:9" x14ac:dyDescent="0.15">
      <c r="B121" s="62">
        <f>HLOOKUP($B$4,Region_Table,25,0)</f>
        <v>0</v>
      </c>
      <c r="C121" s="94">
        <f>SUMIF('capacity data'!B:B,'cluster capacity, unallocateds'!B121,'capacity data'!K:K)</f>
        <v>0</v>
      </c>
      <c r="D121" s="94">
        <f>COUNTIFS('capacity data'!B:B,'cluster capacity, unallocateds'!B121,'capacity data'!E:E,"DMY")</f>
        <v>0</v>
      </c>
      <c r="E121" s="94">
        <f>SUMIFS('capacity data'!K:K,'capacity data'!E:E,"DMY",'capacity data'!B:B,'cluster capacity, unallocateds'!B121)</f>
        <v>0</v>
      </c>
      <c r="F121" s="66" t="str">
        <f t="shared" si="23"/>
        <v/>
      </c>
      <c r="G121" s="75">
        <f>SUMIFS('capacity data'!K:K,'capacity data'!E:E,"SPO",'capacity data'!B:B,'cluster capacity, unallocateds'!B121)</f>
        <v>0</v>
      </c>
      <c r="H121" s="161">
        <f t="shared" si="24"/>
        <v>0</v>
      </c>
      <c r="I121" s="164" t="str">
        <f t="shared" si="25"/>
        <v/>
      </c>
    </row>
    <row r="122" spans="2:9" x14ac:dyDescent="0.15">
      <c r="B122" s="62">
        <f>HLOOKUP($B$4,Region_Table,26,0)</f>
        <v>0</v>
      </c>
      <c r="C122" s="94">
        <f>SUMIF('capacity data'!B:B,'cluster capacity, unallocateds'!B122,'capacity data'!K:K)</f>
        <v>0</v>
      </c>
      <c r="D122" s="94">
        <f>COUNTIFS('capacity data'!B:B,'cluster capacity, unallocateds'!B122,'capacity data'!E:E,"DMY")</f>
        <v>0</v>
      </c>
      <c r="E122" s="94">
        <f>SUMIFS('capacity data'!K:K,'capacity data'!E:E,"DMY",'capacity data'!B:B,'cluster capacity, unallocateds'!B122)</f>
        <v>0</v>
      </c>
      <c r="F122" s="66" t="str">
        <f t="shared" si="23"/>
        <v/>
      </c>
      <c r="G122" s="75">
        <f>SUMIFS('capacity data'!K:K,'capacity data'!E:E,"SPO",'capacity data'!B:B,'cluster capacity, unallocateds'!B122)</f>
        <v>0</v>
      </c>
      <c r="H122" s="161">
        <f t="shared" si="24"/>
        <v>0</v>
      </c>
      <c r="I122" s="164" t="str">
        <f t="shared" si="25"/>
        <v/>
      </c>
    </row>
    <row r="123" spans="2:9" x14ac:dyDescent="0.15">
      <c r="B123" s="62">
        <f>HLOOKUP($B$4,Region_Table,27,0)</f>
        <v>0</v>
      </c>
      <c r="C123" s="94">
        <f>SUMIF('capacity data'!B:B,'cluster capacity, unallocateds'!B123,'capacity data'!K:K)</f>
        <v>0</v>
      </c>
      <c r="D123" s="94">
        <f>COUNTIFS('capacity data'!B:B,'cluster capacity, unallocateds'!B123,'capacity data'!E:E,"DMY")</f>
        <v>0</v>
      </c>
      <c r="E123" s="94">
        <f>SUMIFS('capacity data'!K:K,'capacity data'!E:E,"DMY",'capacity data'!B:B,'cluster capacity, unallocateds'!B123)</f>
        <v>0</v>
      </c>
      <c r="F123" s="66" t="str">
        <f t="shared" si="23"/>
        <v/>
      </c>
      <c r="G123" s="75">
        <f>SUMIFS('capacity data'!K:K,'capacity data'!E:E,"SPO",'capacity data'!B:B,'cluster capacity, unallocateds'!B123)</f>
        <v>0</v>
      </c>
      <c r="H123" s="161">
        <f t="shared" si="24"/>
        <v>0</v>
      </c>
      <c r="I123" s="164" t="str">
        <f t="shared" si="25"/>
        <v/>
      </c>
    </row>
    <row r="124" spans="2:9" x14ac:dyDescent="0.15">
      <c r="B124" s="62">
        <f>HLOOKUP($B$4,Region_Table,28,0)</f>
        <v>0</v>
      </c>
      <c r="C124" s="94">
        <f>SUMIF('capacity data'!B:B,'cluster capacity, unallocateds'!B124,'capacity data'!K:K)</f>
        <v>0</v>
      </c>
      <c r="D124" s="94">
        <f>COUNTIFS('capacity data'!B:B,'cluster capacity, unallocateds'!B124,'capacity data'!E:E,"DMY")</f>
        <v>0</v>
      </c>
      <c r="E124" s="94">
        <f>SUMIFS('capacity data'!K:K,'capacity data'!E:E,"DMY",'capacity data'!B:B,'cluster capacity, unallocateds'!B124)</f>
        <v>0</v>
      </c>
      <c r="F124" s="66" t="str">
        <f t="shared" si="23"/>
        <v/>
      </c>
      <c r="G124" s="75">
        <f>SUMIFS('capacity data'!K:K,'capacity data'!E:E,"SPO",'capacity data'!B:B,'cluster capacity, unallocateds'!B124)</f>
        <v>0</v>
      </c>
      <c r="H124" s="161">
        <f t="shared" si="24"/>
        <v>0</v>
      </c>
      <c r="I124" s="164" t="str">
        <f t="shared" si="25"/>
        <v/>
      </c>
    </row>
  </sheetData>
  <mergeCells count="3">
    <mergeCell ref="C65:K65"/>
    <mergeCell ref="B1:K1"/>
    <mergeCell ref="B2:K2"/>
  </mergeCells>
  <conditionalFormatting sqref="D8:D34">
    <cfRule type="cellIs" dxfId="3085" priority="4" operator="greaterThan">
      <formula>1.1</formula>
    </cfRule>
  </conditionalFormatting>
  <conditionalFormatting sqref="C8:C34">
    <cfRule type="cellIs" dxfId="3084" priority="3" operator="greaterThan">
      <formula>1.1</formula>
    </cfRule>
  </conditionalFormatting>
  <conditionalFormatting sqref="E8:E34">
    <cfRule type="cellIs" dxfId="3083" priority="2" operator="greaterThan">
      <formula>1.1</formula>
    </cfRule>
  </conditionalFormatting>
  <conditionalFormatting sqref="C8:E34">
    <cfRule type="cellIs" dxfId="3082" priority="1" operator="lessThan">
      <formula>0.9</formula>
    </cfRule>
  </conditionalFormatting>
  <dataValidations count="1">
    <dataValidation type="list" allowBlank="1" showInputMessage="1" showErrorMessage="1" sqref="B4" xr:uid="{BE83FA65-4E74-476B-A6A9-84A179B1C858}">
      <formula1>Regions</formula1>
    </dataValidation>
  </dataValidation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5"/>
  <dimension ref="A1:AX104"/>
  <sheetViews>
    <sheetView showGridLines="0" topLeftCell="A16" zoomScale="85" zoomScaleNormal="85" workbookViewId="0">
      <selection sqref="A1:AJ1"/>
    </sheetView>
  </sheetViews>
  <sheetFormatPr baseColWidth="10" defaultColWidth="9.1640625" defaultRowHeight="14" x14ac:dyDescent="0.15"/>
  <cols>
    <col min="1" max="1" width="1.5" customWidth="1"/>
    <col min="2" max="2" width="36.1640625" customWidth="1"/>
    <col min="20" max="20" width="33" customWidth="1"/>
  </cols>
  <sheetData>
    <row r="1" spans="1:50" ht="66" customHeight="1" x14ac:dyDescent="0.15">
      <c r="A1" s="533" t="s">
        <v>1125</v>
      </c>
      <c r="B1" s="533"/>
      <c r="C1" s="533"/>
      <c r="D1" s="533"/>
      <c r="E1" s="533"/>
      <c r="F1" s="533"/>
      <c r="G1" s="533"/>
      <c r="H1" s="533"/>
      <c r="I1" s="533"/>
      <c r="J1" s="533"/>
      <c r="K1" s="533"/>
      <c r="L1" s="533"/>
      <c r="M1" s="533"/>
      <c r="N1" s="533"/>
      <c r="O1" s="533"/>
      <c r="P1" s="533"/>
      <c r="Q1" s="533"/>
      <c r="R1" s="533"/>
      <c r="S1" s="533"/>
      <c r="T1" s="533"/>
      <c r="U1" s="533"/>
      <c r="V1" s="533"/>
      <c r="W1" s="533"/>
      <c r="X1" s="533"/>
      <c r="Y1" s="533"/>
      <c r="Z1" s="533"/>
      <c r="AA1" s="533"/>
      <c r="AB1" s="533"/>
      <c r="AC1" s="533"/>
      <c r="AD1" s="533"/>
      <c r="AE1" s="533"/>
      <c r="AF1" s="533"/>
      <c r="AG1" s="533"/>
      <c r="AH1" s="533"/>
      <c r="AI1" s="533"/>
      <c r="AJ1" s="533"/>
      <c r="AK1" s="257"/>
      <c r="AL1" s="257"/>
      <c r="AM1" s="257"/>
      <c r="AN1" s="257"/>
      <c r="AO1" s="261"/>
      <c r="AP1" s="257"/>
      <c r="AQ1" s="257"/>
      <c r="AR1" s="257"/>
      <c r="AS1" s="257"/>
      <c r="AT1" s="257"/>
      <c r="AU1" s="257"/>
      <c r="AV1" s="257"/>
      <c r="AW1" s="257"/>
      <c r="AX1" s="257"/>
    </row>
    <row r="2" spans="1:50" ht="53.25" customHeight="1" x14ac:dyDescent="0.15">
      <c r="A2" s="253"/>
      <c r="B2" s="426"/>
      <c r="C2" s="426"/>
      <c r="D2" s="426"/>
      <c r="E2" s="426"/>
      <c r="F2" s="426"/>
      <c r="G2" s="426"/>
      <c r="H2" s="426"/>
      <c r="I2" s="426"/>
      <c r="J2" s="426"/>
      <c r="K2" s="426"/>
      <c r="L2" s="426"/>
      <c r="M2" s="426"/>
      <c r="N2" s="426"/>
      <c r="O2" s="426"/>
      <c r="P2" s="426"/>
      <c r="Q2" s="426"/>
      <c r="R2" s="426"/>
      <c r="S2" s="426"/>
      <c r="T2" s="426"/>
      <c r="U2" s="426"/>
      <c r="V2" s="426"/>
      <c r="W2" s="426"/>
      <c r="X2" s="426"/>
      <c r="Y2" s="426"/>
      <c r="Z2" s="426"/>
      <c r="AA2" s="426"/>
      <c r="AB2" s="426"/>
      <c r="AC2" s="426"/>
      <c r="AD2" s="426"/>
      <c r="AE2" s="426"/>
      <c r="AF2" s="426"/>
      <c r="AG2" s="426"/>
      <c r="AH2" s="426"/>
      <c r="AI2" s="426"/>
      <c r="AJ2" s="426"/>
      <c r="AK2" s="262"/>
      <c r="AL2" s="262"/>
      <c r="AM2" s="262"/>
      <c r="AN2" s="262"/>
      <c r="AO2" s="262"/>
      <c r="AP2" s="262"/>
      <c r="AQ2" s="262"/>
      <c r="AR2" s="262"/>
      <c r="AS2" s="262"/>
      <c r="AT2" s="262"/>
      <c r="AU2" s="262"/>
      <c r="AV2" s="262"/>
      <c r="AW2" s="262"/>
      <c r="AX2" s="262"/>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935</v>
      </c>
    </row>
    <row r="5" spans="1:50" ht="24" customHeight="1" x14ac:dyDescent="0.15">
      <c r="B5" s="242" t="s">
        <v>17</v>
      </c>
      <c r="P5" s="40"/>
      <c r="Q5" s="40"/>
    </row>
    <row r="6" spans="1:50" x14ac:dyDescent="0.15">
      <c r="B6" s="46"/>
    </row>
    <row r="8" spans="1:50" ht="28.5" customHeight="1" x14ac:dyDescent="0.15">
      <c r="B8" s="142" t="str">
        <f>HLOOKUP($B$5,Region_Table,2,0)</f>
        <v>All East Midlands Region</v>
      </c>
      <c r="C8" s="525" t="s">
        <v>1126</v>
      </c>
      <c r="D8" s="526"/>
      <c r="E8" s="526"/>
      <c r="F8" s="526"/>
      <c r="G8" s="526"/>
      <c r="H8" s="526"/>
      <c r="I8" s="526"/>
      <c r="J8" s="526"/>
      <c r="K8" s="526"/>
      <c r="L8" s="526"/>
      <c r="M8" s="535"/>
      <c r="N8" s="535"/>
      <c r="O8" s="536"/>
      <c r="P8" s="512">
        <f>SUMIFS('caseload data'!V:V,'caseload data'!B:B,"custody",'caseload data'!C:C,'custody caseload'!B8)</f>
        <v>0</v>
      </c>
      <c r="Q8" s="529"/>
      <c r="R8" s="530"/>
      <c r="S8" s="64"/>
      <c r="T8" s="142" t="str">
        <f>HLOOKUP($B$5,Region_Table,3,0)</f>
        <v>Derby City - N53</v>
      </c>
      <c r="U8" s="525" t="s">
        <v>1126</v>
      </c>
      <c r="V8" s="526"/>
      <c r="W8" s="526"/>
      <c r="X8" s="526"/>
      <c r="Y8" s="526"/>
      <c r="Z8" s="526"/>
      <c r="AA8" s="526"/>
      <c r="AB8" s="526"/>
      <c r="AC8" s="526"/>
      <c r="AD8" s="526"/>
      <c r="AE8" s="535"/>
      <c r="AF8" s="535"/>
      <c r="AG8" s="536"/>
      <c r="AH8" s="512">
        <f>SUMIFS('caseload data'!V:V,'caseload data'!B:B,"custody",'caseload data'!C:C,'custody caseload'!T8)</f>
        <v>0</v>
      </c>
      <c r="AI8" s="529"/>
      <c r="AJ8" s="530"/>
    </row>
    <row r="9" spans="1:50" x14ac:dyDescent="0.15">
      <c r="B9" s="95" t="s">
        <v>1001</v>
      </c>
      <c r="C9" s="38" t="s">
        <v>864</v>
      </c>
      <c r="D9" s="38" t="s">
        <v>865</v>
      </c>
      <c r="E9" s="38" t="s">
        <v>866</v>
      </c>
      <c r="F9" s="38" t="s">
        <v>867</v>
      </c>
      <c r="G9" s="38" t="s">
        <v>868</v>
      </c>
      <c r="H9" s="38" t="s">
        <v>869</v>
      </c>
      <c r="I9" s="38" t="s">
        <v>870</v>
      </c>
      <c r="J9" s="38" t="s">
        <v>871</v>
      </c>
      <c r="K9" s="38" t="s">
        <v>872</v>
      </c>
      <c r="L9" s="38" t="s">
        <v>873</v>
      </c>
      <c r="M9" s="38" t="s">
        <v>874</v>
      </c>
      <c r="N9" s="38" t="s">
        <v>875</v>
      </c>
      <c r="O9" s="38" t="s">
        <v>876</v>
      </c>
      <c r="P9" s="38" t="s">
        <v>877</v>
      </c>
      <c r="Q9" s="38" t="s">
        <v>878</v>
      </c>
      <c r="R9" s="38" t="s">
        <v>879</v>
      </c>
      <c r="S9" s="64"/>
      <c r="T9" s="95" t="s">
        <v>1001</v>
      </c>
      <c r="U9" s="38" t="s">
        <v>864</v>
      </c>
      <c r="V9" s="38" t="s">
        <v>865</v>
      </c>
      <c r="W9" s="38" t="s">
        <v>866</v>
      </c>
      <c r="X9" s="38" t="s">
        <v>867</v>
      </c>
      <c r="Y9" s="38" t="s">
        <v>868</v>
      </c>
      <c r="Z9" s="38" t="s">
        <v>869</v>
      </c>
      <c r="AA9" s="38" t="s">
        <v>870</v>
      </c>
      <c r="AB9" s="38" t="s">
        <v>871</v>
      </c>
      <c r="AC9" s="38" t="s">
        <v>872</v>
      </c>
      <c r="AD9" s="38" t="s">
        <v>873</v>
      </c>
      <c r="AE9" s="38" t="s">
        <v>874</v>
      </c>
      <c r="AF9" s="38" t="s">
        <v>875</v>
      </c>
      <c r="AG9" s="38" t="s">
        <v>876</v>
      </c>
      <c r="AH9" s="38" t="s">
        <v>877</v>
      </c>
      <c r="AI9" s="38" t="s">
        <v>878</v>
      </c>
      <c r="AJ9" s="38" t="s">
        <v>879</v>
      </c>
    </row>
    <row r="10" spans="1:50" x14ac:dyDescent="0.15">
      <c r="B10" s="96" t="s">
        <v>997</v>
      </c>
      <c r="C10" s="94">
        <f>SUMIFS('caseload data'!E:E,'caseload data'!$D:$D,"PO",'caseload data'!$C:$C,'custody caseload'!$B$8,'caseload data'!$B:$B,"custody")</f>
        <v>0</v>
      </c>
      <c r="D10" s="94">
        <f>SUMIFS('caseload data'!F:F,'caseload data'!$D:$D,"PO",'caseload data'!$C:$C,'custody caseload'!$B$8,'caseload data'!$B:$B,"custody")</f>
        <v>0</v>
      </c>
      <c r="E10" s="94">
        <f>SUMIFS('caseload data'!G:G,'caseload data'!$D:$D,"PO",'caseload data'!$C:$C,'custody caseload'!$B$8,'caseload data'!$B:$B,"custody")</f>
        <v>0</v>
      </c>
      <c r="F10" s="94">
        <f>SUMIFS('caseload data'!H:H,'caseload data'!$D:$D,"PO",'caseload data'!$C:$C,'custody caseload'!$B$8,'caseload data'!$B:$B,"custody")</f>
        <v>0</v>
      </c>
      <c r="G10" s="94">
        <f>SUMIFS('caseload data'!I:I,'caseload data'!$D:$D,"PO",'caseload data'!$C:$C,'custody caseload'!$B$8,'caseload data'!$B:$B,"custody")</f>
        <v>0</v>
      </c>
      <c r="H10" s="94">
        <f>SUMIFS('caseload data'!J:J,'caseload data'!$D:$D,"PO",'caseload data'!$C:$C,'custody caseload'!$B$8,'caseload data'!$B:$B,"custody")</f>
        <v>0</v>
      </c>
      <c r="I10" s="94">
        <f>SUMIFS('caseload data'!K:K,'caseload data'!$D:$D,"PO",'caseload data'!$C:$C,'custody caseload'!$B$8,'caseload data'!$B:$B,"custody")</f>
        <v>0</v>
      </c>
      <c r="J10" s="94">
        <f>SUMIFS('caseload data'!L:L,'caseload data'!$D:$D,"PO",'caseload data'!$C:$C,'custody caseload'!$B$8,'caseload data'!$B:$B,"custody")</f>
        <v>0</v>
      </c>
      <c r="K10" s="94">
        <f>SUMIFS('caseload data'!M:M,'caseload data'!$D:$D,"PO",'caseload data'!$C:$C,'custody caseload'!$B$8,'caseload data'!$B:$B,"custody")</f>
        <v>0</v>
      </c>
      <c r="L10" s="94">
        <f>SUMIFS('caseload data'!N:N,'caseload data'!$D:$D,"PO",'caseload data'!$C:$C,'custody caseload'!$B$8,'caseload data'!$B:$B,"custody")</f>
        <v>0</v>
      </c>
      <c r="M10" s="94">
        <f>SUMIFS('caseload data'!O:O,'caseload data'!$D:$D,"PO",'caseload data'!$C:$C,'custody caseload'!$B$8,'caseload data'!$B:$B,"custody")</f>
        <v>0</v>
      </c>
      <c r="N10" s="94">
        <f>SUMIFS('caseload data'!P:P,'caseload data'!$D:$D,"PO",'caseload data'!$C:$C,'custody caseload'!$B$8,'caseload data'!$B:$B,"custody")</f>
        <v>0</v>
      </c>
      <c r="O10" s="94">
        <f>SUMIFS('caseload data'!Q:Q,'caseload data'!$D:$D,"PO",'caseload data'!$C:$C,'custody caseload'!$B$8,'caseload data'!$B:$B,"custody")</f>
        <v>0</v>
      </c>
      <c r="P10" s="94">
        <f>SUMIFS('caseload data'!R:R,'caseload data'!$D:$D,"PO",'caseload data'!$C:$C,'custody caseload'!$B$8,'caseload data'!$B:$B,"custody")</f>
        <v>0</v>
      </c>
      <c r="Q10" s="94">
        <f>SUMIFS('caseload data'!S:S,'caseload data'!$D:$D,"PO",'caseload data'!$C:$C,'custody caseload'!$B$8,'caseload data'!$B:$B,"custody")</f>
        <v>0</v>
      </c>
      <c r="R10" s="94">
        <f>SUMIFS('caseload data'!T:T,'caseload data'!$D:$D,"PO",'caseload data'!$C:$C,'custody caseload'!$B$8,'caseload data'!$B:$B,"custody")</f>
        <v>0</v>
      </c>
      <c r="S10" s="64"/>
      <c r="T10" s="96" t="s">
        <v>997</v>
      </c>
      <c r="U10" s="94">
        <f>SUMIFS('caseload data'!E:E,'caseload data'!$D:$D,"PO",'caseload data'!$C:$C,'custody caseload'!$T$8,'caseload data'!$B:$B,"custody")</f>
        <v>0</v>
      </c>
      <c r="V10" s="94">
        <f>SUMIFS('caseload data'!F:F,'caseload data'!$D:$D,"PO",'caseload data'!$C:$C,'custody caseload'!$T$8,'caseload data'!$B:$B,"custody")</f>
        <v>0</v>
      </c>
      <c r="W10" s="94">
        <f>SUMIFS('caseload data'!G:G,'caseload data'!$D:$D,"PO",'caseload data'!$C:$C,'custody caseload'!$T$8,'caseload data'!$B:$B,"custody")</f>
        <v>0</v>
      </c>
      <c r="X10" s="94">
        <f>SUMIFS('caseload data'!H:H,'caseload data'!$D:$D,"PO",'caseload data'!$C:$C,'custody caseload'!$T$8,'caseload data'!$B:$B,"custody")</f>
        <v>0</v>
      </c>
      <c r="Y10" s="94">
        <f>SUMIFS('caseload data'!I:I,'caseload data'!$D:$D,"PO",'caseload data'!$C:$C,'custody caseload'!$T$8,'caseload data'!$B:$B,"custody")</f>
        <v>0</v>
      </c>
      <c r="Z10" s="94">
        <f>SUMIFS('caseload data'!J:J,'caseload data'!$D:$D,"PO",'caseload data'!$C:$C,'custody caseload'!$T$8,'caseload data'!$B:$B,"custody")</f>
        <v>0</v>
      </c>
      <c r="AA10" s="94">
        <f>SUMIFS('caseload data'!K:K,'caseload data'!$D:$D,"PO",'caseload data'!$C:$C,'custody caseload'!$T$8,'caseload data'!$B:$B,"custody")</f>
        <v>0</v>
      </c>
      <c r="AB10" s="94">
        <f>SUMIFS('caseload data'!L:L,'caseload data'!$D:$D,"PO",'caseload data'!$C:$C,'custody caseload'!$T$8,'caseload data'!$B:$B,"custody")</f>
        <v>0</v>
      </c>
      <c r="AC10" s="94">
        <f>SUMIFS('caseload data'!M:M,'caseload data'!$D:$D,"PO",'caseload data'!$C:$C,'custody caseload'!$T$8,'caseload data'!$B:$B,"custody")</f>
        <v>0</v>
      </c>
      <c r="AD10" s="94">
        <f>SUMIFS('caseload data'!N:N,'caseload data'!$D:$D,"PO",'caseload data'!$C:$C,'custody caseload'!$T$8,'caseload data'!$B:$B,"custody")</f>
        <v>0</v>
      </c>
      <c r="AE10" s="94">
        <f>SUMIFS('caseload data'!O:O,'caseload data'!$D:$D,"PO",'caseload data'!$C:$C,'custody caseload'!$T$8,'caseload data'!$B:$B,"custody")</f>
        <v>0</v>
      </c>
      <c r="AF10" s="94">
        <f>SUMIFS('caseload data'!P:P,'caseload data'!$D:$D,"PO",'caseload data'!$C:$C,'custody caseload'!$T$8,'caseload data'!$B:$B,"custody")</f>
        <v>0</v>
      </c>
      <c r="AG10" s="94">
        <f>SUMIFS('caseload data'!Q:Q,'caseload data'!$D:$D,"PO",'caseload data'!$C:$C,'custody caseload'!$T$8,'caseload data'!$B:$B,"custody")</f>
        <v>0</v>
      </c>
      <c r="AH10" s="94">
        <f>SUMIFS('caseload data'!R:R,'caseload data'!$D:$D,"PO",'caseload data'!$C:$C,'custody caseload'!$T$8,'caseload data'!$B:$B,"custody")</f>
        <v>0</v>
      </c>
      <c r="AI10" s="94">
        <f>SUMIFS('caseload data'!S:S,'caseload data'!$D:$D,"PO",'caseload data'!$C:$C,'custody caseload'!$T$8,'caseload data'!$B:$B,"custody")</f>
        <v>0</v>
      </c>
      <c r="AJ10" s="94">
        <f>SUMIFS('caseload data'!T:T,'caseload data'!$D:$D,"PO",'caseload data'!$C:$C,'custody caseload'!$T$8,'caseload data'!$B:$B,"custody")</f>
        <v>0</v>
      </c>
    </row>
    <row r="11" spans="1:50" ht="15" x14ac:dyDescent="0.2">
      <c r="B11" s="97" t="s">
        <v>1002</v>
      </c>
      <c r="C11" s="145">
        <f>SUMIFS('caseload data'!E:E,'caseload data'!$D:$D,"PSO",'caseload data'!$C:$C,'custody caseload'!$B$8,'caseload data'!$B:$B,"custody")</f>
        <v>0</v>
      </c>
      <c r="D11" s="145">
        <f>SUMIFS('caseload data'!F:F,'caseload data'!$D:$D,"PSO",'caseload data'!$C:$C,'custody caseload'!$B$8,'caseload data'!$B:$B,"custody")</f>
        <v>0</v>
      </c>
      <c r="E11" s="145">
        <f>SUMIFS('caseload data'!G:G,'caseload data'!$D:$D,"PSO",'caseload data'!$C:$C,'custody caseload'!$B$8,'caseload data'!$B:$B,"custody")</f>
        <v>0</v>
      </c>
      <c r="F11" s="145">
        <f>SUMIFS('caseload data'!H:H,'caseload data'!$D:$D,"PSO",'caseload data'!$C:$C,'custody caseload'!$B$8,'caseload data'!$B:$B,"custody")</f>
        <v>0</v>
      </c>
      <c r="G11" s="145">
        <f>SUMIFS('caseload data'!I:I,'caseload data'!$D:$D,"PSO",'caseload data'!$C:$C,'custody caseload'!$B$8,'caseload data'!$B:$B,"custody")</f>
        <v>0</v>
      </c>
      <c r="H11" s="145">
        <f>SUMIFS('caseload data'!J:J,'caseload data'!$D:$D,"PSO",'caseload data'!$C:$C,'custody caseload'!$B$8,'caseload data'!$B:$B,"custody")</f>
        <v>0</v>
      </c>
      <c r="I11" s="145">
        <f>SUMIFS('caseload data'!K:K,'caseload data'!$D:$D,"PSO",'caseload data'!$C:$C,'custody caseload'!$B$8,'caseload data'!$B:$B,"custody")</f>
        <v>0</v>
      </c>
      <c r="J11" s="145">
        <f>SUMIFS('caseload data'!L:L,'caseload data'!$D:$D,"PSO",'caseload data'!$C:$C,'custody caseload'!$B$8,'caseload data'!$B:$B,"custody")</f>
        <v>0</v>
      </c>
      <c r="K11" s="94">
        <f>SUMIFS('caseload data'!M:M,'caseload data'!$D:$D,"PSO",'caseload data'!$C:$C,'custody caseload'!$B$8,'caseload data'!$B:$B,"custody")</f>
        <v>0</v>
      </c>
      <c r="L11" s="94">
        <f>SUMIFS('caseload data'!N:N,'caseload data'!$D:$D,"PSO",'caseload data'!$C:$C,'custody caseload'!$B$8,'caseload data'!$B:$B,"custody")</f>
        <v>0</v>
      </c>
      <c r="M11" s="94">
        <f>SUMIFS('caseload data'!O:O,'caseload data'!$D:$D,"PSO",'caseload data'!$C:$C,'custody caseload'!$B$8,'caseload data'!$B:$B,"custody")</f>
        <v>0</v>
      </c>
      <c r="N11" s="94">
        <f>SUMIFS('caseload data'!P:P,'caseload data'!$D:$D,"PSO",'caseload data'!$C:$C,'custody caseload'!$B$8,'caseload data'!$B:$B,"custody")</f>
        <v>0</v>
      </c>
      <c r="O11" s="94">
        <f>SUMIFS('caseload data'!Q:Q,'caseload data'!$D:$D,"PSO",'caseload data'!$C:$C,'custody caseload'!$B$8,'caseload data'!$B:$B,"custody")</f>
        <v>0</v>
      </c>
      <c r="P11" s="94">
        <f>SUMIFS('caseload data'!R:R,'caseload data'!$D:$D,"PSO",'caseload data'!$C:$C,'custody caseload'!$B$8,'caseload data'!$B:$B,"custody")</f>
        <v>0</v>
      </c>
      <c r="Q11" s="94">
        <f>SUMIFS('caseload data'!S:S,'caseload data'!$D:$D,"PSO",'caseload data'!$C:$C,'custody caseload'!$B$8,'caseload data'!$B:$B,"custody")</f>
        <v>0</v>
      </c>
      <c r="R11" s="94">
        <f>SUMIFS('caseload data'!T:T,'caseload data'!$D:$D,"PSO",'caseload data'!$C:$C,'custody caseload'!$B$8,'caseload data'!$B:$B,"custody")</f>
        <v>0</v>
      </c>
      <c r="S11" s="64"/>
      <c r="T11" s="97" t="s">
        <v>1002</v>
      </c>
      <c r="U11" s="145">
        <f>SUMIFS('caseload data'!E:E,'caseload data'!$D:$D,"PSO",'caseload data'!$C:$C,'custody caseload'!$T$8,'caseload data'!$B:$B,"custody")</f>
        <v>0</v>
      </c>
      <c r="V11" s="145">
        <f>SUMIFS('caseload data'!F:F,'caseload data'!$D:$D,"PSO",'caseload data'!$C:$C,'custody caseload'!$T$8,'caseload data'!$B:$B,"custody")</f>
        <v>0</v>
      </c>
      <c r="W11" s="145">
        <f>SUMIFS('caseload data'!G:G,'caseload data'!$D:$D,"PSO",'caseload data'!$C:$C,'custody caseload'!$T$8,'caseload data'!$B:$B,"custody")</f>
        <v>0</v>
      </c>
      <c r="X11" s="145">
        <f>SUMIFS('caseload data'!H:H,'caseload data'!$D:$D,"PSO",'caseload data'!$C:$C,'custody caseload'!$T$8,'caseload data'!$B:$B,"custody")</f>
        <v>0</v>
      </c>
      <c r="Y11" s="145">
        <f>SUMIFS('caseload data'!I:I,'caseload data'!$D:$D,"PSO",'caseload data'!$C:$C,'custody caseload'!$T$8,'caseload data'!$B:$B,"custody")</f>
        <v>0</v>
      </c>
      <c r="Z11" s="145">
        <f>SUMIFS('caseload data'!J:J,'caseload data'!$D:$D,"PSO",'caseload data'!$C:$C,'custody caseload'!$T$8,'caseload data'!$B:$B,"custody")</f>
        <v>0</v>
      </c>
      <c r="AA11" s="145">
        <f>SUMIFS('caseload data'!K:K,'caseload data'!$D:$D,"PSO",'caseload data'!$C:$C,'custody caseload'!$T$8,'caseload data'!$B:$B,"custody")</f>
        <v>0</v>
      </c>
      <c r="AB11" s="145">
        <f>SUMIFS('caseload data'!L:L,'caseload data'!$D:$D,"PSO",'caseload data'!$C:$C,'custody caseload'!$T$8,'caseload data'!$B:$B,"custody")</f>
        <v>0</v>
      </c>
      <c r="AC11" s="94">
        <f>SUMIFS('caseload data'!M:M,'caseload data'!$D:$D,"PSO",'caseload data'!$C:$C,'custody caseload'!$T$8,'caseload data'!$B:$B,"custody")</f>
        <v>0</v>
      </c>
      <c r="AD11" s="94">
        <f>SUMIFS('caseload data'!N:N,'caseload data'!$D:$D,"PSO",'caseload data'!$C:$C,'custody caseload'!$T$8,'caseload data'!$B:$B,"custody")</f>
        <v>0</v>
      </c>
      <c r="AE11" s="94">
        <f>SUMIFS('caseload data'!O:O,'caseload data'!$D:$D,"PSO",'caseload data'!$C:$C,'custody caseload'!$T$8,'caseload data'!$B:$B,"custody")</f>
        <v>0</v>
      </c>
      <c r="AF11" s="94">
        <f>SUMIFS('caseload data'!P:P,'caseload data'!$D:$D,"PSO",'caseload data'!$C:$C,'custody caseload'!$T$8,'caseload data'!$B:$B,"custody")</f>
        <v>0</v>
      </c>
      <c r="AG11" s="94">
        <f>SUMIFS('caseload data'!Q:Q,'caseload data'!$D:$D,"PSO",'caseload data'!$C:$C,'custody caseload'!$T$8,'caseload data'!$B:$B,"custody")</f>
        <v>0</v>
      </c>
      <c r="AH11" s="94">
        <f>SUMIFS('caseload data'!R:R,'caseload data'!$D:$D,"PSO",'caseload data'!$C:$C,'custody caseload'!$T$8,'caseload data'!$B:$B,"custody")</f>
        <v>0</v>
      </c>
      <c r="AI11" s="94">
        <f>SUMIFS('caseload data'!S:S,'caseload data'!$D:$D,"PSO",'caseload data'!$C:$C,'custody caseload'!$T$8,'caseload data'!$B:$B,"custody")</f>
        <v>0</v>
      </c>
      <c r="AJ11" s="94">
        <f>SUMIFS('caseload data'!T:T,'caseload data'!$D:$D,"PSO",'caseload data'!$C:$C,'custody caseload'!$T$8,'caseload data'!$B:$B,"custody")</f>
        <v>0</v>
      </c>
    </row>
    <row r="12" spans="1:50" ht="15" x14ac:dyDescent="0.2">
      <c r="B12" s="97" t="s">
        <v>1003</v>
      </c>
      <c r="C12" s="145">
        <f>SUMIFS('caseload data'!E:E,'caseload data'!$D:$D,"TPO",'caseload data'!$C:$C,'custody caseload'!$B$8,'caseload data'!$B:$B,"custody")</f>
        <v>0</v>
      </c>
      <c r="D12" s="145">
        <f>SUMIFS('caseload data'!F:F,'caseload data'!$D:$D,"TPO",'caseload data'!$C:$C,'custody caseload'!$B$8,'caseload data'!$B:$B,"custody")</f>
        <v>0</v>
      </c>
      <c r="E12" s="145">
        <f>SUMIFS('caseload data'!G:G,'caseload data'!$D:$D,"TPO",'caseload data'!$C:$C,'custody caseload'!$B$8,'caseload data'!$B:$B,"custody")</f>
        <v>0</v>
      </c>
      <c r="F12" s="145">
        <f>SUMIFS('caseload data'!H:H,'caseload data'!$D:$D,"TPO",'caseload data'!$C:$C,'custody caseload'!$B$8,'caseload data'!$B:$B,"custody")</f>
        <v>0</v>
      </c>
      <c r="G12" s="145">
        <f>SUMIFS('caseload data'!I:I,'caseload data'!$D:$D,"TPO",'caseload data'!$C:$C,'custody caseload'!$B$8,'caseload data'!$B:$B,"custody")</f>
        <v>0</v>
      </c>
      <c r="H12" s="145">
        <f>SUMIFS('caseload data'!J:J,'caseload data'!$D:$D,"TPO",'caseload data'!$C:$C,'custody caseload'!$B$8,'caseload data'!$B:$B,"custody")</f>
        <v>0</v>
      </c>
      <c r="I12" s="145">
        <f>SUMIFS('caseload data'!K:K,'caseload data'!$D:$D,"TPO",'caseload data'!$C:$C,'custody caseload'!$B$8,'caseload data'!$B:$B,"custody")</f>
        <v>0</v>
      </c>
      <c r="J12" s="145">
        <f>SUMIFS('caseload data'!L:L,'caseload data'!$D:$D,"TPO",'caseload data'!$C:$C,'custody caseload'!$B$8,'caseload data'!$B:$B,"custody")</f>
        <v>0</v>
      </c>
      <c r="K12" s="94">
        <f>SUMIFS('caseload data'!M:M,'caseload data'!$D:$D,"TPO",'caseload data'!$C:$C,'custody caseload'!$B$8,'caseload data'!$B:$B,"custody")</f>
        <v>0</v>
      </c>
      <c r="L12" s="94">
        <f>SUMIFS('caseload data'!N:N,'caseload data'!$D:$D,"TPO",'caseload data'!$C:$C,'custody caseload'!$B$8,'caseload data'!$B:$B,"custody")</f>
        <v>0</v>
      </c>
      <c r="M12" s="94">
        <f>SUMIFS('caseload data'!O:O,'caseload data'!$D:$D,"TPO",'caseload data'!$C:$C,'custody caseload'!$B$8,'caseload data'!$B:$B,"custody")</f>
        <v>0</v>
      </c>
      <c r="N12" s="94">
        <f>SUMIFS('caseload data'!P:P,'caseload data'!$D:$D,"TPO",'caseload data'!$C:$C,'custody caseload'!$B$8,'caseload data'!$B:$B,"custody")</f>
        <v>0</v>
      </c>
      <c r="O12" s="94">
        <f>SUMIFS('caseload data'!Q:Q,'caseload data'!$D:$D,"TPO",'caseload data'!$C:$C,'custody caseload'!$B$8,'caseload data'!$B:$B,"custody")</f>
        <v>0</v>
      </c>
      <c r="P12" s="94">
        <f>SUMIFS('caseload data'!R:R,'caseload data'!$D:$D,"TPO",'caseload data'!$C:$C,'custody caseload'!$B$8,'caseload data'!$B:$B,"custody")</f>
        <v>0</v>
      </c>
      <c r="Q12" s="94">
        <f>SUMIFS('caseload data'!S:S,'caseload data'!$D:$D,"TPO",'caseload data'!$C:$C,'custody caseload'!$B$8,'caseload data'!$B:$B,"custody")</f>
        <v>0</v>
      </c>
      <c r="R12" s="94">
        <f>SUMIFS('caseload data'!T:T,'caseload data'!$D:$D,"TPO",'caseload data'!$C:$C,'custody caseload'!$B$8,'caseload data'!$B:$B,"custody")</f>
        <v>0</v>
      </c>
      <c r="S12" s="64"/>
      <c r="T12" s="97" t="s">
        <v>1003</v>
      </c>
      <c r="U12" s="145">
        <f>SUMIFS('caseload data'!E:E,'caseload data'!$D:$D,"TPO",'caseload data'!$C:$C,'custody caseload'!$T$8,'caseload data'!$B:$B,"custody")</f>
        <v>0</v>
      </c>
      <c r="V12" s="145">
        <f>SUMIFS('caseload data'!F:F,'caseload data'!$D:$D,"TPO",'caseload data'!$C:$C,'custody caseload'!$T$8,'caseload data'!$B:$B,"custody")</f>
        <v>0</v>
      </c>
      <c r="W12" s="145">
        <f>SUMIFS('caseload data'!G:G,'caseload data'!$D:$D,"TPO",'caseload data'!$C:$C,'custody caseload'!$T$8,'caseload data'!$B:$B,"custody")</f>
        <v>0</v>
      </c>
      <c r="X12" s="145">
        <f>SUMIFS('caseload data'!H:H,'caseload data'!$D:$D,"TPO",'caseload data'!$C:$C,'custody caseload'!$T$8,'caseload data'!$B:$B,"custody")</f>
        <v>0</v>
      </c>
      <c r="Y12" s="145">
        <f>SUMIFS('caseload data'!I:I,'caseload data'!$D:$D,"TPO",'caseload data'!$C:$C,'custody caseload'!$T$8,'caseload data'!$B:$B,"custody")</f>
        <v>0</v>
      </c>
      <c r="Z12" s="145">
        <f>SUMIFS('caseload data'!J:J,'caseload data'!$D:$D,"TPO",'caseload data'!$C:$C,'custody caseload'!$T$8,'caseload data'!$B:$B,"custody")</f>
        <v>0</v>
      </c>
      <c r="AA12" s="145">
        <f>SUMIFS('caseload data'!K:K,'caseload data'!$D:$D,"TPO",'caseload data'!$C:$C,'custody caseload'!$T$8,'caseload data'!$B:$B,"custody")</f>
        <v>0</v>
      </c>
      <c r="AB12" s="145">
        <f>SUMIFS('caseload data'!L:L,'caseload data'!$D:$D,"TPO",'caseload data'!$C:$C,'custody caseload'!$T$8,'caseload data'!$B:$B,"custody")</f>
        <v>0</v>
      </c>
      <c r="AC12" s="94">
        <f>SUMIFS('caseload data'!M:M,'caseload data'!$D:$D,"TPO",'caseload data'!$C:$C,'custody caseload'!$T$8,'caseload data'!$B:$B,"custody")</f>
        <v>0</v>
      </c>
      <c r="AD12" s="94">
        <f>SUMIFS('caseload data'!N:N,'caseload data'!$D:$D,"TPO",'caseload data'!$C:$C,'custody caseload'!$T$8,'caseload data'!$B:$B,"custody")</f>
        <v>0</v>
      </c>
      <c r="AE12" s="94">
        <f>SUMIFS('caseload data'!O:O,'caseload data'!$D:$D,"TPO",'caseload data'!$C:$C,'custody caseload'!$T$8,'caseload data'!$B:$B,"custody")</f>
        <v>0</v>
      </c>
      <c r="AF12" s="94">
        <f>SUMIFS('caseload data'!P:P,'caseload data'!$D:$D,"TPO",'caseload data'!$C:$C,'custody caseload'!$T$8,'caseload data'!$B:$B,"custody")</f>
        <v>0</v>
      </c>
      <c r="AG12" s="94">
        <f>SUMIFS('caseload data'!Q:Q,'caseload data'!$D:$D,"TPO",'caseload data'!$C:$C,'custody caseload'!$T$8,'caseload data'!$B:$B,"custody")</f>
        <v>0</v>
      </c>
      <c r="AH12" s="94">
        <f>SUMIFS('caseload data'!R:R,'caseload data'!$D:$D,"TPO",'caseload data'!$C:$C,'custody caseload'!$T$8,'caseload data'!$B:$B,"custody")</f>
        <v>0</v>
      </c>
      <c r="AI12" s="94">
        <f>SUMIFS('caseload data'!S:S,'caseload data'!$D:$D,"TPO",'caseload data'!$C:$C,'custody caseload'!$T$8,'caseload data'!$B:$B,"custody")</f>
        <v>0</v>
      </c>
      <c r="AJ12" s="94">
        <f>SUMIFS('caseload data'!T:T,'caseload data'!$D:$D,"TPO",'caseload data'!$C:$C,'custody caseload'!$T$8,'caseload data'!$B:$B,"custody")</f>
        <v>0</v>
      </c>
    </row>
    <row r="13" spans="1:50" x14ac:dyDescent="0.15">
      <c r="B13" s="98" t="s">
        <v>1004</v>
      </c>
      <c r="C13" s="94">
        <f>SUMIFS('caseload data'!E:E,'caseload data'!$D:$D,"SPO",'caseload data'!$C:$C,'custody caseload'!$B$8,'caseload data'!$B:$B,"custody")</f>
        <v>0</v>
      </c>
      <c r="D13" s="94">
        <f>SUMIFS('caseload data'!F:F,'caseload data'!$D:$D,"SPO",'caseload data'!$C:$C,'custody caseload'!$B$8,'caseload data'!$B:$B,"custody")</f>
        <v>0</v>
      </c>
      <c r="E13" s="94">
        <f>SUMIFS('caseload data'!G:G,'caseload data'!$D:$D,"SPO",'caseload data'!$C:$C,'custody caseload'!$B$8,'caseload data'!$B:$B,"custody")</f>
        <v>0</v>
      </c>
      <c r="F13" s="94">
        <f>SUMIFS('caseload data'!H:H,'caseload data'!$D:$D,"SPO",'caseload data'!$C:$C,'custody caseload'!$B$8,'caseload data'!$B:$B,"custody")</f>
        <v>0</v>
      </c>
      <c r="G13" s="94">
        <f>SUMIFS('caseload data'!I:I,'caseload data'!$D:$D,"SPO",'caseload data'!$C:$C,'custody caseload'!$B$8,'caseload data'!$B:$B,"custody")</f>
        <v>0</v>
      </c>
      <c r="H13" s="94">
        <f>SUMIFS('caseload data'!J:J,'caseload data'!$D:$D,"SPO",'caseload data'!$C:$C,'custody caseload'!$B$8,'caseload data'!$B:$B,"custody")</f>
        <v>0</v>
      </c>
      <c r="I13" s="94">
        <f>SUMIFS('caseload data'!K:K,'caseload data'!$D:$D,"SPO",'caseload data'!$C:$C,'custody caseload'!$B$8,'caseload data'!$B:$B,"custody")</f>
        <v>0</v>
      </c>
      <c r="J13" s="94">
        <f>SUMIFS('caseload data'!L:L,'caseload data'!$D:$D,"SPO",'caseload data'!$C:$C,'custody caseload'!$B$8,'caseload data'!$B:$B,"custody")</f>
        <v>0</v>
      </c>
      <c r="K13" s="94">
        <f>SUMIFS('caseload data'!M:M,'caseload data'!$D:$D,"SPO",'caseload data'!$C:$C,'custody caseload'!$B$8,'caseload data'!$B:$B,"custody")</f>
        <v>0</v>
      </c>
      <c r="L13" s="94">
        <f>SUMIFS('caseload data'!N:N,'caseload data'!$D:$D,"SPO",'caseload data'!$C:$C,'custody caseload'!$B$8,'caseload data'!$B:$B,"custody")</f>
        <v>0</v>
      </c>
      <c r="M13" s="94">
        <f>SUMIFS('caseload data'!O:O,'caseload data'!$D:$D,"SPO",'caseload data'!$C:$C,'custody caseload'!$B$8,'caseload data'!$B:$B,"custody")</f>
        <v>0</v>
      </c>
      <c r="N13" s="94">
        <f>SUMIFS('caseload data'!P:P,'caseload data'!$D:$D,"SPO",'caseload data'!$C:$C,'custody caseload'!$B$8,'caseload data'!$B:$B,"custody")</f>
        <v>0</v>
      </c>
      <c r="O13" s="94">
        <f>SUMIFS('caseload data'!Q:Q,'caseload data'!$D:$D,"SPO",'caseload data'!$C:$C,'custody caseload'!$B$8,'caseload data'!$B:$B,"custody")</f>
        <v>0</v>
      </c>
      <c r="P13" s="94">
        <f>SUMIFS('caseload data'!R:R,'caseload data'!$D:$D,"SPO",'caseload data'!$C:$C,'custody caseload'!$B$8,'caseload data'!$B:$B,"custody")</f>
        <v>0</v>
      </c>
      <c r="Q13" s="94">
        <f>SUMIFS('caseload data'!S:S,'caseload data'!$D:$D,"SPO",'caseload data'!$C:$C,'custody caseload'!$B$8,'caseload data'!$B:$B,"custody")</f>
        <v>0</v>
      </c>
      <c r="R13" s="94">
        <f>SUMIFS('caseload data'!T:T,'caseload data'!$D:$D,"SPO",'caseload data'!$C:$C,'custody caseload'!$B$8,'caseload data'!$B:$B,"custody")</f>
        <v>0</v>
      </c>
      <c r="S13" s="64"/>
      <c r="T13" s="98" t="s">
        <v>1004</v>
      </c>
      <c r="U13" s="94">
        <f>SUMIFS('caseload data'!E:E,'caseload data'!$D:$D,"SPO",'caseload data'!$C:$C,'custody caseload'!$T$8,'caseload data'!$B:$B,"custody")</f>
        <v>0</v>
      </c>
      <c r="V13" s="94">
        <f>SUMIFS('caseload data'!F:F,'caseload data'!$D:$D,"SPO",'caseload data'!$C:$C,'custody caseload'!$T$8,'caseload data'!$B:$B,"custody")</f>
        <v>0</v>
      </c>
      <c r="W13" s="94">
        <f>SUMIFS('caseload data'!G:G,'caseload data'!$D:$D,"SPO",'caseload data'!$C:$C,'custody caseload'!$T$8,'caseload data'!$B:$B,"custody")</f>
        <v>0</v>
      </c>
      <c r="X13" s="94">
        <f>SUMIFS('caseload data'!H:H,'caseload data'!$D:$D,"SPO",'caseload data'!$C:$C,'custody caseload'!$T$8,'caseload data'!$B:$B,"custody")</f>
        <v>0</v>
      </c>
      <c r="Y13" s="94">
        <f>SUMIFS('caseload data'!I:I,'caseload data'!$D:$D,"SPO",'caseload data'!$C:$C,'custody caseload'!$T$8,'caseload data'!$B:$B,"custody")</f>
        <v>0</v>
      </c>
      <c r="Z13" s="94">
        <f>SUMIFS('caseload data'!J:J,'caseload data'!$D:$D,"SPO",'caseload data'!$C:$C,'custody caseload'!$T$8,'caseload data'!$B:$B,"custody")</f>
        <v>0</v>
      </c>
      <c r="AA13" s="94">
        <f>SUMIFS('caseload data'!K:K,'caseload data'!$D:$D,"SPO",'caseload data'!$C:$C,'custody caseload'!$T$8,'caseload data'!$B:$B,"custody")</f>
        <v>0</v>
      </c>
      <c r="AB13" s="94">
        <f>SUMIFS('caseload data'!L:L,'caseload data'!$D:$D,"SPO",'caseload data'!$C:$C,'custody caseload'!$T$8,'caseload data'!$B:$B,"custody")</f>
        <v>0</v>
      </c>
      <c r="AC13" s="94">
        <f>SUMIFS('caseload data'!M:M,'caseload data'!$D:$D,"SPO",'caseload data'!$C:$C,'custody caseload'!$T$8,'caseload data'!$B:$B,"custody")</f>
        <v>0</v>
      </c>
      <c r="AD13" s="94">
        <f>SUMIFS('caseload data'!N:N,'caseload data'!$D:$D,"SPO",'caseload data'!$C:$C,'custody caseload'!$T$8,'caseload data'!$B:$B,"custody")</f>
        <v>0</v>
      </c>
      <c r="AE13" s="94">
        <f>SUMIFS('caseload data'!O:O,'caseload data'!$D:$D,"SPO",'caseload data'!$C:$C,'custody caseload'!$T$8,'caseload data'!$B:$B,"custody")</f>
        <v>0</v>
      </c>
      <c r="AF13" s="94">
        <f>SUMIFS('caseload data'!P:P,'caseload data'!$D:$D,"SPO",'caseload data'!$C:$C,'custody caseload'!$T$8,'caseload data'!$B:$B,"custody")</f>
        <v>0</v>
      </c>
      <c r="AG13" s="94">
        <f>SUMIFS('caseload data'!Q:Q,'caseload data'!$D:$D,"SPO",'caseload data'!$C:$C,'custody caseload'!$T$8,'caseload data'!$B:$B,"custody")</f>
        <v>0</v>
      </c>
      <c r="AH13" s="94">
        <f>SUMIFS('caseload data'!R:R,'caseload data'!$D:$D,"SPO",'caseload data'!$C:$C,'custody caseload'!$T$8,'caseload data'!$B:$B,"custody")</f>
        <v>0</v>
      </c>
      <c r="AI13" s="94">
        <f>SUMIFS('caseload data'!S:S,'caseload data'!$D:$D,"SPO",'caseload data'!$C:$C,'custody caseload'!$T$8,'caseload data'!$B:$B,"custody")</f>
        <v>0</v>
      </c>
      <c r="AJ13" s="94">
        <f>SUMIFS('caseload data'!T:T,'caseload data'!$D:$D,"SPO",'caseload data'!$C:$C,'custody caseload'!$T$8,'caseload data'!$B:$B,"custody")</f>
        <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0" customHeight="1" x14ac:dyDescent="0.15">
      <c r="B15" s="142" t="str">
        <f>HLOOKUP($B$5,Region_Table,4,0)</f>
        <v>Derbyshire - N53</v>
      </c>
      <c r="C15" s="525" t="s">
        <v>1126</v>
      </c>
      <c r="D15" s="526"/>
      <c r="E15" s="526"/>
      <c r="F15" s="526"/>
      <c r="G15" s="526"/>
      <c r="H15" s="526"/>
      <c r="I15" s="526"/>
      <c r="J15" s="526"/>
      <c r="K15" s="526"/>
      <c r="L15" s="526"/>
      <c r="M15" s="535"/>
      <c r="N15" s="535"/>
      <c r="O15" s="536"/>
      <c r="P15" s="512">
        <f>SUMIFS('caseload data'!V:V,'caseload data'!B:B,"custody",'caseload data'!$C:$C,'custody caseload'!B15)</f>
        <v>0</v>
      </c>
      <c r="Q15" s="529"/>
      <c r="R15" s="530"/>
      <c r="S15" s="64"/>
      <c r="T15" s="142" t="str">
        <f>HLOOKUP($B$5,Region_Table,5,0)</f>
        <v>Leicester, Leicestershire and Rutland</v>
      </c>
      <c r="U15" s="525" t="s">
        <v>1126</v>
      </c>
      <c r="V15" s="526"/>
      <c r="W15" s="526"/>
      <c r="X15" s="526"/>
      <c r="Y15" s="526"/>
      <c r="Z15" s="526"/>
      <c r="AA15" s="526"/>
      <c r="AB15" s="526"/>
      <c r="AC15" s="526"/>
      <c r="AD15" s="526"/>
      <c r="AE15" s="535"/>
      <c r="AF15" s="535"/>
      <c r="AG15" s="536"/>
      <c r="AH15" s="512">
        <f>SUMIFS('caseload data'!V:V,'caseload data'!B:B,"custody",'caseload data'!$C:$C,'custody caseload'!T15)</f>
        <v>0</v>
      </c>
      <c r="AI15" s="529"/>
      <c r="AJ15" s="530"/>
    </row>
    <row r="16" spans="1:50" x14ac:dyDescent="0.15">
      <c r="B16" s="95" t="s">
        <v>1001</v>
      </c>
      <c r="C16" s="38" t="s">
        <v>864</v>
      </c>
      <c r="D16" s="38" t="s">
        <v>865</v>
      </c>
      <c r="E16" s="38" t="s">
        <v>866</v>
      </c>
      <c r="F16" s="38" t="s">
        <v>867</v>
      </c>
      <c r="G16" s="38" t="s">
        <v>868</v>
      </c>
      <c r="H16" s="38" t="s">
        <v>869</v>
      </c>
      <c r="I16" s="38" t="s">
        <v>870</v>
      </c>
      <c r="J16" s="38" t="s">
        <v>871</v>
      </c>
      <c r="K16" s="38" t="s">
        <v>872</v>
      </c>
      <c r="L16" s="38" t="s">
        <v>873</v>
      </c>
      <c r="M16" s="38" t="s">
        <v>874</v>
      </c>
      <c r="N16" s="38" t="s">
        <v>875</v>
      </c>
      <c r="O16" s="38" t="s">
        <v>876</v>
      </c>
      <c r="P16" s="38" t="s">
        <v>877</v>
      </c>
      <c r="Q16" s="38" t="s">
        <v>878</v>
      </c>
      <c r="R16" s="38" t="s">
        <v>879</v>
      </c>
      <c r="S16" s="64"/>
      <c r="T16" s="95" t="s">
        <v>1001</v>
      </c>
      <c r="U16" s="38" t="s">
        <v>864</v>
      </c>
      <c r="V16" s="38" t="s">
        <v>865</v>
      </c>
      <c r="W16" s="38" t="s">
        <v>866</v>
      </c>
      <c r="X16" s="38" t="s">
        <v>867</v>
      </c>
      <c r="Y16" s="38" t="s">
        <v>868</v>
      </c>
      <c r="Z16" s="38" t="s">
        <v>869</v>
      </c>
      <c r="AA16" s="38" t="s">
        <v>870</v>
      </c>
      <c r="AB16" s="38" t="s">
        <v>871</v>
      </c>
      <c r="AC16" s="38" t="s">
        <v>872</v>
      </c>
      <c r="AD16" s="38" t="s">
        <v>873</v>
      </c>
      <c r="AE16" s="38" t="s">
        <v>874</v>
      </c>
      <c r="AF16" s="38" t="s">
        <v>875</v>
      </c>
      <c r="AG16" s="38" t="s">
        <v>876</v>
      </c>
      <c r="AH16" s="38" t="s">
        <v>877</v>
      </c>
      <c r="AI16" s="38" t="s">
        <v>878</v>
      </c>
      <c r="AJ16" s="38" t="s">
        <v>879</v>
      </c>
    </row>
    <row r="17" spans="2:36" x14ac:dyDescent="0.15">
      <c r="B17" s="96" t="s">
        <v>997</v>
      </c>
      <c r="C17" s="94">
        <f>SUMIFS('caseload data'!E:E,'caseload data'!$D:$D,"PO",'caseload data'!$C:$C,'custody caseload'!$B$15,'caseload data'!$B:$B,"custody")</f>
        <v>0</v>
      </c>
      <c r="D17" s="94">
        <f>SUMIFS('caseload data'!F:F,'caseload data'!$D:$D,"PO",'caseload data'!$C:$C,'custody caseload'!$B$15,'caseload data'!$B:$B,"custody")</f>
        <v>0</v>
      </c>
      <c r="E17" s="94">
        <f>SUMIFS('caseload data'!G:G,'caseload data'!$D:$D,"PO",'caseload data'!$C:$C,'custody caseload'!$B$15,'caseload data'!$B:$B,"custody")</f>
        <v>0</v>
      </c>
      <c r="F17" s="94">
        <f>SUMIFS('caseload data'!H:H,'caseload data'!$D:$D,"PO",'caseload data'!$C:$C,'custody caseload'!$B$15,'caseload data'!$B:$B,"custody")</f>
        <v>0</v>
      </c>
      <c r="G17" s="94">
        <f>SUMIFS('caseload data'!I:I,'caseload data'!$D:$D,"PO",'caseload data'!$C:$C,'custody caseload'!$B$15,'caseload data'!$B:$B,"custody")</f>
        <v>0</v>
      </c>
      <c r="H17" s="94">
        <f>SUMIFS('caseload data'!J:J,'caseload data'!$D:$D,"PO",'caseload data'!$C:$C,'custody caseload'!$B$15,'caseload data'!$B:$B,"custody")</f>
        <v>0</v>
      </c>
      <c r="I17" s="94">
        <f>SUMIFS('caseload data'!K:K,'caseload data'!$D:$D,"PO",'caseload data'!$C:$C,'custody caseload'!$B$15,'caseload data'!$B:$B,"custody")</f>
        <v>0</v>
      </c>
      <c r="J17" s="94">
        <f>SUMIFS('caseload data'!L:L,'caseload data'!$D:$D,"PO",'caseload data'!$C:$C,'custody caseload'!$B$15,'caseload data'!$B:$B,"custody")</f>
        <v>0</v>
      </c>
      <c r="K17" s="94">
        <f>SUMIFS('caseload data'!M:M,'caseload data'!$D:$D,"PO",'caseload data'!$C:$C,'custody caseload'!$B$15,'caseload data'!$B:$B,"custody")</f>
        <v>0</v>
      </c>
      <c r="L17" s="94">
        <f>SUMIFS('caseload data'!N:N,'caseload data'!$D:$D,"PO",'caseload data'!$C:$C,'custody caseload'!$B$15,'caseload data'!$B:$B,"custody")</f>
        <v>0</v>
      </c>
      <c r="M17" s="94">
        <f>SUMIFS('caseload data'!O:O,'caseload data'!$D:$D,"PO",'caseload data'!$C:$C,'custody caseload'!$B$15,'caseload data'!$B:$B,"custody")</f>
        <v>0</v>
      </c>
      <c r="N17" s="94">
        <f>SUMIFS('caseload data'!P:P,'caseload data'!$D:$D,"PO",'caseload data'!$C:$C,'custody caseload'!$B$15,'caseload data'!$B:$B,"custody")</f>
        <v>0</v>
      </c>
      <c r="O17" s="94">
        <f>SUMIFS('caseload data'!Q:Q,'caseload data'!$D:$D,"PO",'caseload data'!$C:$C,'custody caseload'!$B$15,'caseload data'!$B:$B,"custody")</f>
        <v>0</v>
      </c>
      <c r="P17" s="94">
        <f>SUMIFS('caseload data'!R:R,'caseload data'!$D:$D,"PO",'caseload data'!$C:$C,'custody caseload'!$B$15,'caseload data'!$B:$B,"custody")</f>
        <v>0</v>
      </c>
      <c r="Q17" s="94">
        <f>SUMIFS('caseload data'!S:S,'caseload data'!$D:$D,"PO",'caseload data'!$C:$C,'custody caseload'!$B$15,'caseload data'!$B:$B,"custody")</f>
        <v>0</v>
      </c>
      <c r="R17" s="94">
        <f>SUMIFS('caseload data'!T:T,'caseload data'!$D:$D,"PO",'caseload data'!$C:$C,'custody caseload'!$B$15,'caseload data'!$B:$B,"custody")</f>
        <v>0</v>
      </c>
      <c r="S17" s="64"/>
      <c r="T17" s="96" t="s">
        <v>997</v>
      </c>
      <c r="U17" s="94">
        <f>SUMIFS('caseload data'!E:E,'caseload data'!$D:$D,"PO",'caseload data'!$C:$C,'custody caseload'!$T$15,'caseload data'!$B:$B,"custody")</f>
        <v>0</v>
      </c>
      <c r="V17" s="94">
        <f>SUMIFS('caseload data'!F:F,'caseload data'!$D:$D,"PO",'caseload data'!$C:$C,'custody caseload'!$T$15,'caseload data'!$B:$B,"custody")</f>
        <v>0</v>
      </c>
      <c r="W17" s="94">
        <f>SUMIFS('caseload data'!G:G,'caseload data'!$D:$D,"PO",'caseload data'!$C:$C,'custody caseload'!$T$15,'caseload data'!$B:$B,"custody")</f>
        <v>0</v>
      </c>
      <c r="X17" s="94">
        <f>SUMIFS('caseload data'!H:H,'caseload data'!$D:$D,"PO",'caseload data'!$C:$C,'custody caseload'!$T$15,'caseload data'!$B:$B,"custody")</f>
        <v>0</v>
      </c>
      <c r="Y17" s="94">
        <f>SUMIFS('caseload data'!I:I,'caseload data'!$D:$D,"PO",'caseload data'!$C:$C,'custody caseload'!$T$15,'caseload data'!$B:$B,"custody")</f>
        <v>0</v>
      </c>
      <c r="Z17" s="94">
        <f>SUMIFS('caseload data'!J:J,'caseload data'!$D:$D,"PO",'caseload data'!$C:$C,'custody caseload'!$T$15,'caseload data'!$B:$B,"custody")</f>
        <v>0</v>
      </c>
      <c r="AA17" s="94">
        <f>SUMIFS('caseload data'!K:K,'caseload data'!$D:$D,"PO",'caseload data'!$C:$C,'custody caseload'!$T$15,'caseload data'!$B:$B,"custody")</f>
        <v>0</v>
      </c>
      <c r="AB17" s="94">
        <f>SUMIFS('caseload data'!L:L,'caseload data'!$D:$D,"PO",'caseload data'!$C:$C,'custody caseload'!$T$15,'caseload data'!$B:$B,"custody")</f>
        <v>0</v>
      </c>
      <c r="AC17" s="94">
        <f>SUMIFS('caseload data'!M:M,'caseload data'!$D:$D,"PO",'caseload data'!$C:$C,'custody caseload'!$T$15,'caseload data'!$B:$B,"custody")</f>
        <v>0</v>
      </c>
      <c r="AD17" s="94">
        <f>SUMIFS('caseload data'!N:N,'caseload data'!$D:$D,"PO",'caseload data'!$C:$C,'custody caseload'!$T$15,'caseload data'!$B:$B,"custody")</f>
        <v>0</v>
      </c>
      <c r="AE17" s="94">
        <f>SUMIFS('caseload data'!O:O,'caseload data'!$D:$D,"PO",'caseload data'!$C:$C,'custody caseload'!$T$15,'caseload data'!$B:$B,"custody")</f>
        <v>0</v>
      </c>
      <c r="AF17" s="94">
        <f>SUMIFS('caseload data'!P:P,'caseload data'!$D:$D,"PO",'caseload data'!$C:$C,'custody caseload'!$T$15,'caseload data'!$B:$B,"custody")</f>
        <v>0</v>
      </c>
      <c r="AG17" s="94">
        <f>SUMIFS('caseload data'!Q:Q,'caseload data'!$D:$D,"PO",'caseload data'!$C:$C,'custody caseload'!$T$15,'caseload data'!$B:$B,"custody")</f>
        <v>0</v>
      </c>
      <c r="AH17" s="94">
        <f>SUMIFS('caseload data'!R:R,'caseload data'!$D:$D,"PO",'caseload data'!$C:$C,'custody caseload'!$T$15,'caseload data'!$B:$B,"custody")</f>
        <v>0</v>
      </c>
      <c r="AI17" s="94">
        <f>SUMIFS('caseload data'!S:S,'caseload data'!$D:$D,"PO",'caseload data'!$C:$C,'custody caseload'!$T$15,'caseload data'!$B:$B,"custody")</f>
        <v>0</v>
      </c>
      <c r="AJ17" s="94">
        <f>SUMIFS('caseload data'!T:T,'caseload data'!$D:$D,"PO",'caseload data'!$C:$C,'custody caseload'!$T$15,'caseload data'!$B:$B,"custody")</f>
        <v>0</v>
      </c>
    </row>
    <row r="18" spans="2:36" ht="15" x14ac:dyDescent="0.2">
      <c r="B18" s="97" t="s">
        <v>1002</v>
      </c>
      <c r="C18" s="145">
        <f>SUMIFS('caseload data'!E:E,'caseload data'!$D:$D,"PSO",'caseload data'!$C:$C,'custody caseload'!$B$15,'caseload data'!$B:$B,"custody")</f>
        <v>0</v>
      </c>
      <c r="D18" s="145">
        <f>SUMIFS('caseload data'!F:F,'caseload data'!$D:$D,"PSO",'caseload data'!$C:$C,'custody caseload'!$B$15,'caseload data'!$B:$B,"custody")</f>
        <v>0</v>
      </c>
      <c r="E18" s="145">
        <f>SUMIFS('caseload data'!G:G,'caseload data'!$D:$D,"PSO",'caseload data'!$C:$C,'custody caseload'!$B$15,'caseload data'!$B:$B,"custody")</f>
        <v>0</v>
      </c>
      <c r="F18" s="145">
        <f>SUMIFS('caseload data'!H:H,'caseload data'!$D:$D,"PSO",'caseload data'!$C:$C,'custody caseload'!$B$15,'caseload data'!$B:$B,"custody")</f>
        <v>0</v>
      </c>
      <c r="G18" s="145">
        <f>SUMIFS('caseload data'!I:I,'caseload data'!$D:$D,"PSO",'caseload data'!$C:$C,'custody caseload'!$B$15,'caseload data'!$B:$B,"custody")</f>
        <v>0</v>
      </c>
      <c r="H18" s="145">
        <f>SUMIFS('caseload data'!J:J,'caseload data'!$D:$D,"PSO",'caseload data'!$C:$C,'custody caseload'!$B$15,'caseload data'!$B:$B,"custody")</f>
        <v>0</v>
      </c>
      <c r="I18" s="145">
        <f>SUMIFS('caseload data'!K:K,'caseload data'!$D:$D,"PSO",'caseload data'!$C:$C,'custody caseload'!$B$15,'caseload data'!$B:$B,"custody")</f>
        <v>0</v>
      </c>
      <c r="J18" s="145">
        <f>SUMIFS('caseload data'!L:L,'caseload data'!$D:$D,"PSO",'caseload data'!$C:$C,'custody caseload'!$B$15,'caseload data'!$B:$B,"custody")</f>
        <v>0</v>
      </c>
      <c r="K18" s="94">
        <f>SUMIFS('caseload data'!M:M,'caseload data'!$D:$D,"PSO",'caseload data'!$C:$C,'custody caseload'!$B$15,'caseload data'!$B:$B,"custody")</f>
        <v>0</v>
      </c>
      <c r="L18" s="94">
        <f>SUMIFS('caseload data'!N:N,'caseload data'!$D:$D,"PSO",'caseload data'!$C:$C,'custody caseload'!$B$15,'caseload data'!$B:$B,"custody")</f>
        <v>0</v>
      </c>
      <c r="M18" s="94">
        <f>SUMIFS('caseload data'!O:O,'caseload data'!$D:$D,"PSO",'caseload data'!$C:$C,'custody caseload'!$B$15,'caseload data'!$B:$B,"custody")</f>
        <v>0</v>
      </c>
      <c r="N18" s="94">
        <f>SUMIFS('caseload data'!P:P,'caseload data'!$D:$D,"PSO",'caseload data'!$C:$C,'custody caseload'!$B$15,'caseload data'!$B:$B,"custody")</f>
        <v>0</v>
      </c>
      <c r="O18" s="94">
        <f>SUMIFS('caseload data'!Q:Q,'caseload data'!$D:$D,"PSO",'caseload data'!$C:$C,'custody caseload'!$B$15,'caseload data'!$B:$B,"custody")</f>
        <v>0</v>
      </c>
      <c r="P18" s="94">
        <f>SUMIFS('caseload data'!R:R,'caseload data'!$D:$D,"PSO",'caseload data'!$C:$C,'custody caseload'!$B$15,'caseload data'!$B:$B,"custody")</f>
        <v>0</v>
      </c>
      <c r="Q18" s="94">
        <f>SUMIFS('caseload data'!S:S,'caseload data'!$D:$D,"PSO",'caseload data'!$C:$C,'custody caseload'!$B$15,'caseload data'!$B:$B,"custody")</f>
        <v>0</v>
      </c>
      <c r="R18" s="94">
        <f>SUMIFS('caseload data'!T:T,'caseload data'!$D:$D,"PSO",'caseload data'!$C:$C,'custody caseload'!$B$15,'caseload data'!$B:$B,"custody")</f>
        <v>0</v>
      </c>
      <c r="S18" s="64"/>
      <c r="T18" s="97" t="s">
        <v>1002</v>
      </c>
      <c r="U18" s="145">
        <f>SUMIFS('caseload data'!E:E,'caseload data'!$D:$D,"PSO",'caseload data'!$C:$C,'custody caseload'!$T$15,'caseload data'!$B:$B,"custody")</f>
        <v>0</v>
      </c>
      <c r="V18" s="145">
        <f>SUMIFS('caseload data'!F:F,'caseload data'!$D:$D,"PSO",'caseload data'!$C:$C,'custody caseload'!$T$15,'caseload data'!$B:$B,"custody")</f>
        <v>0</v>
      </c>
      <c r="W18" s="145">
        <f>SUMIFS('caseload data'!G:G,'caseload data'!$D:$D,"PSO",'caseload data'!$C:$C,'custody caseload'!$T$15,'caseload data'!$B:$B,"custody")</f>
        <v>0</v>
      </c>
      <c r="X18" s="145">
        <f>SUMIFS('caseload data'!H:H,'caseload data'!$D:$D,"PSO",'caseload data'!$C:$C,'custody caseload'!$T$15,'caseload data'!$B:$B,"custody")</f>
        <v>0</v>
      </c>
      <c r="Y18" s="145">
        <f>SUMIFS('caseload data'!I:I,'caseload data'!$D:$D,"PSO",'caseload data'!$C:$C,'custody caseload'!$T$15,'caseload data'!$B:$B,"custody")</f>
        <v>0</v>
      </c>
      <c r="Z18" s="145">
        <f>SUMIFS('caseload data'!J:J,'caseload data'!$D:$D,"PSO",'caseload data'!$C:$C,'custody caseload'!$T$15,'caseload data'!$B:$B,"custody")</f>
        <v>0</v>
      </c>
      <c r="AA18" s="145">
        <f>SUMIFS('caseload data'!K:K,'caseload data'!$D:$D,"PSO",'caseload data'!$C:$C,'custody caseload'!$T$15,'caseload data'!$B:$B,"custody")</f>
        <v>0</v>
      </c>
      <c r="AB18" s="145">
        <f>SUMIFS('caseload data'!L:L,'caseload data'!$D:$D,"PSO",'caseload data'!$C:$C,'custody caseload'!$T$15,'caseload data'!$B:$B,"custody")</f>
        <v>0</v>
      </c>
      <c r="AC18" s="94">
        <f>SUMIFS('caseload data'!M:M,'caseload data'!$D:$D,"PSO",'caseload data'!$C:$C,'custody caseload'!$T$15,'caseload data'!$B:$B,"custody")</f>
        <v>0</v>
      </c>
      <c r="AD18" s="94">
        <f>SUMIFS('caseload data'!N:N,'caseload data'!$D:$D,"PSO",'caseload data'!$C:$C,'custody caseload'!$T$15,'caseload data'!$B:$B,"custody")</f>
        <v>0</v>
      </c>
      <c r="AE18" s="94">
        <f>SUMIFS('caseload data'!O:O,'caseload data'!$D:$D,"PSO",'caseload data'!$C:$C,'custody caseload'!$T$15,'caseload data'!$B:$B,"custody")</f>
        <v>0</v>
      </c>
      <c r="AF18" s="94">
        <f>SUMIFS('caseload data'!P:P,'caseload data'!$D:$D,"PSO",'caseload data'!$C:$C,'custody caseload'!$T$15,'caseload data'!$B:$B,"custody")</f>
        <v>0</v>
      </c>
      <c r="AG18" s="94">
        <f>SUMIFS('caseload data'!Q:Q,'caseload data'!$D:$D,"PSO",'caseload data'!$C:$C,'custody caseload'!$T$15,'caseload data'!$B:$B,"custody")</f>
        <v>0</v>
      </c>
      <c r="AH18" s="94">
        <f>SUMIFS('caseload data'!R:R,'caseload data'!$D:$D,"PSO",'caseload data'!$C:$C,'custody caseload'!$T$15,'caseload data'!$B:$B,"custody")</f>
        <v>0</v>
      </c>
      <c r="AI18" s="94">
        <f>SUMIFS('caseload data'!S:S,'caseload data'!$D:$D,"PSO",'caseload data'!$C:$C,'custody caseload'!$T$15,'caseload data'!$B:$B,"custody")</f>
        <v>0</v>
      </c>
      <c r="AJ18" s="94">
        <f>SUMIFS('caseload data'!T:T,'caseload data'!$D:$D,"PSO",'caseload data'!$C:$C,'custody caseload'!$T$15,'caseload data'!$B:$B,"custody")</f>
        <v>0</v>
      </c>
    </row>
    <row r="19" spans="2:36" ht="15" x14ac:dyDescent="0.2">
      <c r="B19" s="97" t="s">
        <v>1003</v>
      </c>
      <c r="C19" s="145">
        <f>SUMIFS('caseload data'!E:E,'caseload data'!$D:$D,"TPO",'caseload data'!$C:$C,'custody caseload'!$B$15,'caseload data'!$B:$B,"custody")</f>
        <v>0</v>
      </c>
      <c r="D19" s="145">
        <f>SUMIFS('caseload data'!F:F,'caseload data'!$D:$D,"TPO",'caseload data'!$C:$C,'custody caseload'!$B$15,'caseload data'!$B:$B,"custody")</f>
        <v>0</v>
      </c>
      <c r="E19" s="145">
        <f>SUMIFS('caseload data'!G:G,'caseload data'!$D:$D,"TPO",'caseload data'!$C:$C,'custody caseload'!$B$15,'caseload data'!$B:$B,"custody")</f>
        <v>0</v>
      </c>
      <c r="F19" s="145">
        <f>SUMIFS('caseload data'!H:H,'caseload data'!$D:$D,"TPO",'caseload data'!$C:$C,'custody caseload'!$B$15,'caseload data'!$B:$B,"custody")</f>
        <v>0</v>
      </c>
      <c r="G19" s="145">
        <f>SUMIFS('caseload data'!I:I,'caseload data'!$D:$D,"TPO",'caseload data'!$C:$C,'custody caseload'!$B$15,'caseload data'!$B:$B,"custody")</f>
        <v>0</v>
      </c>
      <c r="H19" s="145">
        <f>SUMIFS('caseload data'!J:J,'caseload data'!$D:$D,"TPO",'caseload data'!$C:$C,'custody caseload'!$B$15,'caseload data'!$B:$B,"custody")</f>
        <v>0</v>
      </c>
      <c r="I19" s="145">
        <f>SUMIFS('caseload data'!K:K,'caseload data'!$D:$D,"TPO",'caseload data'!$C:$C,'custody caseload'!$B$15,'caseload data'!$B:$B,"custody")</f>
        <v>0</v>
      </c>
      <c r="J19" s="145">
        <f>SUMIFS('caseload data'!L:L,'caseload data'!$D:$D,"TPO",'caseload data'!$C:$C,'custody caseload'!$B$15,'caseload data'!$B:$B,"custody")</f>
        <v>0</v>
      </c>
      <c r="K19" s="94">
        <f>SUMIFS('caseload data'!M:M,'caseload data'!$D:$D,"TPO",'caseload data'!$C:$C,'custody caseload'!$B$15,'caseload data'!$B:$B,"custody")</f>
        <v>0</v>
      </c>
      <c r="L19" s="94">
        <f>SUMIFS('caseload data'!N:N,'caseload data'!$D:$D,"TPO",'caseload data'!$C:$C,'custody caseload'!$B$15,'caseload data'!$B:$B,"custody")</f>
        <v>0</v>
      </c>
      <c r="M19" s="94">
        <f>SUMIFS('caseload data'!O:O,'caseload data'!$D:$D,"TPO",'caseload data'!$C:$C,'custody caseload'!$B$15,'caseload data'!$B:$B,"custody")</f>
        <v>0</v>
      </c>
      <c r="N19" s="94">
        <f>SUMIFS('caseload data'!P:P,'caseload data'!$D:$D,"TPO",'caseload data'!$C:$C,'custody caseload'!$B$15,'caseload data'!$B:$B,"custody")</f>
        <v>0</v>
      </c>
      <c r="O19" s="94">
        <f>SUMIFS('caseload data'!Q:Q,'caseload data'!$D:$D,"TPO",'caseload data'!$C:$C,'custody caseload'!$B$15,'caseload data'!$B:$B,"custody")</f>
        <v>0</v>
      </c>
      <c r="P19" s="94">
        <f>SUMIFS('caseload data'!R:R,'caseload data'!$D:$D,"TPO",'caseload data'!$C:$C,'custody caseload'!$B$15,'caseload data'!$B:$B,"custody")</f>
        <v>0</v>
      </c>
      <c r="Q19" s="94">
        <f>SUMIFS('caseload data'!S:S,'caseload data'!$D:$D,"TPO",'caseload data'!$C:$C,'custody caseload'!$B$15,'caseload data'!$B:$B,"custody")</f>
        <v>0</v>
      </c>
      <c r="R19" s="94">
        <f>SUMIFS('caseload data'!T:T,'caseload data'!$D:$D,"TPO",'caseload data'!$C:$C,'custody caseload'!$B$15,'caseload data'!$B:$B,"custody")</f>
        <v>0</v>
      </c>
      <c r="S19" s="64"/>
      <c r="T19" s="97" t="s">
        <v>1003</v>
      </c>
      <c r="U19" s="145">
        <f>SUMIFS('caseload data'!E:E,'caseload data'!$D:$D,"TPO",'caseload data'!$C:$C,'custody caseload'!$T$15,'caseload data'!$B:$B,"custody")</f>
        <v>0</v>
      </c>
      <c r="V19" s="145">
        <f>SUMIFS('caseload data'!F:F,'caseload data'!$D:$D,"TPO",'caseload data'!$C:$C,'custody caseload'!$T$15,'caseload data'!$B:$B,"custody")</f>
        <v>0</v>
      </c>
      <c r="W19" s="145">
        <f>SUMIFS('caseload data'!G:G,'caseload data'!$D:$D,"TPO",'caseload data'!$C:$C,'custody caseload'!$T$15,'caseload data'!$B:$B,"custody")</f>
        <v>0</v>
      </c>
      <c r="X19" s="145">
        <f>SUMIFS('caseload data'!H:H,'caseload data'!$D:$D,"TPO",'caseload data'!$C:$C,'custody caseload'!$T$15,'caseload data'!$B:$B,"custody")</f>
        <v>0</v>
      </c>
      <c r="Y19" s="145">
        <f>SUMIFS('caseload data'!I:I,'caseload data'!$D:$D,"TPO",'caseload data'!$C:$C,'custody caseload'!$T$15,'caseload data'!$B:$B,"custody")</f>
        <v>0</v>
      </c>
      <c r="Z19" s="145">
        <f>SUMIFS('caseload data'!J:J,'caseload data'!$D:$D,"TPO",'caseload data'!$C:$C,'custody caseload'!$T$15,'caseload data'!$B:$B,"custody")</f>
        <v>0</v>
      </c>
      <c r="AA19" s="145">
        <f>SUMIFS('caseload data'!K:K,'caseload data'!$D:$D,"TPO",'caseload data'!$C:$C,'custody caseload'!$T$15,'caseload data'!$B:$B,"custody")</f>
        <v>0</v>
      </c>
      <c r="AB19" s="145">
        <f>SUMIFS('caseload data'!L:L,'caseload data'!$D:$D,"TPO",'caseload data'!$C:$C,'custody caseload'!$T$15,'caseload data'!$B:$B,"custody")</f>
        <v>0</v>
      </c>
      <c r="AC19" s="94">
        <f>SUMIFS('caseload data'!M:M,'caseload data'!$D:$D,"TPO",'caseload data'!$C:$C,'custody caseload'!$T$15,'caseload data'!$B:$B,"custody")</f>
        <v>0</v>
      </c>
      <c r="AD19" s="94">
        <f>SUMIFS('caseload data'!N:N,'caseload data'!$D:$D,"TPO",'caseload data'!$C:$C,'custody caseload'!$T$15,'caseload data'!$B:$B,"custody")</f>
        <v>0</v>
      </c>
      <c r="AE19" s="94">
        <f>SUMIFS('caseload data'!O:O,'caseload data'!$D:$D,"TPO",'caseload data'!$C:$C,'custody caseload'!$T$15,'caseload data'!$B:$B,"custody")</f>
        <v>0</v>
      </c>
      <c r="AF19" s="94">
        <f>SUMIFS('caseload data'!P:P,'caseload data'!$D:$D,"TPO",'caseload data'!$C:$C,'custody caseload'!$T$15,'caseload data'!$B:$B,"custody")</f>
        <v>0</v>
      </c>
      <c r="AG19" s="94">
        <f>SUMIFS('caseload data'!Q:Q,'caseload data'!$D:$D,"TPO",'caseload data'!$C:$C,'custody caseload'!$T$15,'caseload data'!$B:$B,"custody")</f>
        <v>0</v>
      </c>
      <c r="AH19" s="94">
        <f>SUMIFS('caseload data'!R:R,'caseload data'!$D:$D,"TPO",'caseload data'!$C:$C,'custody caseload'!$T$15,'caseload data'!$B:$B,"custody")</f>
        <v>0</v>
      </c>
      <c r="AI19" s="94">
        <f>SUMIFS('caseload data'!S:S,'caseload data'!$D:$D,"TPO",'caseload data'!$C:$C,'custody caseload'!$T$15,'caseload data'!$B:$B,"custody")</f>
        <v>0</v>
      </c>
      <c r="AJ19" s="94">
        <f>SUMIFS('caseload data'!T:T,'caseload data'!$D:$D,"TPO",'caseload data'!$C:$C,'custody caseload'!$T$15,'caseload data'!$B:$B,"custody")</f>
        <v>0</v>
      </c>
    </row>
    <row r="20" spans="2:36" x14ac:dyDescent="0.15">
      <c r="B20" s="98" t="s">
        <v>1004</v>
      </c>
      <c r="C20" s="94">
        <f>SUMIFS('caseload data'!E:E,'caseload data'!$D:$D,"SPO",'caseload data'!$C:$C,'custody caseload'!$B$15,'caseload data'!$B:$B,"custody")</f>
        <v>0</v>
      </c>
      <c r="D20" s="94">
        <f>SUMIFS('caseload data'!F:F,'caseload data'!$D:$D,"SPO",'caseload data'!$C:$C,'custody caseload'!$B$15,'caseload data'!$B:$B,"custody")</f>
        <v>0</v>
      </c>
      <c r="E20" s="94">
        <f>SUMIFS('caseload data'!G:G,'caseload data'!$D:$D,"SPO",'caseload data'!$C:$C,'custody caseload'!$B$15,'caseload data'!$B:$B,"custody")</f>
        <v>0</v>
      </c>
      <c r="F20" s="94">
        <f>SUMIFS('caseload data'!H:H,'caseload data'!$D:$D,"SPO",'caseload data'!$C:$C,'custody caseload'!$B$15,'caseload data'!$B:$B,"custody")</f>
        <v>0</v>
      </c>
      <c r="G20" s="94">
        <f>SUMIFS('caseload data'!I:I,'caseload data'!$D:$D,"SPO",'caseload data'!$C:$C,'custody caseload'!$B$15,'caseload data'!$B:$B,"custody")</f>
        <v>0</v>
      </c>
      <c r="H20" s="94">
        <f>SUMIFS('caseload data'!J:J,'caseload data'!$D:$D,"SPO",'caseload data'!$C:$C,'custody caseload'!$B$15,'caseload data'!$B:$B,"custody")</f>
        <v>0</v>
      </c>
      <c r="I20" s="94">
        <f>SUMIFS('caseload data'!K:K,'caseload data'!$D:$D,"SPO",'caseload data'!$C:$C,'custody caseload'!$B$15,'caseload data'!$B:$B,"custody")</f>
        <v>0</v>
      </c>
      <c r="J20" s="94">
        <f>SUMIFS('caseload data'!L:L,'caseload data'!$D:$D,"SPO",'caseload data'!$C:$C,'custody caseload'!$B$15,'caseload data'!$B:$B,"custody")</f>
        <v>0</v>
      </c>
      <c r="K20" s="94">
        <f>SUMIFS('caseload data'!M:M,'caseload data'!$D:$D,"SPO",'caseload data'!$C:$C,'custody caseload'!$B$15,'caseload data'!$B:$B,"custody")</f>
        <v>0</v>
      </c>
      <c r="L20" s="94">
        <f>SUMIFS('caseload data'!N:N,'caseload data'!$D:$D,"SPO",'caseload data'!$C:$C,'custody caseload'!$B$15,'caseload data'!$B:$B,"custody")</f>
        <v>0</v>
      </c>
      <c r="M20" s="94">
        <f>SUMIFS('caseload data'!O:O,'caseload data'!$D:$D,"SPO",'caseload data'!$C:$C,'custody caseload'!$B$15,'caseload data'!$B:$B,"custody")</f>
        <v>0</v>
      </c>
      <c r="N20" s="94">
        <f>SUMIFS('caseload data'!P:P,'caseload data'!$D:$D,"SPO",'caseload data'!$C:$C,'custody caseload'!$B$15,'caseload data'!$B:$B,"custody")</f>
        <v>0</v>
      </c>
      <c r="O20" s="94">
        <f>SUMIFS('caseload data'!Q:Q,'caseload data'!$D:$D,"SPO",'caseload data'!$C:$C,'custody caseload'!$B$15,'caseload data'!$B:$B,"custody")</f>
        <v>0</v>
      </c>
      <c r="P20" s="94">
        <f>SUMIFS('caseload data'!R:R,'caseload data'!$D:$D,"SPO",'caseload data'!$C:$C,'custody caseload'!$B$15,'caseload data'!$B:$B,"custody")</f>
        <v>0</v>
      </c>
      <c r="Q20" s="94">
        <f>SUMIFS('caseload data'!S:S,'caseload data'!$D:$D,"SPO",'caseload data'!$C:$C,'custody caseload'!$B$15,'caseload data'!$B:$B,"custody")</f>
        <v>0</v>
      </c>
      <c r="R20" s="94">
        <f>SUMIFS('caseload data'!T:T,'caseload data'!$D:$D,"SPO",'caseload data'!$C:$C,'custody caseload'!$B$15,'caseload data'!$B:$B,"custody")</f>
        <v>0</v>
      </c>
      <c r="S20" s="64"/>
      <c r="T20" s="98" t="s">
        <v>1004</v>
      </c>
      <c r="U20" s="94">
        <f>SUMIFS('caseload data'!E:E,'caseload data'!$D:$D,"SPO",'caseload data'!$C:$C,'custody caseload'!$T$15,'caseload data'!$B:$B,"custody")</f>
        <v>0</v>
      </c>
      <c r="V20" s="94">
        <f>SUMIFS('caseload data'!F:F,'caseload data'!$D:$D,"SPO",'caseload data'!$C:$C,'custody caseload'!$T$15,'caseload data'!$B:$B,"custody")</f>
        <v>0</v>
      </c>
      <c r="W20" s="94">
        <f>SUMIFS('caseload data'!G:G,'caseload data'!$D:$D,"SPO",'caseload data'!$C:$C,'custody caseload'!$T$15,'caseload data'!$B:$B,"custody")</f>
        <v>0</v>
      </c>
      <c r="X20" s="94">
        <f>SUMIFS('caseload data'!H:H,'caseload data'!$D:$D,"SPO",'caseload data'!$C:$C,'custody caseload'!$T$15,'caseload data'!$B:$B,"custody")</f>
        <v>0</v>
      </c>
      <c r="Y20" s="94">
        <f>SUMIFS('caseload data'!I:I,'caseload data'!$D:$D,"SPO",'caseload data'!$C:$C,'custody caseload'!$T$15,'caseload data'!$B:$B,"custody")</f>
        <v>0</v>
      </c>
      <c r="Z20" s="94">
        <f>SUMIFS('caseload data'!J:J,'caseload data'!$D:$D,"SPO",'caseload data'!$C:$C,'custody caseload'!$T$15,'caseload data'!$B:$B,"custody")</f>
        <v>0</v>
      </c>
      <c r="AA20" s="94">
        <f>SUMIFS('caseload data'!K:K,'caseload data'!$D:$D,"SPO",'caseload data'!$C:$C,'custody caseload'!$T$15,'caseload data'!$B:$B,"custody")</f>
        <v>0</v>
      </c>
      <c r="AB20" s="94">
        <f>SUMIFS('caseload data'!L:L,'caseload data'!$D:$D,"SPO",'caseload data'!$C:$C,'custody caseload'!$T$15,'caseload data'!$B:$B,"custody")</f>
        <v>0</v>
      </c>
      <c r="AC20" s="94">
        <f>SUMIFS('caseload data'!M:M,'caseload data'!$D:$D,"SPO",'caseload data'!$C:$C,'custody caseload'!$T$15,'caseload data'!$B:$B,"custody")</f>
        <v>0</v>
      </c>
      <c r="AD20" s="94">
        <f>SUMIFS('caseload data'!N:N,'caseload data'!$D:$D,"SPO",'caseload data'!$C:$C,'custody caseload'!$T$15,'caseload data'!$B:$B,"custody")</f>
        <v>0</v>
      </c>
      <c r="AE20" s="94">
        <f>SUMIFS('caseload data'!O:O,'caseload data'!$D:$D,"SPO",'caseload data'!$C:$C,'custody caseload'!$T$15,'caseload data'!$B:$B,"custody")</f>
        <v>0</v>
      </c>
      <c r="AF20" s="94">
        <f>SUMIFS('caseload data'!P:P,'caseload data'!$D:$D,"SPO",'caseload data'!$C:$C,'custody caseload'!$T$15,'caseload data'!$B:$B,"custody")</f>
        <v>0</v>
      </c>
      <c r="AG20" s="94">
        <f>SUMIFS('caseload data'!Q:Q,'caseload data'!$D:$D,"SPO",'caseload data'!$C:$C,'custody caseload'!$T$15,'caseload data'!$B:$B,"custody")</f>
        <v>0</v>
      </c>
      <c r="AH20" s="94">
        <f>SUMIFS('caseload data'!R:R,'caseload data'!$D:$D,"SPO",'caseload data'!$C:$C,'custody caseload'!$T$15,'caseload data'!$B:$B,"custody")</f>
        <v>0</v>
      </c>
      <c r="AI20" s="94">
        <f>SUMIFS('caseload data'!S:S,'caseload data'!$D:$D,"SPO",'caseload data'!$C:$C,'custody caseload'!$T$15,'caseload data'!$B:$B,"custody")</f>
        <v>0</v>
      </c>
      <c r="AJ20" s="94">
        <f>SUMIFS('caseload data'!T:T,'caseload data'!$D:$D,"SPO",'caseload data'!$C:$C,'custody caseload'!$T$15,'caseload data'!$B:$B,"custody")</f>
        <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30.75" customHeight="1" x14ac:dyDescent="0.15">
      <c r="B22" s="142" t="str">
        <f>HLOOKUP($B$5,Region_Table,6,0)</f>
        <v>Lincolnshire East and West - N53</v>
      </c>
      <c r="C22" s="525" t="s">
        <v>1126</v>
      </c>
      <c r="D22" s="526"/>
      <c r="E22" s="526"/>
      <c r="F22" s="526"/>
      <c r="G22" s="526"/>
      <c r="H22" s="526"/>
      <c r="I22" s="526"/>
      <c r="J22" s="526"/>
      <c r="K22" s="526"/>
      <c r="L22" s="526"/>
      <c r="M22" s="535"/>
      <c r="N22" s="535"/>
      <c r="O22" s="536"/>
      <c r="P22" s="512">
        <f>SUMIFS('caseload data'!V:V,'caseload data'!B:B,"custody",'caseload data'!$C:$C,'custody caseload'!B22)</f>
        <v>0</v>
      </c>
      <c r="Q22" s="529"/>
      <c r="R22" s="530"/>
      <c r="S22" s="64"/>
      <c r="T22" s="142" t="str">
        <f>HLOOKUP($B$5,Region_Table,7,0)</f>
        <v>Nottingham City</v>
      </c>
      <c r="U22" s="525" t="s">
        <v>1126</v>
      </c>
      <c r="V22" s="526"/>
      <c r="W22" s="526"/>
      <c r="X22" s="526"/>
      <c r="Y22" s="526"/>
      <c r="Z22" s="526"/>
      <c r="AA22" s="526"/>
      <c r="AB22" s="526"/>
      <c r="AC22" s="526"/>
      <c r="AD22" s="526"/>
      <c r="AE22" s="535"/>
      <c r="AF22" s="535"/>
      <c r="AG22" s="536"/>
      <c r="AH22" s="512">
        <f>SUMIFS('caseload data'!V:V,'caseload data'!B:B,"custody",'caseload data'!$C:$C,'custody caseload'!T22)</f>
        <v>0</v>
      </c>
      <c r="AI22" s="529"/>
      <c r="AJ22" s="530"/>
    </row>
    <row r="23" spans="2:36" x14ac:dyDescent="0.15">
      <c r="B23" s="95" t="s">
        <v>1001</v>
      </c>
      <c r="C23" s="38" t="s">
        <v>864</v>
      </c>
      <c r="D23" s="38" t="s">
        <v>865</v>
      </c>
      <c r="E23" s="38" t="s">
        <v>866</v>
      </c>
      <c r="F23" s="38" t="s">
        <v>867</v>
      </c>
      <c r="G23" s="38" t="s">
        <v>868</v>
      </c>
      <c r="H23" s="38" t="s">
        <v>869</v>
      </c>
      <c r="I23" s="38" t="s">
        <v>870</v>
      </c>
      <c r="J23" s="38" t="s">
        <v>871</v>
      </c>
      <c r="K23" s="38" t="s">
        <v>872</v>
      </c>
      <c r="L23" s="38" t="s">
        <v>873</v>
      </c>
      <c r="M23" s="38" t="s">
        <v>874</v>
      </c>
      <c r="N23" s="38" t="s">
        <v>875</v>
      </c>
      <c r="O23" s="38" t="s">
        <v>876</v>
      </c>
      <c r="P23" s="38" t="s">
        <v>877</v>
      </c>
      <c r="Q23" s="38" t="s">
        <v>878</v>
      </c>
      <c r="R23" s="38" t="s">
        <v>879</v>
      </c>
      <c r="S23" s="64"/>
      <c r="T23" s="95" t="s">
        <v>1001</v>
      </c>
      <c r="U23" s="38" t="s">
        <v>864</v>
      </c>
      <c r="V23" s="38" t="s">
        <v>865</v>
      </c>
      <c r="W23" s="38" t="s">
        <v>866</v>
      </c>
      <c r="X23" s="38" t="s">
        <v>867</v>
      </c>
      <c r="Y23" s="38" t="s">
        <v>868</v>
      </c>
      <c r="Z23" s="38" t="s">
        <v>869</v>
      </c>
      <c r="AA23" s="38" t="s">
        <v>870</v>
      </c>
      <c r="AB23" s="38" t="s">
        <v>871</v>
      </c>
      <c r="AC23" s="38" t="s">
        <v>872</v>
      </c>
      <c r="AD23" s="38" t="s">
        <v>873</v>
      </c>
      <c r="AE23" s="38" t="s">
        <v>874</v>
      </c>
      <c r="AF23" s="38" t="s">
        <v>875</v>
      </c>
      <c r="AG23" s="38" t="s">
        <v>876</v>
      </c>
      <c r="AH23" s="38" t="s">
        <v>877</v>
      </c>
      <c r="AI23" s="38" t="s">
        <v>878</v>
      </c>
      <c r="AJ23" s="38" t="s">
        <v>879</v>
      </c>
    </row>
    <row r="24" spans="2:36" x14ac:dyDescent="0.15">
      <c r="B24" s="96" t="s">
        <v>997</v>
      </c>
      <c r="C24" s="94">
        <f>SUMIFS('caseload data'!E:E,'caseload data'!$D:$D,"PO",'caseload data'!$C:$C,'custody caseload'!$B$22,'caseload data'!$B:$B,"custody")</f>
        <v>0</v>
      </c>
      <c r="D24" s="94">
        <f>SUMIFS('caseload data'!F:F,'caseload data'!$D:$D,"PO",'caseload data'!$C:$C,'custody caseload'!$B$22,'caseload data'!$B:$B,"custody")</f>
        <v>0</v>
      </c>
      <c r="E24" s="94">
        <f>SUMIFS('caseload data'!G:G,'caseload data'!$D:$D,"PO",'caseload data'!$C:$C,'custody caseload'!$B$22,'caseload data'!$B:$B,"custody")</f>
        <v>0</v>
      </c>
      <c r="F24" s="94">
        <f>SUMIFS('caseload data'!H:H,'caseload data'!$D:$D,"PO",'caseload data'!$C:$C,'custody caseload'!$B$22,'caseload data'!$B:$B,"custody")</f>
        <v>0</v>
      </c>
      <c r="G24" s="94">
        <f>SUMIFS('caseload data'!I:I,'caseload data'!$D:$D,"PO",'caseload data'!$C:$C,'custody caseload'!$B$22,'caseload data'!$B:$B,"custody")</f>
        <v>0</v>
      </c>
      <c r="H24" s="94">
        <f>SUMIFS('caseload data'!J:J,'caseload data'!$D:$D,"PO",'caseload data'!$C:$C,'custody caseload'!$B$22,'caseload data'!$B:$B,"custody")</f>
        <v>0</v>
      </c>
      <c r="I24" s="94">
        <f>SUMIFS('caseload data'!K:K,'caseload data'!$D:$D,"PO",'caseload data'!$C:$C,'custody caseload'!$B$22,'caseload data'!$B:$B,"custody")</f>
        <v>0</v>
      </c>
      <c r="J24" s="94">
        <f>SUMIFS('caseload data'!L:L,'caseload data'!$D:$D,"PO",'caseload data'!$C:$C,'custody caseload'!$B$22,'caseload data'!$B:$B,"custody")</f>
        <v>0</v>
      </c>
      <c r="K24" s="94">
        <f>SUMIFS('caseload data'!M:M,'caseload data'!$D:$D,"PO",'caseload data'!$C:$C,'custody caseload'!$B$22,'caseload data'!$B:$B,"custody")</f>
        <v>0</v>
      </c>
      <c r="L24" s="94">
        <f>SUMIFS('caseload data'!N:N,'caseload data'!$D:$D,"PO",'caseload data'!$C:$C,'custody caseload'!$B$22,'caseload data'!$B:$B,"custody")</f>
        <v>0</v>
      </c>
      <c r="M24" s="94">
        <f>SUMIFS('caseload data'!O:O,'caseload data'!$D:$D,"PO",'caseload data'!$C:$C,'custody caseload'!$B$22,'caseload data'!$B:$B,"custody")</f>
        <v>0</v>
      </c>
      <c r="N24" s="94">
        <f>SUMIFS('caseload data'!P:P,'caseload data'!$D:$D,"PO",'caseload data'!$C:$C,'custody caseload'!$B$22,'caseload data'!$B:$B,"custody")</f>
        <v>0</v>
      </c>
      <c r="O24" s="94">
        <f>SUMIFS('caseload data'!Q:Q,'caseload data'!$D:$D,"PO",'caseload data'!$C:$C,'custody caseload'!$B$22,'caseload data'!$B:$B,"custody")</f>
        <v>0</v>
      </c>
      <c r="P24" s="94">
        <f>SUMIFS('caseload data'!R:R,'caseload data'!$D:$D,"PO",'caseload data'!$C:$C,'custody caseload'!$B$22,'caseload data'!$B:$B,"custody")</f>
        <v>0</v>
      </c>
      <c r="Q24" s="94">
        <f>SUMIFS('caseload data'!S:S,'caseload data'!$D:$D,"PO",'caseload data'!$C:$C,'custody caseload'!$B$22,'caseload data'!$B:$B,"custody")</f>
        <v>0</v>
      </c>
      <c r="R24" s="94">
        <f>SUMIFS('caseload data'!T:T,'caseload data'!$D:$D,"PO",'caseload data'!$C:$C,'custody caseload'!$B$22,'caseload data'!$B:$B,"custody")</f>
        <v>0</v>
      </c>
      <c r="S24" s="64"/>
      <c r="T24" s="96" t="s">
        <v>997</v>
      </c>
      <c r="U24" s="94">
        <f>SUMIFS('caseload data'!E:E,'caseload data'!$D:$D,"PO",'caseload data'!$C:$C,'custody caseload'!$T$22,'caseload data'!$B:$B,"custody")</f>
        <v>0</v>
      </c>
      <c r="V24" s="94">
        <f>SUMIFS('caseload data'!F:F,'caseload data'!$D:$D,"PO",'caseload data'!$C:$C,'custody caseload'!$T$22,'caseload data'!$B:$B,"custody")</f>
        <v>0</v>
      </c>
      <c r="W24" s="94">
        <f>SUMIFS('caseload data'!G:G,'caseload data'!$D:$D,"PO",'caseload data'!$C:$C,'custody caseload'!$T$22,'caseload data'!$B:$B,"custody")</f>
        <v>0</v>
      </c>
      <c r="X24" s="94">
        <f>SUMIFS('caseload data'!H:H,'caseload data'!$D:$D,"PO",'caseload data'!$C:$C,'custody caseload'!$T$22,'caseload data'!$B:$B,"custody")</f>
        <v>0</v>
      </c>
      <c r="Y24" s="94">
        <f>SUMIFS('caseload data'!I:I,'caseload data'!$D:$D,"PO",'caseload data'!$C:$C,'custody caseload'!$T$22,'caseload data'!$B:$B,"custody")</f>
        <v>0</v>
      </c>
      <c r="Z24" s="94">
        <f>SUMIFS('caseload data'!J:J,'caseload data'!$D:$D,"PO",'caseload data'!$C:$C,'custody caseload'!$T$22,'caseload data'!$B:$B,"custody")</f>
        <v>0</v>
      </c>
      <c r="AA24" s="94">
        <f>SUMIFS('caseload data'!K:K,'caseload data'!$D:$D,"PO",'caseload data'!$C:$C,'custody caseload'!$T$22,'caseload data'!$B:$B,"custody")</f>
        <v>0</v>
      </c>
      <c r="AB24" s="94">
        <f>SUMIFS('caseload data'!L:L,'caseload data'!$D:$D,"PO",'caseload data'!$C:$C,'custody caseload'!$T$22,'caseload data'!$B:$B,"custody")</f>
        <v>0</v>
      </c>
      <c r="AC24" s="94">
        <f>SUMIFS('caseload data'!M:M,'caseload data'!$D:$D,"PO",'caseload data'!$C:$C,'custody caseload'!$T$22,'caseload data'!$B:$B,"custody")</f>
        <v>0</v>
      </c>
      <c r="AD24" s="94">
        <f>SUMIFS('caseload data'!N:N,'caseload data'!$D:$D,"PO",'caseload data'!$C:$C,'custody caseload'!$T$22,'caseload data'!$B:$B,"custody")</f>
        <v>0</v>
      </c>
      <c r="AE24" s="94">
        <f>SUMIFS('caseload data'!O:O,'caseload data'!$D:$D,"PO",'caseload data'!$C:$C,'custody caseload'!$T$22,'caseload data'!$B:$B,"custody")</f>
        <v>0</v>
      </c>
      <c r="AF24" s="94">
        <f>SUMIFS('caseload data'!P:P,'caseload data'!$D:$D,"PO",'caseload data'!$C:$C,'custody caseload'!$T$22,'caseload data'!$B:$B,"custody")</f>
        <v>0</v>
      </c>
      <c r="AG24" s="94">
        <f>SUMIFS('caseload data'!Q:Q,'caseload data'!$D:$D,"PO",'caseload data'!$C:$C,'custody caseload'!$T$22,'caseload data'!$B:$B,"custody")</f>
        <v>0</v>
      </c>
      <c r="AH24" s="94">
        <f>SUMIFS('caseload data'!R:R,'caseload data'!$D:$D,"PO",'caseload data'!$C:$C,'custody caseload'!$T$22,'caseload data'!$B:$B,"custody")</f>
        <v>0</v>
      </c>
      <c r="AI24" s="94">
        <f>SUMIFS('caseload data'!S:S,'caseload data'!$D:$D,"PO",'caseload data'!$C:$C,'custody caseload'!$T$22,'caseload data'!$B:$B,"custody")</f>
        <v>0</v>
      </c>
      <c r="AJ24" s="94">
        <f>SUMIFS('caseload data'!T:T,'caseload data'!$D:$D,"PO",'caseload data'!$C:$C,'custody caseload'!$T$22,'caseload data'!$B:$B,"custody")</f>
        <v>0</v>
      </c>
    </row>
    <row r="25" spans="2:36" ht="15" x14ac:dyDescent="0.2">
      <c r="B25" s="97" t="s">
        <v>1002</v>
      </c>
      <c r="C25" s="145">
        <f>SUMIFS('caseload data'!E:E,'caseload data'!$D:$D,"PSO",'caseload data'!$C:$C,'custody caseload'!$B$22,'caseload data'!$B:$B,"custody")</f>
        <v>0</v>
      </c>
      <c r="D25" s="145">
        <f>SUMIFS('caseload data'!F:F,'caseload data'!$D:$D,"PSO",'caseload data'!$C:$C,'custody caseload'!$B$22,'caseload data'!$B:$B,"custody")</f>
        <v>0</v>
      </c>
      <c r="E25" s="145">
        <f>SUMIFS('caseload data'!G:G,'caseload data'!$D:$D,"PSO",'caseload data'!$C:$C,'custody caseload'!$B$22,'caseload data'!$B:$B,"custody")</f>
        <v>0</v>
      </c>
      <c r="F25" s="145">
        <f>SUMIFS('caseload data'!H:H,'caseload data'!$D:$D,"PSO",'caseload data'!$C:$C,'custody caseload'!$B$22,'caseload data'!$B:$B,"custody")</f>
        <v>0</v>
      </c>
      <c r="G25" s="145">
        <f>SUMIFS('caseload data'!I:I,'caseload data'!$D:$D,"PSO",'caseload data'!$C:$C,'custody caseload'!$B$22,'caseload data'!$B:$B,"custody")</f>
        <v>0</v>
      </c>
      <c r="H25" s="145">
        <f>SUMIFS('caseload data'!J:J,'caseload data'!$D:$D,"PSO",'caseload data'!$C:$C,'custody caseload'!$B$22,'caseload data'!$B:$B,"custody")</f>
        <v>0</v>
      </c>
      <c r="I25" s="145">
        <f>SUMIFS('caseload data'!K:K,'caseload data'!$D:$D,"PSO",'caseload data'!$C:$C,'custody caseload'!$B$22,'caseload data'!$B:$B,"custody")</f>
        <v>0</v>
      </c>
      <c r="J25" s="145">
        <f>SUMIFS('caseload data'!L:L,'caseload data'!$D:$D,"PSO",'caseload data'!$C:$C,'custody caseload'!$B$22,'caseload data'!$B:$B,"custody")</f>
        <v>0</v>
      </c>
      <c r="K25" s="94">
        <f>SUMIFS('caseload data'!M:M,'caseload data'!$D:$D,"PSO",'caseload data'!$C:$C,'custody caseload'!$B$22,'caseload data'!$B:$B,"custody")</f>
        <v>0</v>
      </c>
      <c r="L25" s="94">
        <f>SUMIFS('caseload data'!N:N,'caseload data'!$D:$D,"PSO",'caseload data'!$C:$C,'custody caseload'!$B$22,'caseload data'!$B:$B,"custody")</f>
        <v>0</v>
      </c>
      <c r="M25" s="94">
        <f>SUMIFS('caseload data'!O:O,'caseload data'!$D:$D,"PSO",'caseload data'!$C:$C,'custody caseload'!$B$22,'caseload data'!$B:$B,"custody")</f>
        <v>0</v>
      </c>
      <c r="N25" s="94">
        <f>SUMIFS('caseload data'!P:P,'caseload data'!$D:$D,"PSO",'caseload data'!$C:$C,'custody caseload'!$B$22,'caseload data'!$B:$B,"custody")</f>
        <v>0</v>
      </c>
      <c r="O25" s="94">
        <f>SUMIFS('caseload data'!Q:Q,'caseload data'!$D:$D,"PSO",'caseload data'!$C:$C,'custody caseload'!$B$22,'caseload data'!$B:$B,"custody")</f>
        <v>0</v>
      </c>
      <c r="P25" s="94">
        <f>SUMIFS('caseload data'!R:R,'caseload data'!$D:$D,"PSO",'caseload data'!$C:$C,'custody caseload'!$B$22,'caseload data'!$B:$B,"custody")</f>
        <v>0</v>
      </c>
      <c r="Q25" s="94">
        <f>SUMIFS('caseload data'!S:S,'caseload data'!$D:$D,"PSO",'caseload data'!$C:$C,'custody caseload'!$B$22,'caseload data'!$B:$B,"custody")</f>
        <v>0</v>
      </c>
      <c r="R25" s="94">
        <f>SUMIFS('caseload data'!T:T,'caseload data'!$D:$D,"PSO",'caseload data'!$C:$C,'custody caseload'!$B$22,'caseload data'!$B:$B,"custody")</f>
        <v>0</v>
      </c>
      <c r="S25" s="64"/>
      <c r="T25" s="97" t="s">
        <v>1002</v>
      </c>
      <c r="U25" s="145">
        <f>SUMIFS('caseload data'!E:E,'caseload data'!$D:$D,"PSO",'caseload data'!$C:$C,'custody caseload'!$T$22,'caseload data'!$B:$B,"custody")</f>
        <v>0</v>
      </c>
      <c r="V25" s="145">
        <f>SUMIFS('caseload data'!F:F,'caseload data'!$D:$D,"PSO",'caseload data'!$C:$C,'custody caseload'!$T$22,'caseload data'!$B:$B,"custody")</f>
        <v>0</v>
      </c>
      <c r="W25" s="145">
        <f>SUMIFS('caseload data'!G:G,'caseload data'!$D:$D,"PSO",'caseload data'!$C:$C,'custody caseload'!$T$22,'caseload data'!$B:$B,"custody")</f>
        <v>0</v>
      </c>
      <c r="X25" s="145">
        <f>SUMIFS('caseload data'!H:H,'caseload data'!$D:$D,"PSO",'caseload data'!$C:$C,'custody caseload'!$T$22,'caseload data'!$B:$B,"custody")</f>
        <v>0</v>
      </c>
      <c r="Y25" s="145">
        <f>SUMIFS('caseload data'!I:I,'caseload data'!$D:$D,"PSO",'caseload data'!$C:$C,'custody caseload'!$T$22,'caseload data'!$B:$B,"custody")</f>
        <v>0</v>
      </c>
      <c r="Z25" s="145">
        <f>SUMIFS('caseload data'!J:J,'caseload data'!$D:$D,"PSO",'caseload data'!$C:$C,'custody caseload'!$T$22,'caseload data'!$B:$B,"custody")</f>
        <v>0</v>
      </c>
      <c r="AA25" s="145">
        <f>SUMIFS('caseload data'!K:K,'caseload data'!$D:$D,"PSO",'caseload data'!$C:$C,'custody caseload'!$T$22,'caseload data'!$B:$B,"custody")</f>
        <v>0</v>
      </c>
      <c r="AB25" s="145">
        <f>SUMIFS('caseload data'!L:L,'caseload data'!$D:$D,"PSO",'caseload data'!$C:$C,'custody caseload'!$T$22,'caseload data'!$B:$B,"custody")</f>
        <v>0</v>
      </c>
      <c r="AC25" s="94">
        <f>SUMIFS('caseload data'!M:M,'caseload data'!$D:$D,"PSO",'caseload data'!$C:$C,'custody caseload'!$T$22,'caseload data'!$B:$B,"custody")</f>
        <v>0</v>
      </c>
      <c r="AD25" s="94">
        <f>SUMIFS('caseload data'!N:N,'caseload data'!$D:$D,"PSO",'caseload data'!$C:$C,'custody caseload'!$T$22,'caseload data'!$B:$B,"custody")</f>
        <v>0</v>
      </c>
      <c r="AE25" s="94">
        <f>SUMIFS('caseload data'!O:O,'caseload data'!$D:$D,"PSO",'caseload data'!$C:$C,'custody caseload'!$T$22,'caseload data'!$B:$B,"custody")</f>
        <v>0</v>
      </c>
      <c r="AF25" s="94">
        <f>SUMIFS('caseload data'!P:P,'caseload data'!$D:$D,"PSO",'caseload data'!$C:$C,'custody caseload'!$T$22,'caseload data'!$B:$B,"custody")</f>
        <v>0</v>
      </c>
      <c r="AG25" s="94">
        <f>SUMIFS('caseload data'!Q:Q,'caseload data'!$D:$D,"PSO",'caseload data'!$C:$C,'custody caseload'!$T$22,'caseload data'!$B:$B,"custody")</f>
        <v>0</v>
      </c>
      <c r="AH25" s="94">
        <f>SUMIFS('caseload data'!R:R,'caseload data'!$D:$D,"PSO",'caseload data'!$C:$C,'custody caseload'!$T$22,'caseload data'!$B:$B,"custody")</f>
        <v>0</v>
      </c>
      <c r="AI25" s="94">
        <f>SUMIFS('caseload data'!S:S,'caseload data'!$D:$D,"PSO",'caseload data'!$C:$C,'custody caseload'!$T$22,'caseload data'!$B:$B,"custody")</f>
        <v>0</v>
      </c>
      <c r="AJ25" s="94">
        <f>SUMIFS('caseload data'!T:T,'caseload data'!$D:$D,"PSO",'caseload data'!$C:$C,'custody caseload'!$T$22,'caseload data'!$B:$B,"custody")</f>
        <v>0</v>
      </c>
    </row>
    <row r="26" spans="2:36" ht="15" x14ac:dyDescent="0.2">
      <c r="B26" s="97" t="s">
        <v>1003</v>
      </c>
      <c r="C26" s="145">
        <f>SUMIFS('caseload data'!E:E,'caseload data'!$D:$D,"TPO",'caseload data'!$C:$C,'custody caseload'!$B$22,'caseload data'!$B:$B,"custody")</f>
        <v>0</v>
      </c>
      <c r="D26" s="145">
        <f>SUMIFS('caseload data'!F:F,'caseload data'!$D:$D,"TPO",'caseload data'!$C:$C,'custody caseload'!$B$22,'caseload data'!$B:$B,"custody")</f>
        <v>0</v>
      </c>
      <c r="E26" s="145">
        <f>SUMIFS('caseload data'!G:G,'caseload data'!$D:$D,"TPO",'caseload data'!$C:$C,'custody caseload'!$B$22,'caseload data'!$B:$B,"custody")</f>
        <v>0</v>
      </c>
      <c r="F26" s="145">
        <f>SUMIFS('caseload data'!H:H,'caseload data'!$D:$D,"TPO",'caseload data'!$C:$C,'custody caseload'!$B$22,'caseload data'!$B:$B,"custody")</f>
        <v>0</v>
      </c>
      <c r="G26" s="145">
        <f>SUMIFS('caseload data'!I:I,'caseload data'!$D:$D,"TPO",'caseload data'!$C:$C,'custody caseload'!$B$22,'caseload data'!$B:$B,"custody")</f>
        <v>0</v>
      </c>
      <c r="H26" s="145">
        <f>SUMIFS('caseload data'!J:J,'caseload data'!$D:$D,"TPO",'caseload data'!$C:$C,'custody caseload'!$B$22,'caseload data'!$B:$B,"custody")</f>
        <v>0</v>
      </c>
      <c r="I26" s="145">
        <f>SUMIFS('caseload data'!K:K,'caseload data'!$D:$D,"TPO",'caseload data'!$C:$C,'custody caseload'!$B$22,'caseload data'!$B:$B,"custody")</f>
        <v>0</v>
      </c>
      <c r="J26" s="145">
        <f>SUMIFS('caseload data'!L:L,'caseload data'!$D:$D,"TPO",'caseload data'!$C:$C,'custody caseload'!$B$22,'caseload data'!$B:$B,"custody")</f>
        <v>0</v>
      </c>
      <c r="K26" s="94">
        <f>SUMIFS('caseload data'!M:M,'caseload data'!$D:$D,"TPO",'caseload data'!$C:$C,'custody caseload'!$B$22,'caseload data'!$B:$B,"custody")</f>
        <v>0</v>
      </c>
      <c r="L26" s="94">
        <f>SUMIFS('caseload data'!N:N,'caseload data'!$D:$D,"TPO",'caseload data'!$C:$C,'custody caseload'!$B$22,'caseload data'!$B:$B,"custody")</f>
        <v>0</v>
      </c>
      <c r="M26" s="94">
        <f>SUMIFS('caseload data'!O:O,'caseload data'!$D:$D,"TPO",'caseload data'!$C:$C,'custody caseload'!$B$22,'caseload data'!$B:$B,"custody")</f>
        <v>0</v>
      </c>
      <c r="N26" s="94">
        <f>SUMIFS('caseload data'!P:P,'caseload data'!$D:$D,"TPO",'caseload data'!$C:$C,'custody caseload'!$B$22,'caseload data'!$B:$B,"custody")</f>
        <v>0</v>
      </c>
      <c r="O26" s="94">
        <f>SUMIFS('caseload data'!Q:Q,'caseload data'!$D:$D,"TPO",'caseload data'!$C:$C,'custody caseload'!$B$22,'caseload data'!$B:$B,"custody")</f>
        <v>0</v>
      </c>
      <c r="P26" s="94">
        <f>SUMIFS('caseload data'!R:R,'caseload data'!$D:$D,"TPO",'caseload data'!$C:$C,'custody caseload'!$B$22,'caseload data'!$B:$B,"custody")</f>
        <v>0</v>
      </c>
      <c r="Q26" s="94">
        <f>SUMIFS('caseload data'!S:S,'caseload data'!$D:$D,"TPO",'caseload data'!$C:$C,'custody caseload'!$B$22,'caseload data'!$B:$B,"custody")</f>
        <v>0</v>
      </c>
      <c r="R26" s="94">
        <f>SUMIFS('caseload data'!T:T,'caseload data'!$D:$D,"TPO",'caseload data'!$C:$C,'custody caseload'!$B$22,'caseload data'!$B:$B,"custody")</f>
        <v>0</v>
      </c>
      <c r="S26" s="64"/>
      <c r="T26" s="97" t="s">
        <v>1003</v>
      </c>
      <c r="U26" s="145">
        <f>SUMIFS('caseload data'!E:E,'caseload data'!$D:$D,"TPO",'caseload data'!$C:$C,'custody caseload'!$T$22,'caseload data'!$B:$B,"custody")</f>
        <v>0</v>
      </c>
      <c r="V26" s="145">
        <f>SUMIFS('caseload data'!F:F,'caseload data'!$D:$D,"TPO",'caseload data'!$C:$C,'custody caseload'!$T$22,'caseload data'!$B:$B,"custody")</f>
        <v>0</v>
      </c>
      <c r="W26" s="145">
        <f>SUMIFS('caseload data'!G:G,'caseload data'!$D:$D,"TPO",'caseload data'!$C:$C,'custody caseload'!$T$22,'caseload data'!$B:$B,"custody")</f>
        <v>0</v>
      </c>
      <c r="X26" s="145">
        <f>SUMIFS('caseload data'!H:H,'caseload data'!$D:$D,"TPO",'caseload data'!$C:$C,'custody caseload'!$T$22,'caseload data'!$B:$B,"custody")</f>
        <v>0</v>
      </c>
      <c r="Y26" s="145">
        <f>SUMIFS('caseload data'!I:I,'caseload data'!$D:$D,"TPO",'caseload data'!$C:$C,'custody caseload'!$T$22,'caseload data'!$B:$B,"custody")</f>
        <v>0</v>
      </c>
      <c r="Z26" s="145">
        <f>SUMIFS('caseload data'!J:J,'caseload data'!$D:$D,"TPO",'caseload data'!$C:$C,'custody caseload'!$T$22,'caseload data'!$B:$B,"custody")</f>
        <v>0</v>
      </c>
      <c r="AA26" s="145">
        <f>SUMIFS('caseload data'!K:K,'caseload data'!$D:$D,"TPO",'caseload data'!$C:$C,'custody caseload'!$T$22,'caseload data'!$B:$B,"custody")</f>
        <v>0</v>
      </c>
      <c r="AB26" s="145">
        <f>SUMIFS('caseload data'!L:L,'caseload data'!$D:$D,"TPO",'caseload data'!$C:$C,'custody caseload'!$T$22,'caseload data'!$B:$B,"custody")</f>
        <v>0</v>
      </c>
      <c r="AC26" s="94">
        <f>SUMIFS('caseload data'!M:M,'caseload data'!$D:$D,"TPO",'caseload data'!$C:$C,'custody caseload'!$T$22,'caseload data'!$B:$B,"custody")</f>
        <v>0</v>
      </c>
      <c r="AD26" s="94">
        <f>SUMIFS('caseload data'!N:N,'caseload data'!$D:$D,"TPO",'caseload data'!$C:$C,'custody caseload'!$T$22,'caseload data'!$B:$B,"custody")</f>
        <v>0</v>
      </c>
      <c r="AE26" s="94">
        <f>SUMIFS('caseload data'!O:O,'caseload data'!$D:$D,"TPO",'caseload data'!$C:$C,'custody caseload'!$T$22,'caseload data'!$B:$B,"custody")</f>
        <v>0</v>
      </c>
      <c r="AF26" s="94">
        <f>SUMIFS('caseload data'!P:P,'caseload data'!$D:$D,"TPO",'caseload data'!$C:$C,'custody caseload'!$T$22,'caseload data'!$B:$B,"custody")</f>
        <v>0</v>
      </c>
      <c r="AG26" s="94">
        <f>SUMIFS('caseload data'!Q:Q,'caseload data'!$D:$D,"TPO",'caseload data'!$C:$C,'custody caseload'!$T$22,'caseload data'!$B:$B,"custody")</f>
        <v>0</v>
      </c>
      <c r="AH26" s="94">
        <f>SUMIFS('caseload data'!R:R,'caseload data'!$D:$D,"TPO",'caseload data'!$C:$C,'custody caseload'!$T$22,'caseload data'!$B:$B,"custody")</f>
        <v>0</v>
      </c>
      <c r="AI26" s="94">
        <f>SUMIFS('caseload data'!S:S,'caseload data'!$D:$D,"TPO",'caseload data'!$C:$C,'custody caseload'!$T$22,'caseload data'!$B:$B,"custody")</f>
        <v>0</v>
      </c>
      <c r="AJ26" s="94">
        <f>SUMIFS('caseload data'!T:T,'caseload data'!$D:$D,"TPO",'caseload data'!$C:$C,'custody caseload'!$T$22,'caseload data'!$B:$B,"custody")</f>
        <v>0</v>
      </c>
    </row>
    <row r="27" spans="2:36" x14ac:dyDescent="0.15">
      <c r="B27" s="98" t="s">
        <v>1004</v>
      </c>
      <c r="C27" s="94">
        <f>SUMIFS('caseload data'!E:E,'caseload data'!$D:$D,"SPO",'caseload data'!$C:$C,'custody caseload'!$B$22,'caseload data'!$B:$B,"custody")</f>
        <v>0</v>
      </c>
      <c r="D27" s="94">
        <f>SUMIFS('caseload data'!F:F,'caseload data'!$D:$D,"SPO",'caseload data'!$C:$C,'custody caseload'!$B$22,'caseload data'!$B:$B,"custody")</f>
        <v>0</v>
      </c>
      <c r="E27" s="94">
        <f>SUMIFS('caseload data'!G:G,'caseload data'!$D:$D,"SPO",'caseload data'!$C:$C,'custody caseload'!$B$22,'caseload data'!$B:$B,"custody")</f>
        <v>0</v>
      </c>
      <c r="F27" s="94">
        <f>SUMIFS('caseload data'!H:H,'caseload data'!$D:$D,"SPO",'caseload data'!$C:$C,'custody caseload'!$B$22,'caseload data'!$B:$B,"custody")</f>
        <v>0</v>
      </c>
      <c r="G27" s="94">
        <f>SUMIFS('caseload data'!I:I,'caseload data'!$D:$D,"SPO",'caseload data'!$C:$C,'custody caseload'!$B$22,'caseload data'!$B:$B,"custody")</f>
        <v>0</v>
      </c>
      <c r="H27" s="94">
        <f>SUMIFS('caseload data'!J:J,'caseload data'!$D:$D,"SPO",'caseload data'!$C:$C,'custody caseload'!$B$22,'caseload data'!$B:$B,"custody")</f>
        <v>0</v>
      </c>
      <c r="I27" s="94">
        <f>SUMIFS('caseload data'!K:K,'caseload data'!$D:$D,"SPO",'caseload data'!$C:$C,'custody caseload'!$B$22,'caseload data'!$B:$B,"custody")</f>
        <v>0</v>
      </c>
      <c r="J27" s="94">
        <f>SUMIFS('caseload data'!L:L,'caseload data'!$D:$D,"SPO",'caseload data'!$C:$C,'custody caseload'!$B$22,'caseload data'!$B:$B,"custody")</f>
        <v>0</v>
      </c>
      <c r="K27" s="94">
        <f>SUMIFS('caseload data'!M:M,'caseload data'!$D:$D,"SPO",'caseload data'!$C:$C,'custody caseload'!$B$22,'caseload data'!$B:$B,"custody")</f>
        <v>0</v>
      </c>
      <c r="L27" s="94">
        <f>SUMIFS('caseload data'!N:N,'caseload data'!$D:$D,"SPO",'caseload data'!$C:$C,'custody caseload'!$B$22,'caseload data'!$B:$B,"custody")</f>
        <v>0</v>
      </c>
      <c r="M27" s="94">
        <f>SUMIFS('caseload data'!O:O,'caseload data'!$D:$D,"SPO",'caseload data'!$C:$C,'custody caseload'!$B$22,'caseload data'!$B:$B,"custody")</f>
        <v>0</v>
      </c>
      <c r="N27" s="94">
        <f>SUMIFS('caseload data'!P:P,'caseload data'!$D:$D,"SPO",'caseload data'!$C:$C,'custody caseload'!$B$22,'caseload data'!$B:$B,"custody")</f>
        <v>0</v>
      </c>
      <c r="O27" s="94">
        <f>SUMIFS('caseload data'!Q:Q,'caseload data'!$D:$D,"SPO",'caseload data'!$C:$C,'custody caseload'!$B$22,'caseload data'!$B:$B,"custody")</f>
        <v>0</v>
      </c>
      <c r="P27" s="94">
        <f>SUMIFS('caseload data'!R:R,'caseload data'!$D:$D,"SPO",'caseload data'!$C:$C,'custody caseload'!$B$22,'caseload data'!$B:$B,"custody")</f>
        <v>0</v>
      </c>
      <c r="Q27" s="94">
        <f>SUMIFS('caseload data'!S:S,'caseload data'!$D:$D,"SPO",'caseload data'!$C:$C,'custody caseload'!$B$22,'caseload data'!$B:$B,"custody")</f>
        <v>0</v>
      </c>
      <c r="R27" s="94">
        <f>SUMIFS('caseload data'!T:T,'caseload data'!$D:$D,"SPO",'caseload data'!$C:$C,'custody caseload'!$B$22,'caseload data'!$B:$B,"custody")</f>
        <v>0</v>
      </c>
      <c r="S27" s="64"/>
      <c r="T27" s="98" t="s">
        <v>1004</v>
      </c>
      <c r="U27" s="94">
        <f>SUMIFS('caseload data'!E:E,'caseload data'!$D:$D,"SPO",'caseload data'!$C:$C,'custody caseload'!$T$22,'caseload data'!$B:$B,"custody")</f>
        <v>0</v>
      </c>
      <c r="V27" s="94">
        <f>SUMIFS('caseload data'!F:F,'caseload data'!$D:$D,"SPO",'caseload data'!$C:$C,'custody caseload'!$T$22,'caseload data'!$B:$B,"custody")</f>
        <v>0</v>
      </c>
      <c r="W27" s="94">
        <f>SUMIFS('caseload data'!G:G,'caseload data'!$D:$D,"SPO",'caseload data'!$C:$C,'custody caseload'!$T$22,'caseload data'!$B:$B,"custody")</f>
        <v>0</v>
      </c>
      <c r="X27" s="94">
        <f>SUMIFS('caseload data'!H:H,'caseload data'!$D:$D,"SPO",'caseload data'!$C:$C,'custody caseload'!$T$22,'caseload data'!$B:$B,"custody")</f>
        <v>0</v>
      </c>
      <c r="Y27" s="94">
        <f>SUMIFS('caseload data'!I:I,'caseload data'!$D:$D,"SPO",'caseload data'!$C:$C,'custody caseload'!$T$22,'caseload data'!$B:$B,"custody")</f>
        <v>0</v>
      </c>
      <c r="Z27" s="94">
        <f>SUMIFS('caseload data'!J:J,'caseload data'!$D:$D,"SPO",'caseload data'!$C:$C,'custody caseload'!$T$22,'caseload data'!$B:$B,"custody")</f>
        <v>0</v>
      </c>
      <c r="AA27" s="94">
        <f>SUMIFS('caseload data'!K:K,'caseload data'!$D:$D,"SPO",'caseload data'!$C:$C,'custody caseload'!$T$22,'caseload data'!$B:$B,"custody")</f>
        <v>0</v>
      </c>
      <c r="AB27" s="94">
        <f>SUMIFS('caseload data'!L:L,'caseload data'!$D:$D,"SPO",'caseload data'!$C:$C,'custody caseload'!$T$22,'caseload data'!$B:$B,"custody")</f>
        <v>0</v>
      </c>
      <c r="AC27" s="94">
        <f>SUMIFS('caseload data'!M:M,'caseload data'!$D:$D,"SPO",'caseload data'!$C:$C,'custody caseload'!$T$22,'caseload data'!$B:$B,"custody")</f>
        <v>0</v>
      </c>
      <c r="AD27" s="94">
        <f>SUMIFS('caseload data'!N:N,'caseload data'!$D:$D,"SPO",'caseload data'!$C:$C,'custody caseload'!$T$22,'caseload data'!$B:$B,"custody")</f>
        <v>0</v>
      </c>
      <c r="AE27" s="94">
        <f>SUMIFS('caseload data'!O:O,'caseload data'!$D:$D,"SPO",'caseload data'!$C:$C,'custody caseload'!$T$22,'caseload data'!$B:$B,"custody")</f>
        <v>0</v>
      </c>
      <c r="AF27" s="94">
        <f>SUMIFS('caseload data'!P:P,'caseload data'!$D:$D,"SPO",'caseload data'!$C:$C,'custody caseload'!$T$22,'caseload data'!$B:$B,"custody")</f>
        <v>0</v>
      </c>
      <c r="AG27" s="94">
        <f>SUMIFS('caseload data'!Q:Q,'caseload data'!$D:$D,"SPO",'caseload data'!$C:$C,'custody caseload'!$T$22,'caseload data'!$B:$B,"custody")</f>
        <v>0</v>
      </c>
      <c r="AH27" s="94">
        <f>SUMIFS('caseload data'!R:R,'caseload data'!$D:$D,"SPO",'caseload data'!$C:$C,'custody caseload'!$T$22,'caseload data'!$B:$B,"custody")</f>
        <v>0</v>
      </c>
      <c r="AI27" s="94">
        <f>SUMIFS('caseload data'!S:S,'caseload data'!$D:$D,"SPO",'caseload data'!$C:$C,'custody caseload'!$T$22,'caseload data'!$B:$B,"custody")</f>
        <v>0</v>
      </c>
      <c r="AJ27" s="94">
        <f>SUMIFS('caseload data'!T:T,'caseload data'!$D:$D,"SPO",'caseload data'!$C:$C,'custody caseload'!$T$22,'caseload data'!$B:$B,"custody")</f>
        <v>0</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9.25" customHeight="1" x14ac:dyDescent="0.15">
      <c r="B29" s="142" t="str">
        <f>HLOOKUP($B$5,Region_Table,8,0)</f>
        <v>Nottinghamshire - N53</v>
      </c>
      <c r="C29" s="525" t="s">
        <v>1126</v>
      </c>
      <c r="D29" s="526"/>
      <c r="E29" s="526"/>
      <c r="F29" s="526"/>
      <c r="G29" s="526"/>
      <c r="H29" s="526"/>
      <c r="I29" s="526"/>
      <c r="J29" s="526"/>
      <c r="K29" s="526"/>
      <c r="L29" s="526"/>
      <c r="M29" s="535"/>
      <c r="N29" s="535"/>
      <c r="O29" s="536"/>
      <c r="P29" s="512">
        <f>SUMIFS('caseload data'!V:V,'caseload data'!B:B,"custody",'caseload data'!$C:$C,'custody caseload'!B29)</f>
        <v>0</v>
      </c>
      <c r="Q29" s="529"/>
      <c r="R29" s="530"/>
      <c r="S29" s="64"/>
      <c r="T29" s="142" t="str">
        <f>HLOOKUP($B$5,Region_Table,9,0)</f>
        <v>Unpaid Work and Attendance Centres - N53</v>
      </c>
      <c r="U29" s="525" t="s">
        <v>1126</v>
      </c>
      <c r="V29" s="526"/>
      <c r="W29" s="526"/>
      <c r="X29" s="526"/>
      <c r="Y29" s="526"/>
      <c r="Z29" s="526"/>
      <c r="AA29" s="526"/>
      <c r="AB29" s="526"/>
      <c r="AC29" s="526"/>
      <c r="AD29" s="526"/>
      <c r="AE29" s="535"/>
      <c r="AF29" s="535"/>
      <c r="AG29" s="536"/>
      <c r="AH29" s="512">
        <f>SUMIFS('caseload data'!V:V,'caseload data'!B:B,"custody",'caseload data'!$C:$C,'custody caseload'!T29)</f>
        <v>0</v>
      </c>
      <c r="AI29" s="529"/>
      <c r="AJ29" s="530"/>
    </row>
    <row r="30" spans="2:36" x14ac:dyDescent="0.15">
      <c r="B30" s="95" t="s">
        <v>1001</v>
      </c>
      <c r="C30" s="38" t="s">
        <v>864</v>
      </c>
      <c r="D30" s="38" t="s">
        <v>865</v>
      </c>
      <c r="E30" s="38" t="s">
        <v>866</v>
      </c>
      <c r="F30" s="38" t="s">
        <v>867</v>
      </c>
      <c r="G30" s="38" t="s">
        <v>868</v>
      </c>
      <c r="H30" s="38" t="s">
        <v>869</v>
      </c>
      <c r="I30" s="38" t="s">
        <v>870</v>
      </c>
      <c r="J30" s="38" t="s">
        <v>871</v>
      </c>
      <c r="K30" s="38" t="s">
        <v>872</v>
      </c>
      <c r="L30" s="38" t="s">
        <v>873</v>
      </c>
      <c r="M30" s="38" t="s">
        <v>874</v>
      </c>
      <c r="N30" s="38" t="s">
        <v>875</v>
      </c>
      <c r="O30" s="38" t="s">
        <v>876</v>
      </c>
      <c r="P30" s="38" t="s">
        <v>877</v>
      </c>
      <c r="Q30" s="38" t="s">
        <v>878</v>
      </c>
      <c r="R30" s="38" t="s">
        <v>879</v>
      </c>
      <c r="S30" s="64"/>
      <c r="T30" s="95" t="s">
        <v>1001</v>
      </c>
      <c r="U30" s="38" t="s">
        <v>864</v>
      </c>
      <c r="V30" s="38" t="s">
        <v>865</v>
      </c>
      <c r="W30" s="38" t="s">
        <v>866</v>
      </c>
      <c r="X30" s="38" t="s">
        <v>867</v>
      </c>
      <c r="Y30" s="38" t="s">
        <v>868</v>
      </c>
      <c r="Z30" s="38" t="s">
        <v>869</v>
      </c>
      <c r="AA30" s="38" t="s">
        <v>870</v>
      </c>
      <c r="AB30" s="38" t="s">
        <v>871</v>
      </c>
      <c r="AC30" s="38" t="s">
        <v>872</v>
      </c>
      <c r="AD30" s="38" t="s">
        <v>873</v>
      </c>
      <c r="AE30" s="38" t="s">
        <v>874</v>
      </c>
      <c r="AF30" s="38" t="s">
        <v>875</v>
      </c>
      <c r="AG30" s="38" t="s">
        <v>876</v>
      </c>
      <c r="AH30" s="38" t="s">
        <v>877</v>
      </c>
      <c r="AI30" s="38" t="s">
        <v>878</v>
      </c>
      <c r="AJ30" s="38" t="s">
        <v>879</v>
      </c>
    </row>
    <row r="31" spans="2:36" x14ac:dyDescent="0.15">
      <c r="B31" s="96" t="s">
        <v>997</v>
      </c>
      <c r="C31" s="94">
        <f>SUMIFS('caseload data'!E:E,'caseload data'!$D:$D,"PO",'caseload data'!$C:$C,'custody caseload'!$B$29,'caseload data'!$B:$B,"custody")</f>
        <v>0</v>
      </c>
      <c r="D31" s="94">
        <f>SUMIFS('caseload data'!F:F,'caseload data'!$D:$D,"PO",'caseload data'!$C:$C,'custody caseload'!$B$29,'caseload data'!$B:$B,"custody")</f>
        <v>0</v>
      </c>
      <c r="E31" s="94">
        <f>SUMIFS('caseload data'!G:G,'caseload data'!$D:$D,"PO",'caseload data'!$C:$C,'custody caseload'!$B$29,'caseload data'!$B:$B,"custody")</f>
        <v>0</v>
      </c>
      <c r="F31" s="94">
        <f>SUMIFS('caseload data'!H:H,'caseload data'!$D:$D,"PO",'caseload data'!$C:$C,'custody caseload'!$B$29,'caseload data'!$B:$B,"custody")</f>
        <v>0</v>
      </c>
      <c r="G31" s="94">
        <f>SUMIFS('caseload data'!I:I,'caseload data'!$D:$D,"PO",'caseload data'!$C:$C,'custody caseload'!$B$29,'caseload data'!$B:$B,"custody")</f>
        <v>0</v>
      </c>
      <c r="H31" s="94">
        <f>SUMIFS('caseload data'!J:J,'caseload data'!$D:$D,"PO",'caseload data'!$C:$C,'custody caseload'!$B$29,'caseload data'!$B:$B,"custody")</f>
        <v>0</v>
      </c>
      <c r="I31" s="94">
        <f>SUMIFS('caseload data'!K:K,'caseload data'!$D:$D,"PO",'caseload data'!$C:$C,'custody caseload'!$B$29,'caseload data'!$B:$B,"custody")</f>
        <v>0</v>
      </c>
      <c r="J31" s="94">
        <f>SUMIFS('caseload data'!L:L,'caseload data'!$D:$D,"PO",'caseload data'!$C:$C,'custody caseload'!$B$29,'caseload data'!$B:$B,"custody")</f>
        <v>0</v>
      </c>
      <c r="K31" s="94">
        <f>SUMIFS('caseload data'!M:M,'caseload data'!$D:$D,"PO",'caseload data'!$C:$C,'custody caseload'!$B$29,'caseload data'!$B:$B,"custody")</f>
        <v>0</v>
      </c>
      <c r="L31" s="94">
        <f>SUMIFS('caseload data'!N:N,'caseload data'!$D:$D,"PO",'caseload data'!$C:$C,'custody caseload'!$B$29,'caseload data'!$B:$B,"custody")</f>
        <v>0</v>
      </c>
      <c r="M31" s="94">
        <f>SUMIFS('caseload data'!O:O,'caseload data'!$D:$D,"PO",'caseload data'!$C:$C,'custody caseload'!$B$29,'caseload data'!$B:$B,"custody")</f>
        <v>0</v>
      </c>
      <c r="N31" s="94">
        <f>SUMIFS('caseload data'!P:P,'caseload data'!$D:$D,"PO",'caseload data'!$C:$C,'custody caseload'!$B$29,'caseload data'!$B:$B,"custody")</f>
        <v>0</v>
      </c>
      <c r="O31" s="94">
        <f>SUMIFS('caseload data'!Q:Q,'caseload data'!$D:$D,"PO",'caseload data'!$C:$C,'custody caseload'!$B$29,'caseload data'!$B:$B,"custody")</f>
        <v>0</v>
      </c>
      <c r="P31" s="94">
        <f>SUMIFS('caseload data'!R:R,'caseload data'!$D:$D,"PO",'caseload data'!$C:$C,'custody caseload'!$B$29,'caseload data'!$B:$B,"custody")</f>
        <v>0</v>
      </c>
      <c r="Q31" s="94">
        <f>SUMIFS('caseload data'!S:S,'caseload data'!$D:$D,"PO",'caseload data'!$C:$C,'custody caseload'!$B$29,'caseload data'!$B:$B,"custody")</f>
        <v>0</v>
      </c>
      <c r="R31" s="94">
        <f>SUMIFS('caseload data'!T:T,'caseload data'!$D:$D,"PO",'caseload data'!$C:$C,'custody caseload'!$B$29,'caseload data'!$B:$B,"custody")</f>
        <v>0</v>
      </c>
      <c r="S31" s="64"/>
      <c r="T31" s="96" t="s">
        <v>997</v>
      </c>
      <c r="U31" s="94">
        <f>SUMIFS('caseload data'!E:E,'caseload data'!$D:$D,"PO",'caseload data'!$C:$C,'custody caseload'!$T$29,'caseload data'!$B:$B,"custody")</f>
        <v>0</v>
      </c>
      <c r="V31" s="94">
        <f>SUMIFS('caseload data'!F:F,'caseload data'!$D:$D,"PO",'caseload data'!$C:$C,'custody caseload'!$T$29,'caseload data'!$B:$B,"custody")</f>
        <v>0</v>
      </c>
      <c r="W31" s="94">
        <f>SUMIFS('caseload data'!G:G,'caseload data'!$D:$D,"PO",'caseload data'!$C:$C,'custody caseload'!$T$29,'caseload data'!$B:$B,"custody")</f>
        <v>0</v>
      </c>
      <c r="X31" s="94">
        <f>SUMIFS('caseload data'!H:H,'caseload data'!$D:$D,"PO",'caseload data'!$C:$C,'custody caseload'!$T$29,'caseload data'!$B:$B,"custody")</f>
        <v>0</v>
      </c>
      <c r="Y31" s="94">
        <f>SUMIFS('caseload data'!I:I,'caseload data'!$D:$D,"PO",'caseload data'!$C:$C,'custody caseload'!$T$29,'caseload data'!$B:$B,"custody")</f>
        <v>0</v>
      </c>
      <c r="Z31" s="94">
        <f>SUMIFS('caseload data'!J:J,'caseload data'!$D:$D,"PO",'caseload data'!$C:$C,'custody caseload'!$T$29,'caseload data'!$B:$B,"custody")</f>
        <v>0</v>
      </c>
      <c r="AA31" s="94">
        <f>SUMIFS('caseload data'!K:K,'caseload data'!$D:$D,"PO",'caseload data'!$C:$C,'custody caseload'!$T$29,'caseload data'!$B:$B,"custody")</f>
        <v>0</v>
      </c>
      <c r="AB31" s="94">
        <f>SUMIFS('caseload data'!L:L,'caseload data'!$D:$D,"PO",'caseload data'!$C:$C,'custody caseload'!$T$29,'caseload data'!$B:$B,"custody")</f>
        <v>0</v>
      </c>
      <c r="AC31" s="94">
        <f>SUMIFS('caseload data'!M:M,'caseload data'!$D:$D,"PO",'caseload data'!$C:$C,'custody caseload'!$T$29,'caseload data'!$B:$B,"custody")</f>
        <v>0</v>
      </c>
      <c r="AD31" s="94">
        <f>SUMIFS('caseload data'!N:N,'caseload data'!$D:$D,"PO",'caseload data'!$C:$C,'custody caseload'!$T$29,'caseload data'!$B:$B,"custody")</f>
        <v>0</v>
      </c>
      <c r="AE31" s="94">
        <f>SUMIFS('caseload data'!O:O,'caseload data'!$D:$D,"PO",'caseload data'!$C:$C,'custody caseload'!$T$29,'caseload data'!$B:$B,"custody")</f>
        <v>0</v>
      </c>
      <c r="AF31" s="94">
        <f>SUMIFS('caseload data'!P:P,'caseload data'!$D:$D,"PO",'caseload data'!$C:$C,'custody caseload'!$T$29,'caseload data'!$B:$B,"custody")</f>
        <v>0</v>
      </c>
      <c r="AG31" s="94">
        <f>SUMIFS('caseload data'!Q:Q,'caseload data'!$D:$D,"PO",'caseload data'!$C:$C,'custody caseload'!$T$29,'caseload data'!$B:$B,"custody")</f>
        <v>0</v>
      </c>
      <c r="AH31" s="94">
        <f>SUMIFS('caseload data'!R:R,'caseload data'!$D:$D,"PO",'caseload data'!$C:$C,'custody caseload'!$T$29,'caseload data'!$B:$B,"custody")</f>
        <v>0</v>
      </c>
      <c r="AI31" s="94">
        <f>SUMIFS('caseload data'!S:S,'caseload data'!$D:$D,"PO",'caseload data'!$C:$C,'custody caseload'!$T$29,'caseload data'!$B:$B,"custody")</f>
        <v>0</v>
      </c>
      <c r="AJ31" s="94">
        <f>SUMIFS('caseload data'!T:T,'caseload data'!$D:$D,"PO",'caseload data'!$C:$C,'custody caseload'!$T$29,'caseload data'!$B:$B,"custody")</f>
        <v>0</v>
      </c>
    </row>
    <row r="32" spans="2:36" ht="15" x14ac:dyDescent="0.2">
      <c r="B32" s="97" t="s">
        <v>1002</v>
      </c>
      <c r="C32" s="145">
        <f>SUMIFS('caseload data'!E:E,'caseload data'!$D:$D,"PSO",'caseload data'!$C:$C,'custody caseload'!$B$29,'caseload data'!$B:$B,"custody")</f>
        <v>0</v>
      </c>
      <c r="D32" s="145">
        <f>SUMIFS('caseload data'!F:F,'caseload data'!$D:$D,"PSO",'caseload data'!$C:$C,'custody caseload'!$B$29,'caseload data'!$B:$B,"custody")</f>
        <v>0</v>
      </c>
      <c r="E32" s="145">
        <f>SUMIFS('caseload data'!G:G,'caseload data'!$D:$D,"PSO",'caseload data'!$C:$C,'custody caseload'!$B$29,'caseload data'!$B:$B,"custody")</f>
        <v>0</v>
      </c>
      <c r="F32" s="145">
        <f>SUMIFS('caseload data'!H:H,'caseload data'!$D:$D,"PSO",'caseload data'!$C:$C,'custody caseload'!$B$29,'caseload data'!$B:$B,"custody")</f>
        <v>0</v>
      </c>
      <c r="G32" s="145">
        <f>SUMIFS('caseload data'!I:I,'caseload data'!$D:$D,"PSO",'caseload data'!$C:$C,'custody caseload'!$B$29,'caseload data'!$B:$B,"custody")</f>
        <v>0</v>
      </c>
      <c r="H32" s="145">
        <f>SUMIFS('caseload data'!J:J,'caseload data'!$D:$D,"PSO",'caseload data'!$C:$C,'custody caseload'!$B$29,'caseload data'!$B:$B,"custody")</f>
        <v>0</v>
      </c>
      <c r="I32" s="145">
        <f>SUMIFS('caseload data'!K:K,'caseload data'!$D:$D,"PSO",'caseload data'!$C:$C,'custody caseload'!$B$29,'caseload data'!$B:$B,"custody")</f>
        <v>0</v>
      </c>
      <c r="J32" s="145">
        <f>SUMIFS('caseload data'!L:L,'caseload data'!$D:$D,"PSO",'caseload data'!$C:$C,'custody caseload'!$B$29,'caseload data'!$B:$B,"custody")</f>
        <v>0</v>
      </c>
      <c r="K32" s="94">
        <f>SUMIFS('caseload data'!M:M,'caseload data'!$D:$D,"PSO",'caseload data'!$C:$C,'custody caseload'!$B$29,'caseload data'!$B:$B,"custody")</f>
        <v>0</v>
      </c>
      <c r="L32" s="94">
        <f>SUMIFS('caseload data'!N:N,'caseload data'!$D:$D,"PSO",'caseload data'!$C:$C,'custody caseload'!$B$29,'caseload data'!$B:$B,"custody")</f>
        <v>0</v>
      </c>
      <c r="M32" s="94">
        <f>SUMIFS('caseload data'!O:O,'caseload data'!$D:$D,"PSO",'caseload data'!$C:$C,'custody caseload'!$B$29,'caseload data'!$B:$B,"custody")</f>
        <v>0</v>
      </c>
      <c r="N32" s="94">
        <f>SUMIFS('caseload data'!P:P,'caseload data'!$D:$D,"PSO",'caseload data'!$C:$C,'custody caseload'!$B$29,'caseload data'!$B:$B,"custody")</f>
        <v>0</v>
      </c>
      <c r="O32" s="94">
        <f>SUMIFS('caseload data'!Q:Q,'caseload data'!$D:$D,"PSO",'caseload data'!$C:$C,'custody caseload'!$B$29,'caseload data'!$B:$B,"custody")</f>
        <v>0</v>
      </c>
      <c r="P32" s="94">
        <f>SUMIFS('caseload data'!R:R,'caseload data'!$D:$D,"PSO",'caseload data'!$C:$C,'custody caseload'!$B$29,'caseload data'!$B:$B,"custody")</f>
        <v>0</v>
      </c>
      <c r="Q32" s="94">
        <f>SUMIFS('caseload data'!S:S,'caseload data'!$D:$D,"PSO",'caseload data'!$C:$C,'custody caseload'!$B$29,'caseload data'!$B:$B,"custody")</f>
        <v>0</v>
      </c>
      <c r="R32" s="94">
        <f>SUMIFS('caseload data'!T:T,'caseload data'!$D:$D,"PSO",'caseload data'!$C:$C,'custody caseload'!$B$29,'caseload data'!$B:$B,"custody")</f>
        <v>0</v>
      </c>
      <c r="S32" s="64"/>
      <c r="T32" s="97" t="s">
        <v>1002</v>
      </c>
      <c r="U32" s="145">
        <f>SUMIFS('caseload data'!E:E,'caseload data'!$D:$D,"PSO",'caseload data'!$C:$C,'custody caseload'!$T$29,'caseload data'!$B:$B,"custody")</f>
        <v>0</v>
      </c>
      <c r="V32" s="145">
        <f>SUMIFS('caseload data'!F:F,'caseload data'!$D:$D,"PSO",'caseload data'!$C:$C,'custody caseload'!$T$29,'caseload data'!$B:$B,"custody")</f>
        <v>0</v>
      </c>
      <c r="W32" s="145">
        <f>SUMIFS('caseload data'!G:G,'caseload data'!$D:$D,"PSO",'caseload data'!$C:$C,'custody caseload'!$T$29,'caseload data'!$B:$B,"custody")</f>
        <v>0</v>
      </c>
      <c r="X32" s="145">
        <f>SUMIFS('caseload data'!H:H,'caseload data'!$D:$D,"PSO",'caseload data'!$C:$C,'custody caseload'!$T$29,'caseload data'!$B:$B,"custody")</f>
        <v>0</v>
      </c>
      <c r="Y32" s="145">
        <f>SUMIFS('caseload data'!I:I,'caseload data'!$D:$D,"PSO",'caseload data'!$C:$C,'custody caseload'!$T$29,'caseload data'!$B:$B,"custody")</f>
        <v>0</v>
      </c>
      <c r="Z32" s="145">
        <f>SUMIFS('caseload data'!J:J,'caseload data'!$D:$D,"PSO",'caseload data'!$C:$C,'custody caseload'!$T$29,'caseload data'!$B:$B,"custody")</f>
        <v>0</v>
      </c>
      <c r="AA32" s="145">
        <f>SUMIFS('caseload data'!K:K,'caseload data'!$D:$D,"PSO",'caseload data'!$C:$C,'custody caseload'!$T$29,'caseload data'!$B:$B,"custody")</f>
        <v>0</v>
      </c>
      <c r="AB32" s="145">
        <f>SUMIFS('caseload data'!L:L,'caseload data'!$D:$D,"PSO",'caseload data'!$C:$C,'custody caseload'!$T$29,'caseload data'!$B:$B,"custody")</f>
        <v>0</v>
      </c>
      <c r="AC32" s="94">
        <f>SUMIFS('caseload data'!M:M,'caseload data'!$D:$D,"PSO",'caseload data'!$C:$C,'custody caseload'!$T$29,'caseload data'!$B:$B,"custody")</f>
        <v>0</v>
      </c>
      <c r="AD32" s="94">
        <f>SUMIFS('caseload data'!N:N,'caseload data'!$D:$D,"PSO",'caseload data'!$C:$C,'custody caseload'!$T$29,'caseload data'!$B:$B,"custody")</f>
        <v>0</v>
      </c>
      <c r="AE32" s="94">
        <f>SUMIFS('caseload data'!O:O,'caseload data'!$D:$D,"PSO",'caseload data'!$C:$C,'custody caseload'!$T$29,'caseload data'!$B:$B,"custody")</f>
        <v>0</v>
      </c>
      <c r="AF32" s="94">
        <f>SUMIFS('caseload data'!P:P,'caseload data'!$D:$D,"PSO",'caseload data'!$C:$C,'custody caseload'!$T$29,'caseload data'!$B:$B,"custody")</f>
        <v>0</v>
      </c>
      <c r="AG32" s="94">
        <f>SUMIFS('caseload data'!Q:Q,'caseload data'!$D:$D,"PSO",'caseload data'!$C:$C,'custody caseload'!$T$29,'caseload data'!$B:$B,"custody")</f>
        <v>0</v>
      </c>
      <c r="AH32" s="94">
        <f>SUMIFS('caseload data'!R:R,'caseload data'!$D:$D,"PSO",'caseload data'!$C:$C,'custody caseload'!$T$29,'caseload data'!$B:$B,"custody")</f>
        <v>0</v>
      </c>
      <c r="AI32" s="94">
        <f>SUMIFS('caseload data'!S:S,'caseload data'!$D:$D,"PSO",'caseload data'!$C:$C,'custody caseload'!$T$29,'caseload data'!$B:$B,"custody")</f>
        <v>0</v>
      </c>
      <c r="AJ32" s="94">
        <f>SUMIFS('caseload data'!T:T,'caseload data'!$D:$D,"PSO",'caseload data'!$C:$C,'custody caseload'!$T$29,'caseload data'!$B:$B,"custody")</f>
        <v>0</v>
      </c>
    </row>
    <row r="33" spans="2:36" ht="15" x14ac:dyDescent="0.2">
      <c r="B33" s="97" t="s">
        <v>1003</v>
      </c>
      <c r="C33" s="145">
        <f>SUMIFS('caseload data'!E:E,'caseload data'!$D:$D,"TPO",'caseload data'!$C:$C,'custody caseload'!$B$29,'caseload data'!$B:$B,"custody")</f>
        <v>0</v>
      </c>
      <c r="D33" s="145">
        <f>SUMIFS('caseload data'!F:F,'caseload data'!$D:$D,"TPO",'caseload data'!$C:$C,'custody caseload'!$B$29,'caseload data'!$B:$B,"custody")</f>
        <v>0</v>
      </c>
      <c r="E33" s="145">
        <f>SUMIFS('caseload data'!G:G,'caseload data'!$D:$D,"TPO",'caseload data'!$C:$C,'custody caseload'!$B$29,'caseload data'!$B:$B,"custody")</f>
        <v>0</v>
      </c>
      <c r="F33" s="145">
        <f>SUMIFS('caseload data'!H:H,'caseload data'!$D:$D,"TPO",'caseload data'!$C:$C,'custody caseload'!$B$29,'caseload data'!$B:$B,"custody")</f>
        <v>0</v>
      </c>
      <c r="G33" s="145">
        <f>SUMIFS('caseload data'!I:I,'caseload data'!$D:$D,"TPO",'caseload data'!$C:$C,'custody caseload'!$B$29,'caseload data'!$B:$B,"custody")</f>
        <v>0</v>
      </c>
      <c r="H33" s="145">
        <f>SUMIFS('caseload data'!J:J,'caseload data'!$D:$D,"TPO",'caseload data'!$C:$C,'custody caseload'!$B$29,'caseload data'!$B:$B,"custody")</f>
        <v>0</v>
      </c>
      <c r="I33" s="145">
        <f>SUMIFS('caseload data'!K:K,'caseload data'!$D:$D,"TPO",'caseload data'!$C:$C,'custody caseload'!$B$29,'caseload data'!$B:$B,"custody")</f>
        <v>0</v>
      </c>
      <c r="J33" s="145">
        <f>SUMIFS('caseload data'!L:L,'caseload data'!$D:$D,"TPO",'caseload data'!$C:$C,'custody caseload'!$B$29,'caseload data'!$B:$B,"custody")</f>
        <v>0</v>
      </c>
      <c r="K33" s="94">
        <f>SUMIFS('caseload data'!M:M,'caseload data'!$D:$D,"TPO",'caseload data'!$C:$C,'custody caseload'!$B$29,'caseload data'!$B:$B,"custody")</f>
        <v>0</v>
      </c>
      <c r="L33" s="94">
        <f>SUMIFS('caseload data'!N:N,'caseload data'!$D:$D,"TPO",'caseload data'!$C:$C,'custody caseload'!$B$29,'caseload data'!$B:$B,"custody")</f>
        <v>0</v>
      </c>
      <c r="M33" s="94">
        <f>SUMIFS('caseload data'!O:O,'caseload data'!$D:$D,"TPO",'caseload data'!$C:$C,'custody caseload'!$B$29,'caseload data'!$B:$B,"custody")</f>
        <v>0</v>
      </c>
      <c r="N33" s="94">
        <f>SUMIFS('caseload data'!P:P,'caseload data'!$D:$D,"TPO",'caseload data'!$C:$C,'custody caseload'!$B$29,'caseload data'!$B:$B,"custody")</f>
        <v>0</v>
      </c>
      <c r="O33" s="94">
        <f>SUMIFS('caseload data'!Q:Q,'caseload data'!$D:$D,"TPO",'caseload data'!$C:$C,'custody caseload'!$B$29,'caseload data'!$B:$B,"custody")</f>
        <v>0</v>
      </c>
      <c r="P33" s="94">
        <f>SUMIFS('caseload data'!R:R,'caseload data'!$D:$D,"TPO",'caseload data'!$C:$C,'custody caseload'!$B$29,'caseload data'!$B:$B,"custody")</f>
        <v>0</v>
      </c>
      <c r="Q33" s="94">
        <f>SUMIFS('caseload data'!S:S,'caseload data'!$D:$D,"TPO",'caseload data'!$C:$C,'custody caseload'!$B$29,'caseload data'!$B:$B,"custody")</f>
        <v>0</v>
      </c>
      <c r="R33" s="94">
        <f>SUMIFS('caseload data'!T:T,'caseload data'!$D:$D,"TPO",'caseload data'!$C:$C,'custody caseload'!$B$29,'caseload data'!$B:$B,"custody")</f>
        <v>0</v>
      </c>
      <c r="S33" s="64"/>
      <c r="T33" s="97" t="s">
        <v>1003</v>
      </c>
      <c r="U33" s="145">
        <f>SUMIFS('caseload data'!E:E,'caseload data'!$D:$D,"TPO",'caseload data'!$C:$C,'custody caseload'!$T$29,'caseload data'!$B:$B,"custody")</f>
        <v>0</v>
      </c>
      <c r="V33" s="145">
        <f>SUMIFS('caseload data'!F:F,'caseload data'!$D:$D,"TPO",'caseload data'!$C:$C,'custody caseload'!$T$29,'caseload data'!$B:$B,"custody")</f>
        <v>0</v>
      </c>
      <c r="W33" s="145">
        <f>SUMIFS('caseload data'!G:G,'caseload data'!$D:$D,"TPO",'caseload data'!$C:$C,'custody caseload'!$T$29,'caseload data'!$B:$B,"custody")</f>
        <v>0</v>
      </c>
      <c r="X33" s="145">
        <f>SUMIFS('caseload data'!H:H,'caseload data'!$D:$D,"TPO",'caseload data'!$C:$C,'custody caseload'!$T$29,'caseload data'!$B:$B,"custody")</f>
        <v>0</v>
      </c>
      <c r="Y33" s="145">
        <f>SUMIFS('caseload data'!I:I,'caseload data'!$D:$D,"TPO",'caseload data'!$C:$C,'custody caseload'!$T$29,'caseload data'!$B:$B,"custody")</f>
        <v>0</v>
      </c>
      <c r="Z33" s="145">
        <f>SUMIFS('caseload data'!J:J,'caseload data'!$D:$D,"TPO",'caseload data'!$C:$C,'custody caseload'!$T$29,'caseload data'!$B:$B,"custody")</f>
        <v>0</v>
      </c>
      <c r="AA33" s="145">
        <f>SUMIFS('caseload data'!K:K,'caseload data'!$D:$D,"TPO",'caseload data'!$C:$C,'custody caseload'!$T$29,'caseload data'!$B:$B,"custody")</f>
        <v>0</v>
      </c>
      <c r="AB33" s="145">
        <f>SUMIFS('caseload data'!L:L,'caseload data'!$D:$D,"TPO",'caseload data'!$C:$C,'custody caseload'!$T$29,'caseload data'!$B:$B,"custody")</f>
        <v>0</v>
      </c>
      <c r="AC33" s="94">
        <f>SUMIFS('caseload data'!M:M,'caseload data'!$D:$D,"TPO",'caseload data'!$C:$C,'custody caseload'!$T$29,'caseload data'!$B:$B,"custody")</f>
        <v>0</v>
      </c>
      <c r="AD33" s="94">
        <f>SUMIFS('caseload data'!N:N,'caseload data'!$D:$D,"TPO",'caseload data'!$C:$C,'custody caseload'!$T$29,'caseload data'!$B:$B,"custody")</f>
        <v>0</v>
      </c>
      <c r="AE33" s="94">
        <f>SUMIFS('caseload data'!O:O,'caseload data'!$D:$D,"TPO",'caseload data'!$C:$C,'custody caseload'!$T$29,'caseload data'!$B:$B,"custody")</f>
        <v>0</v>
      </c>
      <c r="AF33" s="94">
        <f>SUMIFS('caseload data'!P:P,'caseload data'!$D:$D,"TPO",'caseload data'!$C:$C,'custody caseload'!$T$29,'caseload data'!$B:$B,"custody")</f>
        <v>0</v>
      </c>
      <c r="AG33" s="94">
        <f>SUMIFS('caseload data'!Q:Q,'caseload data'!$D:$D,"TPO",'caseload data'!$C:$C,'custody caseload'!$T$29,'caseload data'!$B:$B,"custody")</f>
        <v>0</v>
      </c>
      <c r="AH33" s="94">
        <f>SUMIFS('caseload data'!R:R,'caseload data'!$D:$D,"TPO",'caseload data'!$C:$C,'custody caseload'!$T$29,'caseload data'!$B:$B,"custody")</f>
        <v>0</v>
      </c>
      <c r="AI33" s="94">
        <f>SUMIFS('caseload data'!S:S,'caseload data'!$D:$D,"TPO",'caseload data'!$C:$C,'custody caseload'!$T$29,'caseload data'!$B:$B,"custody")</f>
        <v>0</v>
      </c>
      <c r="AJ33" s="94">
        <f>SUMIFS('caseload data'!T:T,'caseload data'!$D:$D,"TPO",'caseload data'!$C:$C,'custody caseload'!$T$29,'caseload data'!$B:$B,"custody")</f>
        <v>0</v>
      </c>
    </row>
    <row r="34" spans="2:36" x14ac:dyDescent="0.15">
      <c r="B34" s="98" t="s">
        <v>1004</v>
      </c>
      <c r="C34" s="94">
        <f>SUMIFS('caseload data'!E:E,'caseload data'!$D:$D,"SPO",'caseload data'!$C:$C,'custody caseload'!$B$29,'caseload data'!$B:$B,"custody")</f>
        <v>0</v>
      </c>
      <c r="D34" s="94">
        <f>SUMIFS('caseload data'!F:F,'caseload data'!$D:$D,"SPO",'caseload data'!$C:$C,'custody caseload'!$B$29,'caseload data'!$B:$B,"custody")</f>
        <v>0</v>
      </c>
      <c r="E34" s="94">
        <f>SUMIFS('caseload data'!G:G,'caseload data'!$D:$D,"SPO",'caseload data'!$C:$C,'custody caseload'!$B$29,'caseload data'!$B:$B,"custody")</f>
        <v>0</v>
      </c>
      <c r="F34" s="94">
        <f>SUMIFS('caseload data'!H:H,'caseload data'!$D:$D,"SPO",'caseload data'!$C:$C,'custody caseload'!$B$29,'caseload data'!$B:$B,"custody")</f>
        <v>0</v>
      </c>
      <c r="G34" s="94">
        <f>SUMIFS('caseload data'!I:I,'caseload data'!$D:$D,"SPO",'caseload data'!$C:$C,'custody caseload'!$B$29,'caseload data'!$B:$B,"custody")</f>
        <v>0</v>
      </c>
      <c r="H34" s="94">
        <f>SUMIFS('caseload data'!J:J,'caseload data'!$D:$D,"SPO",'caseload data'!$C:$C,'custody caseload'!$B$29,'caseload data'!$B:$B,"custody")</f>
        <v>0</v>
      </c>
      <c r="I34" s="94">
        <f>SUMIFS('caseload data'!K:K,'caseload data'!$D:$D,"SPO",'caseload data'!$C:$C,'custody caseload'!$B$29,'caseload data'!$B:$B,"custody")</f>
        <v>0</v>
      </c>
      <c r="J34" s="94">
        <f>SUMIFS('caseload data'!L:L,'caseload data'!$D:$D,"SPO",'caseload data'!$C:$C,'custody caseload'!$B$29,'caseload data'!$B:$B,"custody")</f>
        <v>0</v>
      </c>
      <c r="K34" s="94">
        <f>SUMIFS('caseload data'!M:M,'caseload data'!$D:$D,"SPO",'caseload data'!$C:$C,'custody caseload'!$B$29,'caseload data'!$B:$B,"custody")</f>
        <v>0</v>
      </c>
      <c r="L34" s="94">
        <f>SUMIFS('caseload data'!N:N,'caseload data'!$D:$D,"SPO",'caseload data'!$C:$C,'custody caseload'!$B$29,'caseload data'!$B:$B,"custody")</f>
        <v>0</v>
      </c>
      <c r="M34" s="94">
        <f>SUMIFS('caseload data'!O:O,'caseload data'!$D:$D,"SPO",'caseload data'!$C:$C,'custody caseload'!$B$29,'caseload data'!$B:$B,"custody")</f>
        <v>0</v>
      </c>
      <c r="N34" s="94">
        <f>SUMIFS('caseload data'!P:P,'caseload data'!$D:$D,"SPO",'caseload data'!$C:$C,'custody caseload'!$B$29,'caseload data'!$B:$B,"custody")</f>
        <v>0</v>
      </c>
      <c r="O34" s="94">
        <f>SUMIFS('caseload data'!Q:Q,'caseload data'!$D:$D,"SPO",'caseload data'!$C:$C,'custody caseload'!$B$29,'caseload data'!$B:$B,"custody")</f>
        <v>0</v>
      </c>
      <c r="P34" s="94">
        <f>SUMIFS('caseload data'!R:R,'caseload data'!$D:$D,"SPO",'caseload data'!$C:$C,'custody caseload'!$B$29,'caseload data'!$B:$B,"custody")</f>
        <v>0</v>
      </c>
      <c r="Q34" s="94">
        <f>SUMIFS('caseload data'!S:S,'caseload data'!$D:$D,"SPO",'caseload data'!$C:$C,'custody caseload'!$B$29,'caseload data'!$B:$B,"custody")</f>
        <v>0</v>
      </c>
      <c r="R34" s="94">
        <f>SUMIFS('caseload data'!T:T,'caseload data'!$D:$D,"SPO",'caseload data'!$C:$C,'custody caseload'!$B$29,'caseload data'!$B:$B,"custody")</f>
        <v>0</v>
      </c>
      <c r="S34" s="64"/>
      <c r="T34" s="98" t="s">
        <v>1004</v>
      </c>
      <c r="U34" s="94">
        <f>SUMIFS('caseload data'!E:E,'caseload data'!$D:$D,"SPO",'caseload data'!$C:$C,'custody caseload'!$T$29,'caseload data'!$B:$B,"custody")</f>
        <v>0</v>
      </c>
      <c r="V34" s="94">
        <f>SUMIFS('caseload data'!F:F,'caseload data'!$D:$D,"SPO",'caseload data'!$C:$C,'custody caseload'!$T$29,'caseload data'!$B:$B,"custody")</f>
        <v>0</v>
      </c>
      <c r="W34" s="94">
        <f>SUMIFS('caseload data'!G:G,'caseload data'!$D:$D,"SPO",'caseload data'!$C:$C,'custody caseload'!$T$29,'caseload data'!$B:$B,"custody")</f>
        <v>0</v>
      </c>
      <c r="X34" s="94">
        <f>SUMIFS('caseload data'!H:H,'caseload data'!$D:$D,"SPO",'caseload data'!$C:$C,'custody caseload'!$T$29,'caseload data'!$B:$B,"custody")</f>
        <v>0</v>
      </c>
      <c r="Y34" s="94">
        <f>SUMIFS('caseload data'!I:I,'caseload data'!$D:$D,"SPO",'caseload data'!$C:$C,'custody caseload'!$T$29,'caseload data'!$B:$B,"custody")</f>
        <v>0</v>
      </c>
      <c r="Z34" s="94">
        <f>SUMIFS('caseload data'!J:J,'caseload data'!$D:$D,"SPO",'caseload data'!$C:$C,'custody caseload'!$T$29,'caseload data'!$B:$B,"custody")</f>
        <v>0</v>
      </c>
      <c r="AA34" s="94">
        <f>SUMIFS('caseload data'!K:K,'caseload data'!$D:$D,"SPO",'caseload data'!$C:$C,'custody caseload'!$T$29,'caseload data'!$B:$B,"custody")</f>
        <v>0</v>
      </c>
      <c r="AB34" s="94">
        <f>SUMIFS('caseload data'!L:L,'caseload data'!$D:$D,"SPO",'caseload data'!$C:$C,'custody caseload'!$T$29,'caseload data'!$B:$B,"custody")</f>
        <v>0</v>
      </c>
      <c r="AC34" s="94">
        <f>SUMIFS('caseload data'!M:M,'caseload data'!$D:$D,"SPO",'caseload data'!$C:$C,'custody caseload'!$T$29,'caseload data'!$B:$B,"custody")</f>
        <v>0</v>
      </c>
      <c r="AD34" s="94">
        <f>SUMIFS('caseload data'!N:N,'caseload data'!$D:$D,"SPO",'caseload data'!$C:$C,'custody caseload'!$T$29,'caseload data'!$B:$B,"custody")</f>
        <v>0</v>
      </c>
      <c r="AE34" s="94">
        <f>SUMIFS('caseload data'!O:O,'caseload data'!$D:$D,"SPO",'caseload data'!$C:$C,'custody caseload'!$T$29,'caseload data'!$B:$B,"custody")</f>
        <v>0</v>
      </c>
      <c r="AF34" s="94">
        <f>SUMIFS('caseload data'!P:P,'caseload data'!$D:$D,"SPO",'caseload data'!$C:$C,'custody caseload'!$T$29,'caseload data'!$B:$B,"custody")</f>
        <v>0</v>
      </c>
      <c r="AG34" s="94">
        <f>SUMIFS('caseload data'!Q:Q,'caseload data'!$D:$D,"SPO",'caseload data'!$C:$C,'custody caseload'!$T$29,'caseload data'!$B:$B,"custody")</f>
        <v>0</v>
      </c>
      <c r="AH34" s="94">
        <f>SUMIFS('caseload data'!R:R,'caseload data'!$D:$D,"SPO",'caseload data'!$C:$C,'custody caseload'!$T$29,'caseload data'!$B:$B,"custody")</f>
        <v>0</v>
      </c>
      <c r="AI34" s="94">
        <f>SUMIFS('caseload data'!S:S,'caseload data'!$D:$D,"SPO",'caseload data'!$C:$C,'custody caseload'!$T$29,'caseload data'!$B:$B,"custody")</f>
        <v>0</v>
      </c>
      <c r="AJ34" s="94">
        <f>SUMIFS('caseload data'!T:T,'caseload data'!$D:$D,"SPO",'caseload data'!$C:$C,'custody caseload'!$T$29,'caseload data'!$B:$B,"custody")</f>
        <v>0</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27.75" customHeight="1" x14ac:dyDescent="0.15">
      <c r="B36" s="142">
        <f>HLOOKUP($B$5,Region_Table,10,0)</f>
        <v>0</v>
      </c>
      <c r="C36" s="525" t="s">
        <v>1127</v>
      </c>
      <c r="D36" s="526"/>
      <c r="E36" s="526"/>
      <c r="F36" s="526"/>
      <c r="G36" s="526"/>
      <c r="H36" s="526"/>
      <c r="I36" s="526"/>
      <c r="J36" s="526"/>
      <c r="K36" s="526"/>
      <c r="L36" s="526"/>
      <c r="M36" s="535"/>
      <c r="N36" s="535"/>
      <c r="O36" s="536"/>
      <c r="P36" s="512">
        <f>SUMIFS('caseload data'!V:V,'caseload data'!B:B,"custody",'caseload data'!$C:$C,'custody caseload'!B36)</f>
        <v>0</v>
      </c>
      <c r="Q36" s="529"/>
      <c r="R36" s="530"/>
      <c r="S36" s="64"/>
      <c r="T36" s="142">
        <f>HLOOKUP($B$5,Region_Table,11,0)</f>
        <v>0</v>
      </c>
      <c r="U36" s="525" t="s">
        <v>1126</v>
      </c>
      <c r="V36" s="526"/>
      <c r="W36" s="526"/>
      <c r="X36" s="526"/>
      <c r="Y36" s="526"/>
      <c r="Z36" s="526"/>
      <c r="AA36" s="526"/>
      <c r="AB36" s="526"/>
      <c r="AC36" s="526"/>
      <c r="AD36" s="526"/>
      <c r="AE36" s="535"/>
      <c r="AF36" s="535"/>
      <c r="AG36" s="536"/>
      <c r="AH36" s="512">
        <f>SUMIFS('caseload data'!V:V,'caseload data'!B:B,"custody",'caseload data'!$C:$C,'custody caseload'!T36)</f>
        <v>0</v>
      </c>
      <c r="AI36" s="529"/>
      <c r="AJ36" s="530"/>
    </row>
    <row r="37" spans="2:36" x14ac:dyDescent="0.15">
      <c r="B37" s="95" t="s">
        <v>1001</v>
      </c>
      <c r="C37" s="38" t="s">
        <v>864</v>
      </c>
      <c r="D37" s="38" t="s">
        <v>865</v>
      </c>
      <c r="E37" s="38" t="s">
        <v>866</v>
      </c>
      <c r="F37" s="38" t="s">
        <v>867</v>
      </c>
      <c r="G37" s="38" t="s">
        <v>868</v>
      </c>
      <c r="H37" s="38" t="s">
        <v>869</v>
      </c>
      <c r="I37" s="38" t="s">
        <v>870</v>
      </c>
      <c r="J37" s="38" t="s">
        <v>871</v>
      </c>
      <c r="K37" s="38" t="s">
        <v>872</v>
      </c>
      <c r="L37" s="38" t="s">
        <v>873</v>
      </c>
      <c r="M37" s="38" t="s">
        <v>874</v>
      </c>
      <c r="N37" s="38" t="s">
        <v>875</v>
      </c>
      <c r="O37" s="38" t="s">
        <v>876</v>
      </c>
      <c r="P37" s="38" t="s">
        <v>877</v>
      </c>
      <c r="Q37" s="38" t="s">
        <v>878</v>
      </c>
      <c r="R37" s="38" t="s">
        <v>879</v>
      </c>
      <c r="S37" s="64"/>
      <c r="T37" s="95" t="s">
        <v>1001</v>
      </c>
      <c r="U37" s="38" t="s">
        <v>864</v>
      </c>
      <c r="V37" s="38" t="s">
        <v>865</v>
      </c>
      <c r="W37" s="38" t="s">
        <v>866</v>
      </c>
      <c r="X37" s="38" t="s">
        <v>867</v>
      </c>
      <c r="Y37" s="38" t="s">
        <v>868</v>
      </c>
      <c r="Z37" s="38" t="s">
        <v>869</v>
      </c>
      <c r="AA37" s="38" t="s">
        <v>870</v>
      </c>
      <c r="AB37" s="38" t="s">
        <v>871</v>
      </c>
      <c r="AC37" s="38" t="s">
        <v>872</v>
      </c>
      <c r="AD37" s="38" t="s">
        <v>873</v>
      </c>
      <c r="AE37" s="38" t="s">
        <v>874</v>
      </c>
      <c r="AF37" s="38" t="s">
        <v>875</v>
      </c>
      <c r="AG37" s="38" t="s">
        <v>876</v>
      </c>
      <c r="AH37" s="38" t="s">
        <v>877</v>
      </c>
      <c r="AI37" s="38" t="s">
        <v>878</v>
      </c>
      <c r="AJ37" s="38" t="s">
        <v>879</v>
      </c>
    </row>
    <row r="38" spans="2:36" x14ac:dyDescent="0.15">
      <c r="B38" s="96" t="s">
        <v>997</v>
      </c>
      <c r="C38" s="94">
        <f>SUMIFS('caseload data'!E:E,'caseload data'!$D:$D,"PO",'caseload data'!$C:$C,'custody caseload'!$B$36,'caseload data'!$B:$B,"custody")</f>
        <v>0</v>
      </c>
      <c r="D38" s="94">
        <f>SUMIFS('caseload data'!F:F,'caseload data'!$D:$D,"PO",'caseload data'!$C:$C,'custody caseload'!$B$36,'caseload data'!$B:$B,"custody")</f>
        <v>0</v>
      </c>
      <c r="E38" s="94">
        <f>SUMIFS('caseload data'!G:G,'caseload data'!$D:$D,"PO",'caseload data'!$C:$C,'custody caseload'!$B$36,'caseload data'!$B:$B,"custody")</f>
        <v>0</v>
      </c>
      <c r="F38" s="94">
        <f>SUMIFS('caseload data'!H:H,'caseload data'!$D:$D,"PO",'caseload data'!$C:$C,'custody caseload'!$B$36,'caseload data'!$B:$B,"custody")</f>
        <v>0</v>
      </c>
      <c r="G38" s="94">
        <f>SUMIFS('caseload data'!I:I,'caseload data'!$D:$D,"PO",'caseload data'!$C:$C,'custody caseload'!$B$36,'caseload data'!$B:$B,"custody")</f>
        <v>0</v>
      </c>
      <c r="H38" s="94">
        <f>SUMIFS('caseload data'!J:J,'caseload data'!$D:$D,"PO",'caseload data'!$C:$C,'custody caseload'!$B$36,'caseload data'!$B:$B,"custody")</f>
        <v>0</v>
      </c>
      <c r="I38" s="94">
        <f>SUMIFS('caseload data'!K:K,'caseload data'!$D:$D,"PO",'caseload data'!$C:$C,'custody caseload'!$B$36,'caseload data'!$B:$B,"custody")</f>
        <v>0</v>
      </c>
      <c r="J38" s="94">
        <f>SUMIFS('caseload data'!L:L,'caseload data'!$D:$D,"PO",'caseload data'!$C:$C,'custody caseload'!$B$36,'caseload data'!$B:$B,"custody")</f>
        <v>0</v>
      </c>
      <c r="K38" s="94">
        <f>SUMIFS('caseload data'!M:M,'caseload data'!$D:$D,"PO",'caseload data'!$C:$C,'custody caseload'!$B$36,'caseload data'!$B:$B,"custody")</f>
        <v>0</v>
      </c>
      <c r="L38" s="94">
        <f>SUMIFS('caseload data'!N:N,'caseload data'!$D:$D,"PO",'caseload data'!$C:$C,'custody caseload'!$B$36,'caseload data'!$B:$B,"custody")</f>
        <v>0</v>
      </c>
      <c r="M38" s="94">
        <f>SUMIFS('caseload data'!O:O,'caseload data'!$D:$D,"PO",'caseload data'!$C:$C,'custody caseload'!$B$36,'caseload data'!$B:$B,"custody")</f>
        <v>0</v>
      </c>
      <c r="N38" s="94">
        <f>SUMIFS('caseload data'!P:P,'caseload data'!$D:$D,"PO",'caseload data'!$C:$C,'custody caseload'!$B$36,'caseload data'!$B:$B,"custody")</f>
        <v>0</v>
      </c>
      <c r="O38" s="94">
        <f>SUMIFS('caseload data'!Q:Q,'caseload data'!$D:$D,"PO",'caseload data'!$C:$C,'custody caseload'!$B$36,'caseload data'!$B:$B,"custody")</f>
        <v>0</v>
      </c>
      <c r="P38" s="94">
        <f>SUMIFS('caseload data'!R:R,'caseload data'!$D:$D,"PO",'caseload data'!$C:$C,'custody caseload'!$B$36,'caseload data'!$B:$B,"custody")</f>
        <v>0</v>
      </c>
      <c r="Q38" s="94">
        <f>SUMIFS('caseload data'!S:S,'caseload data'!$D:$D,"PO",'caseload data'!$C:$C,'custody caseload'!$B$36,'caseload data'!$B:$B,"custody")</f>
        <v>0</v>
      </c>
      <c r="R38" s="94">
        <f>SUMIFS('caseload data'!T:T,'caseload data'!$D:$D,"PO",'caseload data'!$C:$C,'custody caseload'!$B$36,'caseload data'!$B:$B,"custody")</f>
        <v>0</v>
      </c>
      <c r="S38" s="64"/>
      <c r="T38" s="96" t="s">
        <v>997</v>
      </c>
      <c r="U38" s="94">
        <f>SUMIFS('caseload data'!E:E,'caseload data'!$D:$D,"PO",'caseload data'!$C:$C,'custody caseload'!$T$36,'caseload data'!$B:$B,"custody")</f>
        <v>0</v>
      </c>
      <c r="V38" s="94">
        <f>SUMIFS('caseload data'!F:F,'caseload data'!$D:$D,"PO",'caseload data'!$C:$C,'custody caseload'!$T$36,'caseload data'!$B:$B,"custody")</f>
        <v>0</v>
      </c>
      <c r="W38" s="94">
        <f>SUMIFS('caseload data'!G:G,'caseload data'!$D:$D,"PO",'caseload data'!$C:$C,'custody caseload'!$T$36,'caseload data'!$B:$B,"custody")</f>
        <v>0</v>
      </c>
      <c r="X38" s="94">
        <f>SUMIFS('caseload data'!H:H,'caseload data'!$D:$D,"PO",'caseload data'!$C:$C,'custody caseload'!$T$36,'caseload data'!$B:$B,"custody")</f>
        <v>0</v>
      </c>
      <c r="Y38" s="94">
        <f>SUMIFS('caseload data'!I:I,'caseload data'!$D:$D,"PO",'caseload data'!$C:$C,'custody caseload'!$T$36,'caseload data'!$B:$B,"custody")</f>
        <v>0</v>
      </c>
      <c r="Z38" s="94">
        <f>SUMIFS('caseload data'!J:J,'caseload data'!$D:$D,"PO",'caseload data'!$C:$C,'custody caseload'!$T$36,'caseload data'!$B:$B,"custody")</f>
        <v>0</v>
      </c>
      <c r="AA38" s="94">
        <f>SUMIFS('caseload data'!K:K,'caseload data'!$D:$D,"PO",'caseload data'!$C:$C,'custody caseload'!$T$36,'caseload data'!$B:$B,"custody")</f>
        <v>0</v>
      </c>
      <c r="AB38" s="94">
        <f>SUMIFS('caseload data'!L:L,'caseload data'!$D:$D,"PO",'caseload data'!$C:$C,'custody caseload'!$T$36,'caseload data'!$B:$B,"custody")</f>
        <v>0</v>
      </c>
      <c r="AC38" s="94">
        <f>SUMIFS('caseload data'!M:M,'caseload data'!$D:$D,"PO",'caseload data'!$C:$C,'custody caseload'!$T$36,'caseload data'!$B:$B,"custody")</f>
        <v>0</v>
      </c>
      <c r="AD38" s="94">
        <f>SUMIFS('caseload data'!N:N,'caseload data'!$D:$D,"PO",'caseload data'!$C:$C,'custody caseload'!$T$36,'caseload data'!$B:$B,"custody")</f>
        <v>0</v>
      </c>
      <c r="AE38" s="94">
        <f>SUMIFS('caseload data'!O:O,'caseload data'!$D:$D,"PO",'caseload data'!$C:$C,'custody caseload'!$T$36,'caseload data'!$B:$B,"custody")</f>
        <v>0</v>
      </c>
      <c r="AF38" s="94">
        <f>SUMIFS('caseload data'!P:P,'caseload data'!$D:$D,"PO",'caseload data'!$C:$C,'custody caseload'!$T$36,'caseload data'!$B:$B,"custody")</f>
        <v>0</v>
      </c>
      <c r="AG38" s="94">
        <f>SUMIFS('caseload data'!Q:Q,'caseload data'!$D:$D,"PO",'caseload data'!$C:$C,'custody caseload'!$T$36,'caseload data'!$B:$B,"custody")</f>
        <v>0</v>
      </c>
      <c r="AH38" s="94">
        <f>SUMIFS('caseload data'!R:R,'caseload data'!$D:$D,"PO",'caseload data'!$C:$C,'custody caseload'!$T$36,'caseload data'!$B:$B,"custody")</f>
        <v>0</v>
      </c>
      <c r="AI38" s="94">
        <f>SUMIFS('caseload data'!S:S,'caseload data'!$D:$D,"PO",'caseload data'!$C:$C,'custody caseload'!$T$36,'caseload data'!$B:$B,"custody")</f>
        <v>0</v>
      </c>
      <c r="AJ38" s="94">
        <f>SUMIFS('caseload data'!T:T,'caseload data'!$D:$D,"PO",'caseload data'!$C:$C,'custody caseload'!$T$36,'caseload data'!$B:$B,"custody")</f>
        <v>0</v>
      </c>
    </row>
    <row r="39" spans="2:36" ht="15" x14ac:dyDescent="0.2">
      <c r="B39" s="97" t="s">
        <v>1002</v>
      </c>
      <c r="C39" s="145">
        <f>SUMIFS('caseload data'!E:E,'caseload data'!$D:$D,"PSO",'caseload data'!$C:$C,'custody caseload'!$B$36,'caseload data'!$B:$B,"custody")</f>
        <v>0</v>
      </c>
      <c r="D39" s="145">
        <f>SUMIFS('caseload data'!F:F,'caseload data'!$D:$D,"PSO",'caseload data'!$C:$C,'custody caseload'!$B$36,'caseload data'!$B:$B,"custody")</f>
        <v>0</v>
      </c>
      <c r="E39" s="145">
        <f>SUMIFS('caseload data'!G:G,'caseload data'!$D:$D,"PSO",'caseload data'!$C:$C,'custody caseload'!$B$36,'caseload data'!$B:$B,"custody")</f>
        <v>0</v>
      </c>
      <c r="F39" s="145">
        <f>SUMIFS('caseload data'!H:H,'caseload data'!$D:$D,"PSO",'caseload data'!$C:$C,'custody caseload'!$B$36,'caseload data'!$B:$B,"custody")</f>
        <v>0</v>
      </c>
      <c r="G39" s="145">
        <f>SUMIFS('caseload data'!I:I,'caseload data'!$D:$D,"PSO",'caseload data'!$C:$C,'custody caseload'!$B$36,'caseload data'!$B:$B,"custody")</f>
        <v>0</v>
      </c>
      <c r="H39" s="145">
        <f>SUMIFS('caseload data'!J:J,'caseload data'!$D:$D,"PSO",'caseload data'!$C:$C,'custody caseload'!$B$36,'caseload data'!$B:$B,"custody")</f>
        <v>0</v>
      </c>
      <c r="I39" s="145">
        <f>SUMIFS('caseload data'!K:K,'caseload data'!$D:$D,"PSO",'caseload data'!$C:$C,'custody caseload'!$B$36,'caseload data'!$B:$B,"custody")</f>
        <v>0</v>
      </c>
      <c r="J39" s="145">
        <f>SUMIFS('caseload data'!L:L,'caseload data'!$D:$D,"PSO",'caseload data'!$C:$C,'custody caseload'!$B$36,'caseload data'!$B:$B,"custody")</f>
        <v>0</v>
      </c>
      <c r="K39" s="94">
        <f>SUMIFS('caseload data'!M:M,'caseload data'!$D:$D,"PSO",'caseload data'!$C:$C,'custody caseload'!$B$36,'caseload data'!$B:$B,"custody")</f>
        <v>0</v>
      </c>
      <c r="L39" s="94">
        <f>SUMIFS('caseload data'!N:N,'caseload data'!$D:$D,"PSO",'caseload data'!$C:$C,'custody caseload'!$B$36,'caseload data'!$B:$B,"custody")</f>
        <v>0</v>
      </c>
      <c r="M39" s="94">
        <f>SUMIFS('caseload data'!O:O,'caseload data'!$D:$D,"PSO",'caseload data'!$C:$C,'custody caseload'!$B$36,'caseload data'!$B:$B,"custody")</f>
        <v>0</v>
      </c>
      <c r="N39" s="94">
        <f>SUMIFS('caseload data'!P:P,'caseload data'!$D:$D,"PSO",'caseload data'!$C:$C,'custody caseload'!$B$36,'caseload data'!$B:$B,"custody")</f>
        <v>0</v>
      </c>
      <c r="O39" s="94">
        <f>SUMIFS('caseload data'!Q:Q,'caseload data'!$D:$D,"PSO",'caseload data'!$C:$C,'custody caseload'!$B$36,'caseload data'!$B:$B,"custody")</f>
        <v>0</v>
      </c>
      <c r="P39" s="94">
        <f>SUMIFS('caseload data'!R:R,'caseload data'!$D:$D,"PSO",'caseload data'!$C:$C,'custody caseload'!$B$36,'caseload data'!$B:$B,"custody")</f>
        <v>0</v>
      </c>
      <c r="Q39" s="94">
        <f>SUMIFS('caseload data'!S:S,'caseload data'!$D:$D,"PSO",'caseload data'!$C:$C,'custody caseload'!$B$36,'caseload data'!$B:$B,"custody")</f>
        <v>0</v>
      </c>
      <c r="R39" s="94">
        <f>SUMIFS('caseload data'!T:T,'caseload data'!$D:$D,"PSO",'caseload data'!$C:$C,'custody caseload'!$B$36,'caseload data'!$B:$B,"custody")</f>
        <v>0</v>
      </c>
      <c r="S39" s="64"/>
      <c r="T39" s="97" t="s">
        <v>1002</v>
      </c>
      <c r="U39" s="145">
        <f>SUMIFS('caseload data'!E:E,'caseload data'!$D:$D,"PSO",'caseload data'!$C:$C,'custody caseload'!$T$36,'caseload data'!$B:$B,"custody")</f>
        <v>0</v>
      </c>
      <c r="V39" s="145">
        <f>SUMIFS('caseload data'!F:F,'caseload data'!$D:$D,"PSO",'caseload data'!$C:$C,'custody caseload'!$T$36,'caseload data'!$B:$B,"custody")</f>
        <v>0</v>
      </c>
      <c r="W39" s="145">
        <f>SUMIFS('caseload data'!G:G,'caseload data'!$D:$D,"PSO",'caseload data'!$C:$C,'custody caseload'!$T$36,'caseload data'!$B:$B,"custody")</f>
        <v>0</v>
      </c>
      <c r="X39" s="145">
        <f>SUMIFS('caseload data'!H:H,'caseload data'!$D:$D,"PSO",'caseload data'!$C:$C,'custody caseload'!$T$36,'caseload data'!$B:$B,"custody")</f>
        <v>0</v>
      </c>
      <c r="Y39" s="145">
        <f>SUMIFS('caseload data'!I:I,'caseload data'!$D:$D,"PSO",'caseload data'!$C:$C,'custody caseload'!$T$36,'caseload data'!$B:$B,"custody")</f>
        <v>0</v>
      </c>
      <c r="Z39" s="145">
        <f>SUMIFS('caseload data'!J:J,'caseload data'!$D:$D,"PSO",'caseload data'!$C:$C,'custody caseload'!$T$36,'caseload data'!$B:$B,"custody")</f>
        <v>0</v>
      </c>
      <c r="AA39" s="145">
        <f>SUMIFS('caseload data'!K:K,'caseload data'!$D:$D,"PSO",'caseload data'!$C:$C,'custody caseload'!$T$36,'caseload data'!$B:$B,"custody")</f>
        <v>0</v>
      </c>
      <c r="AB39" s="145">
        <f>SUMIFS('caseload data'!L:L,'caseload data'!$D:$D,"PSO",'caseload data'!$C:$C,'custody caseload'!$T$36,'caseload data'!$B:$B,"custody")</f>
        <v>0</v>
      </c>
      <c r="AC39" s="94">
        <f>SUMIFS('caseload data'!M:M,'caseload data'!$D:$D,"PSO",'caseload data'!$C:$C,'custody caseload'!$T$36,'caseload data'!$B:$B,"custody")</f>
        <v>0</v>
      </c>
      <c r="AD39" s="94">
        <f>SUMIFS('caseload data'!N:N,'caseload data'!$D:$D,"PSO",'caseload data'!$C:$C,'custody caseload'!$T$36,'caseload data'!$B:$B,"custody")</f>
        <v>0</v>
      </c>
      <c r="AE39" s="94">
        <f>SUMIFS('caseload data'!O:O,'caseload data'!$D:$D,"PSO",'caseload data'!$C:$C,'custody caseload'!$T$36,'caseload data'!$B:$B,"custody")</f>
        <v>0</v>
      </c>
      <c r="AF39" s="94">
        <f>SUMIFS('caseload data'!P:P,'caseload data'!$D:$D,"PSO",'caseload data'!$C:$C,'custody caseload'!$T$36,'caseload data'!$B:$B,"custody")</f>
        <v>0</v>
      </c>
      <c r="AG39" s="94">
        <f>SUMIFS('caseload data'!Q:Q,'caseload data'!$D:$D,"PSO",'caseload data'!$C:$C,'custody caseload'!$T$36,'caseload data'!$B:$B,"custody")</f>
        <v>0</v>
      </c>
      <c r="AH39" s="94">
        <f>SUMIFS('caseload data'!R:R,'caseload data'!$D:$D,"PSO",'caseload data'!$C:$C,'custody caseload'!$T$36,'caseload data'!$B:$B,"custody")</f>
        <v>0</v>
      </c>
      <c r="AI39" s="94">
        <f>SUMIFS('caseload data'!S:S,'caseload data'!$D:$D,"PSO",'caseload data'!$C:$C,'custody caseload'!$T$36,'caseload data'!$B:$B,"custody")</f>
        <v>0</v>
      </c>
      <c r="AJ39" s="94">
        <f>SUMIFS('caseload data'!T:T,'caseload data'!$D:$D,"PSO",'caseload data'!$C:$C,'custody caseload'!$T$36,'caseload data'!$B:$B,"custody")</f>
        <v>0</v>
      </c>
    </row>
    <row r="40" spans="2:36" ht="15" x14ac:dyDescent="0.2">
      <c r="B40" s="97" t="s">
        <v>1003</v>
      </c>
      <c r="C40" s="145">
        <f>SUMIFS('caseload data'!E:E,'caseload data'!$D:$D,"TPO",'caseload data'!$C:$C,'custody caseload'!$B$36,'caseload data'!$B:$B,"custody")</f>
        <v>0</v>
      </c>
      <c r="D40" s="145">
        <f>SUMIFS('caseload data'!F:F,'caseload data'!$D:$D,"TPO",'caseload data'!$C:$C,'custody caseload'!$B$36,'caseload data'!$B:$B,"custody")</f>
        <v>0</v>
      </c>
      <c r="E40" s="145">
        <f>SUMIFS('caseload data'!G:G,'caseload data'!$D:$D,"TPO",'caseload data'!$C:$C,'custody caseload'!$B$36,'caseload data'!$B:$B,"custody")</f>
        <v>0</v>
      </c>
      <c r="F40" s="145">
        <f>SUMIFS('caseload data'!H:H,'caseload data'!$D:$D,"TPO",'caseload data'!$C:$C,'custody caseload'!$B$36,'caseload data'!$B:$B,"custody")</f>
        <v>0</v>
      </c>
      <c r="G40" s="145">
        <f>SUMIFS('caseload data'!I:I,'caseload data'!$D:$D,"TPO",'caseload data'!$C:$C,'custody caseload'!$B$36,'caseload data'!$B:$B,"custody")</f>
        <v>0</v>
      </c>
      <c r="H40" s="145">
        <f>SUMIFS('caseload data'!J:J,'caseload data'!$D:$D,"TPO",'caseload data'!$C:$C,'custody caseload'!$B$36,'caseload data'!$B:$B,"custody")</f>
        <v>0</v>
      </c>
      <c r="I40" s="145">
        <f>SUMIFS('caseload data'!K:K,'caseload data'!$D:$D,"TPO",'caseload data'!$C:$C,'custody caseload'!$B$36,'caseload data'!$B:$B,"custody")</f>
        <v>0</v>
      </c>
      <c r="J40" s="145">
        <f>SUMIFS('caseload data'!L:L,'caseload data'!$D:$D,"TPO",'caseload data'!$C:$C,'custody caseload'!$B$36,'caseload data'!$B:$B,"custody")</f>
        <v>0</v>
      </c>
      <c r="K40" s="94">
        <f>SUMIFS('caseload data'!M:M,'caseload data'!$D:$D,"TPO",'caseload data'!$C:$C,'custody caseload'!$B$36,'caseload data'!$B:$B,"custody")</f>
        <v>0</v>
      </c>
      <c r="L40" s="94">
        <f>SUMIFS('caseload data'!N:N,'caseload data'!$D:$D,"TPO",'caseload data'!$C:$C,'custody caseload'!$B$36,'caseload data'!$B:$B,"custody")</f>
        <v>0</v>
      </c>
      <c r="M40" s="94">
        <f>SUMIFS('caseload data'!O:O,'caseload data'!$D:$D,"TPO",'caseload data'!$C:$C,'custody caseload'!$B$36,'caseload data'!$B:$B,"custody")</f>
        <v>0</v>
      </c>
      <c r="N40" s="94">
        <f>SUMIFS('caseload data'!P:P,'caseload data'!$D:$D,"TPO",'caseload data'!$C:$C,'custody caseload'!$B$36,'caseload data'!$B:$B,"custody")</f>
        <v>0</v>
      </c>
      <c r="O40" s="94">
        <f>SUMIFS('caseload data'!Q:Q,'caseload data'!$D:$D,"TPO",'caseload data'!$C:$C,'custody caseload'!$B$36,'caseload data'!$B:$B,"custody")</f>
        <v>0</v>
      </c>
      <c r="P40" s="94">
        <f>SUMIFS('caseload data'!R:R,'caseload data'!$D:$D,"TPO",'caseload data'!$C:$C,'custody caseload'!$B$36,'caseload data'!$B:$B,"custody")</f>
        <v>0</v>
      </c>
      <c r="Q40" s="94">
        <f>SUMIFS('caseload data'!S:S,'caseload data'!$D:$D,"TPO",'caseload data'!$C:$C,'custody caseload'!$B$36,'caseload data'!$B:$B,"custody")</f>
        <v>0</v>
      </c>
      <c r="R40" s="94">
        <f>SUMIFS('caseload data'!T:T,'caseload data'!$D:$D,"TPO",'caseload data'!$C:$C,'custody caseload'!$B$36,'caseload data'!$B:$B,"custody")</f>
        <v>0</v>
      </c>
      <c r="S40" s="64"/>
      <c r="T40" s="97" t="s">
        <v>1003</v>
      </c>
      <c r="U40" s="145">
        <f>SUMIFS('caseload data'!E:E,'caseload data'!$D:$D,"TPO",'caseload data'!$C:$C,'custody caseload'!$T$36,'caseload data'!$B:$B,"custody")</f>
        <v>0</v>
      </c>
      <c r="V40" s="145">
        <f>SUMIFS('caseload data'!F:F,'caseload data'!$D:$D,"TPO",'caseload data'!$C:$C,'custody caseload'!$T$36,'caseload data'!$B:$B,"custody")</f>
        <v>0</v>
      </c>
      <c r="W40" s="145">
        <f>SUMIFS('caseload data'!G:G,'caseload data'!$D:$D,"TPO",'caseload data'!$C:$C,'custody caseload'!$T$36,'caseload data'!$B:$B,"custody")</f>
        <v>0</v>
      </c>
      <c r="X40" s="145">
        <f>SUMIFS('caseload data'!H:H,'caseload data'!$D:$D,"TPO",'caseload data'!$C:$C,'custody caseload'!$T$36,'caseload data'!$B:$B,"custody")</f>
        <v>0</v>
      </c>
      <c r="Y40" s="145">
        <f>SUMIFS('caseload data'!I:I,'caseload data'!$D:$D,"TPO",'caseload data'!$C:$C,'custody caseload'!$T$36,'caseload data'!$B:$B,"custody")</f>
        <v>0</v>
      </c>
      <c r="Z40" s="145">
        <f>SUMIFS('caseload data'!J:J,'caseload data'!$D:$D,"TPO",'caseload data'!$C:$C,'custody caseload'!$T$36,'caseload data'!$B:$B,"custody")</f>
        <v>0</v>
      </c>
      <c r="AA40" s="145">
        <f>SUMIFS('caseload data'!K:K,'caseload data'!$D:$D,"TPO",'caseload data'!$C:$C,'custody caseload'!$T$36,'caseload data'!$B:$B,"custody")</f>
        <v>0</v>
      </c>
      <c r="AB40" s="145">
        <f>SUMIFS('caseload data'!L:L,'caseload data'!$D:$D,"TPO",'caseload data'!$C:$C,'custody caseload'!$T$36,'caseload data'!$B:$B,"custody")</f>
        <v>0</v>
      </c>
      <c r="AC40" s="94">
        <f>SUMIFS('caseload data'!M:M,'caseload data'!$D:$D,"TPO",'caseload data'!$C:$C,'custody caseload'!$T$36,'caseload data'!$B:$B,"custody")</f>
        <v>0</v>
      </c>
      <c r="AD40" s="94">
        <f>SUMIFS('caseload data'!N:N,'caseload data'!$D:$D,"TPO",'caseload data'!$C:$C,'custody caseload'!$T$36,'caseload data'!$B:$B,"custody")</f>
        <v>0</v>
      </c>
      <c r="AE40" s="94">
        <f>SUMIFS('caseload data'!O:O,'caseload data'!$D:$D,"TPO",'caseload data'!$C:$C,'custody caseload'!$T$36,'caseload data'!$B:$B,"custody")</f>
        <v>0</v>
      </c>
      <c r="AF40" s="94">
        <f>SUMIFS('caseload data'!P:P,'caseload data'!$D:$D,"TPO",'caseload data'!$C:$C,'custody caseload'!$T$36,'caseload data'!$B:$B,"custody")</f>
        <v>0</v>
      </c>
      <c r="AG40" s="94">
        <f>SUMIFS('caseload data'!Q:Q,'caseload data'!$D:$D,"TPO",'caseload data'!$C:$C,'custody caseload'!$T$36,'caseload data'!$B:$B,"custody")</f>
        <v>0</v>
      </c>
      <c r="AH40" s="94">
        <f>SUMIFS('caseload data'!R:R,'caseload data'!$D:$D,"TPO",'caseload data'!$C:$C,'custody caseload'!$T$36,'caseload data'!$B:$B,"custody")</f>
        <v>0</v>
      </c>
      <c r="AI40" s="94">
        <f>SUMIFS('caseload data'!S:S,'caseload data'!$D:$D,"TPO",'caseload data'!$C:$C,'custody caseload'!$T$36,'caseload data'!$B:$B,"custody")</f>
        <v>0</v>
      </c>
      <c r="AJ40" s="94">
        <f>SUMIFS('caseload data'!T:T,'caseload data'!$D:$D,"TPO",'caseload data'!$C:$C,'custody caseload'!$T$36,'caseload data'!$B:$B,"custody")</f>
        <v>0</v>
      </c>
    </row>
    <row r="41" spans="2:36" x14ac:dyDescent="0.15">
      <c r="B41" s="98" t="s">
        <v>1004</v>
      </c>
      <c r="C41" s="94">
        <f>SUMIFS('caseload data'!E:E,'caseload data'!$D:$D,"SPO",'caseload data'!$C:$C,'custody caseload'!$B$36,'caseload data'!$B:$B,"custody")</f>
        <v>0</v>
      </c>
      <c r="D41" s="94">
        <f>SUMIFS('caseload data'!F:F,'caseload data'!$D:$D,"SPO",'caseload data'!$C:$C,'custody caseload'!$B$36,'caseload data'!$B:$B,"custody")</f>
        <v>0</v>
      </c>
      <c r="E41" s="94">
        <f>SUMIFS('caseload data'!G:G,'caseload data'!$D:$D,"SPO",'caseload data'!$C:$C,'custody caseload'!$B$36,'caseload data'!$B:$B,"custody")</f>
        <v>0</v>
      </c>
      <c r="F41" s="94">
        <f>SUMIFS('caseload data'!H:H,'caseload data'!$D:$D,"SPO",'caseload data'!$C:$C,'custody caseload'!$B$36,'caseload data'!$B:$B,"custody")</f>
        <v>0</v>
      </c>
      <c r="G41" s="94">
        <f>SUMIFS('caseload data'!I:I,'caseload data'!$D:$D,"SPO",'caseload data'!$C:$C,'custody caseload'!$B$36,'caseload data'!$B:$B,"custody")</f>
        <v>0</v>
      </c>
      <c r="H41" s="94">
        <f>SUMIFS('caseload data'!J:J,'caseload data'!$D:$D,"SPO",'caseload data'!$C:$C,'custody caseload'!$B$36,'caseload data'!$B:$B,"custody")</f>
        <v>0</v>
      </c>
      <c r="I41" s="94">
        <f>SUMIFS('caseload data'!K:K,'caseload data'!$D:$D,"SPO",'caseload data'!$C:$C,'custody caseload'!$B$36,'caseload data'!$B:$B,"custody")</f>
        <v>0</v>
      </c>
      <c r="J41" s="94">
        <f>SUMIFS('caseload data'!L:L,'caseload data'!$D:$D,"SPO",'caseload data'!$C:$C,'custody caseload'!$B$36,'caseload data'!$B:$B,"custody")</f>
        <v>0</v>
      </c>
      <c r="K41" s="94">
        <f>SUMIFS('caseload data'!M:M,'caseload data'!$D:$D,"SPO",'caseload data'!$C:$C,'custody caseload'!$B$36,'caseload data'!$B:$B,"custody")</f>
        <v>0</v>
      </c>
      <c r="L41" s="94">
        <f>SUMIFS('caseload data'!N:N,'caseload data'!$D:$D,"SPO",'caseload data'!$C:$C,'custody caseload'!$B$36,'caseload data'!$B:$B,"custody")</f>
        <v>0</v>
      </c>
      <c r="M41" s="94">
        <f>SUMIFS('caseload data'!O:O,'caseload data'!$D:$D,"SPO",'caseload data'!$C:$C,'custody caseload'!$B$36,'caseload data'!$B:$B,"custody")</f>
        <v>0</v>
      </c>
      <c r="N41" s="94">
        <f>SUMIFS('caseload data'!P:P,'caseload data'!$D:$D,"SPO",'caseload data'!$C:$C,'custody caseload'!$B$36,'caseload data'!$B:$B,"custody")</f>
        <v>0</v>
      </c>
      <c r="O41" s="94">
        <f>SUMIFS('caseload data'!Q:Q,'caseload data'!$D:$D,"SPO",'caseload data'!$C:$C,'custody caseload'!$B$36,'caseload data'!$B:$B,"custody")</f>
        <v>0</v>
      </c>
      <c r="P41" s="94">
        <f>SUMIFS('caseload data'!R:R,'caseload data'!$D:$D,"SPO",'caseload data'!$C:$C,'custody caseload'!$B$36,'caseload data'!$B:$B,"custody")</f>
        <v>0</v>
      </c>
      <c r="Q41" s="94">
        <f>SUMIFS('caseload data'!S:S,'caseload data'!$D:$D,"SPO",'caseload data'!$C:$C,'custody caseload'!$B$36,'caseload data'!$B:$B,"custody")</f>
        <v>0</v>
      </c>
      <c r="R41" s="94">
        <f>SUMIFS('caseload data'!T:T,'caseload data'!$D:$D,"SPO",'caseload data'!$C:$C,'custody caseload'!$B$36,'caseload data'!$B:$B,"custody")</f>
        <v>0</v>
      </c>
      <c r="S41" s="64"/>
      <c r="T41" s="98" t="s">
        <v>1004</v>
      </c>
      <c r="U41" s="94">
        <f>SUMIFS('caseload data'!E:E,'caseload data'!$D:$D,"SPO",'caseload data'!$C:$C,'custody caseload'!$T$36,'caseload data'!$B:$B,"custody")</f>
        <v>0</v>
      </c>
      <c r="V41" s="94">
        <f>SUMIFS('caseload data'!F:F,'caseload data'!$D:$D,"SPO",'caseload data'!$C:$C,'custody caseload'!$T$36,'caseload data'!$B:$B,"custody")</f>
        <v>0</v>
      </c>
      <c r="W41" s="94">
        <f>SUMIFS('caseload data'!G:G,'caseload data'!$D:$D,"SPO",'caseload data'!$C:$C,'custody caseload'!$T$36,'caseload data'!$B:$B,"custody")</f>
        <v>0</v>
      </c>
      <c r="X41" s="94">
        <f>SUMIFS('caseload data'!H:H,'caseload data'!$D:$D,"SPO",'caseload data'!$C:$C,'custody caseload'!$T$36,'caseload data'!$B:$B,"custody")</f>
        <v>0</v>
      </c>
      <c r="Y41" s="94">
        <f>SUMIFS('caseload data'!I:I,'caseload data'!$D:$D,"SPO",'caseload data'!$C:$C,'custody caseload'!$T$36,'caseload data'!$B:$B,"custody")</f>
        <v>0</v>
      </c>
      <c r="Z41" s="94">
        <f>SUMIFS('caseload data'!J:J,'caseload data'!$D:$D,"SPO",'caseload data'!$C:$C,'custody caseload'!$T$36,'caseload data'!$B:$B,"custody")</f>
        <v>0</v>
      </c>
      <c r="AA41" s="94">
        <f>SUMIFS('caseload data'!K:K,'caseload data'!$D:$D,"SPO",'caseload data'!$C:$C,'custody caseload'!$T$36,'caseload data'!$B:$B,"custody")</f>
        <v>0</v>
      </c>
      <c r="AB41" s="94">
        <f>SUMIFS('caseload data'!L:L,'caseload data'!$D:$D,"SPO",'caseload data'!$C:$C,'custody caseload'!$T$36,'caseload data'!$B:$B,"custody")</f>
        <v>0</v>
      </c>
      <c r="AC41" s="94">
        <f>SUMIFS('caseload data'!M:M,'caseload data'!$D:$D,"SPO",'caseload data'!$C:$C,'custody caseload'!$T$36,'caseload data'!$B:$B,"custody")</f>
        <v>0</v>
      </c>
      <c r="AD41" s="94">
        <f>SUMIFS('caseload data'!N:N,'caseload data'!$D:$D,"SPO",'caseload data'!$C:$C,'custody caseload'!$T$36,'caseload data'!$B:$B,"custody")</f>
        <v>0</v>
      </c>
      <c r="AE41" s="94">
        <f>SUMIFS('caseload data'!O:O,'caseload data'!$D:$D,"SPO",'caseload data'!$C:$C,'custody caseload'!$T$36,'caseload data'!$B:$B,"custody")</f>
        <v>0</v>
      </c>
      <c r="AF41" s="94">
        <f>SUMIFS('caseload data'!P:P,'caseload data'!$D:$D,"SPO",'caseload data'!$C:$C,'custody caseload'!$T$36,'caseload data'!$B:$B,"custody")</f>
        <v>0</v>
      </c>
      <c r="AG41" s="94">
        <f>SUMIFS('caseload data'!Q:Q,'caseload data'!$D:$D,"SPO",'caseload data'!$C:$C,'custody caseload'!$T$36,'caseload data'!$B:$B,"custody")</f>
        <v>0</v>
      </c>
      <c r="AH41" s="94">
        <f>SUMIFS('caseload data'!R:R,'caseload data'!$D:$D,"SPO",'caseload data'!$C:$C,'custody caseload'!$T$36,'caseload data'!$B:$B,"custody")</f>
        <v>0</v>
      </c>
      <c r="AI41" s="94">
        <f>SUMIFS('caseload data'!S:S,'caseload data'!$D:$D,"SPO",'caseload data'!$C:$C,'custody caseload'!$T$36,'caseload data'!$B:$B,"custody")</f>
        <v>0</v>
      </c>
      <c r="AJ41" s="94">
        <f>SUMIFS('caseload data'!T:T,'caseload data'!$D:$D,"SPO",'caseload data'!$C:$C,'custody caseload'!$T$36,'caseload data'!$B:$B,"custody")</f>
        <v>0</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29.25" customHeight="1" x14ac:dyDescent="0.15">
      <c r="B43" s="142">
        <f>HLOOKUP($B$5,Region_Table,12,0)</f>
        <v>0</v>
      </c>
      <c r="C43" s="525" t="s">
        <v>1126</v>
      </c>
      <c r="D43" s="526"/>
      <c r="E43" s="526"/>
      <c r="F43" s="526"/>
      <c r="G43" s="526"/>
      <c r="H43" s="526"/>
      <c r="I43" s="526"/>
      <c r="J43" s="526"/>
      <c r="K43" s="526"/>
      <c r="L43" s="526"/>
      <c r="M43" s="535"/>
      <c r="N43" s="535"/>
      <c r="O43" s="536"/>
      <c r="P43" s="512">
        <f>SUMIFS('caseload data'!V:V,'caseload data'!B:B,"custody",'caseload data'!$C:$C,'custody caseload'!B43)</f>
        <v>0</v>
      </c>
      <c r="Q43" s="529"/>
      <c r="R43" s="530"/>
      <c r="S43" s="64"/>
      <c r="T43" s="142">
        <f>HLOOKUP($B$5,Region_Table,13,0)</f>
        <v>0</v>
      </c>
      <c r="U43" s="525" t="s">
        <v>1126</v>
      </c>
      <c r="V43" s="526"/>
      <c r="W43" s="526"/>
      <c r="X43" s="526"/>
      <c r="Y43" s="526"/>
      <c r="Z43" s="526"/>
      <c r="AA43" s="526"/>
      <c r="AB43" s="526"/>
      <c r="AC43" s="526"/>
      <c r="AD43" s="526"/>
      <c r="AE43" s="535"/>
      <c r="AF43" s="535"/>
      <c r="AG43" s="536"/>
      <c r="AH43" s="512">
        <f>SUMIFS('caseload data'!V:V,'caseload data'!B:B,"custody",'caseload data'!$C:$C,'custody caseload'!T43)</f>
        <v>0</v>
      </c>
      <c r="AI43" s="529"/>
      <c r="AJ43" s="530"/>
    </row>
    <row r="44" spans="2:36" x14ac:dyDescent="0.15">
      <c r="B44" s="95" t="s">
        <v>1001</v>
      </c>
      <c r="C44" s="38" t="s">
        <v>864</v>
      </c>
      <c r="D44" s="38" t="s">
        <v>865</v>
      </c>
      <c r="E44" s="38" t="s">
        <v>866</v>
      </c>
      <c r="F44" s="38" t="s">
        <v>867</v>
      </c>
      <c r="G44" s="38" t="s">
        <v>868</v>
      </c>
      <c r="H44" s="38" t="s">
        <v>869</v>
      </c>
      <c r="I44" s="38" t="s">
        <v>870</v>
      </c>
      <c r="J44" s="38" t="s">
        <v>871</v>
      </c>
      <c r="K44" s="38" t="s">
        <v>872</v>
      </c>
      <c r="L44" s="38" t="s">
        <v>873</v>
      </c>
      <c r="M44" s="38" t="s">
        <v>874</v>
      </c>
      <c r="N44" s="38" t="s">
        <v>875</v>
      </c>
      <c r="O44" s="38" t="s">
        <v>876</v>
      </c>
      <c r="P44" s="38" t="s">
        <v>877</v>
      </c>
      <c r="Q44" s="38" t="s">
        <v>878</v>
      </c>
      <c r="R44" s="38" t="s">
        <v>879</v>
      </c>
      <c r="S44" s="64"/>
      <c r="T44" s="95" t="s">
        <v>1001</v>
      </c>
      <c r="U44" s="38" t="s">
        <v>864</v>
      </c>
      <c r="V44" s="38" t="s">
        <v>865</v>
      </c>
      <c r="W44" s="38" t="s">
        <v>866</v>
      </c>
      <c r="X44" s="38" t="s">
        <v>867</v>
      </c>
      <c r="Y44" s="38" t="s">
        <v>868</v>
      </c>
      <c r="Z44" s="38" t="s">
        <v>869</v>
      </c>
      <c r="AA44" s="38" t="s">
        <v>870</v>
      </c>
      <c r="AB44" s="38" t="s">
        <v>871</v>
      </c>
      <c r="AC44" s="38" t="s">
        <v>872</v>
      </c>
      <c r="AD44" s="38" t="s">
        <v>873</v>
      </c>
      <c r="AE44" s="38" t="s">
        <v>874</v>
      </c>
      <c r="AF44" s="38" t="s">
        <v>875</v>
      </c>
      <c r="AG44" s="38" t="s">
        <v>876</v>
      </c>
      <c r="AH44" s="38" t="s">
        <v>877</v>
      </c>
      <c r="AI44" s="38" t="s">
        <v>878</v>
      </c>
      <c r="AJ44" s="38" t="s">
        <v>879</v>
      </c>
    </row>
    <row r="45" spans="2:36" x14ac:dyDescent="0.15">
      <c r="B45" s="96" t="s">
        <v>997</v>
      </c>
      <c r="C45" s="94">
        <f>SUMIFS('caseload data'!E:E,'caseload data'!$D:$D,"PO",'caseload data'!$C:$C,'custody caseload'!$B$43,'caseload data'!$B:$B,"custody")</f>
        <v>0</v>
      </c>
      <c r="D45" s="94">
        <f>SUMIFS('caseload data'!F:F,'caseload data'!$D:$D,"PO",'caseload data'!$C:$C,'custody caseload'!$B$43,'caseload data'!$B:$B,"custody")</f>
        <v>0</v>
      </c>
      <c r="E45" s="94">
        <f>SUMIFS('caseload data'!G:G,'caseload data'!$D:$D,"PO",'caseload data'!$C:$C,'custody caseload'!$B$43,'caseload data'!$B:$B,"custody")</f>
        <v>0</v>
      </c>
      <c r="F45" s="94">
        <f>SUMIFS('caseload data'!H:H,'caseload data'!$D:$D,"PO",'caseload data'!$C:$C,'custody caseload'!$B$43,'caseload data'!$B:$B,"custody")</f>
        <v>0</v>
      </c>
      <c r="G45" s="94">
        <f>SUMIFS('caseload data'!I:I,'caseload data'!$D:$D,"PO",'caseload data'!$C:$C,'custody caseload'!$B$43,'caseload data'!$B:$B,"custody")</f>
        <v>0</v>
      </c>
      <c r="H45" s="94">
        <f>SUMIFS('caseload data'!J:J,'caseload data'!$D:$D,"PO",'caseload data'!$C:$C,'custody caseload'!$B$43,'caseload data'!$B:$B,"custody")</f>
        <v>0</v>
      </c>
      <c r="I45" s="94">
        <f>SUMIFS('caseload data'!K:K,'caseload data'!$D:$D,"PO",'caseload data'!$C:$C,'custody caseload'!$B$43,'caseload data'!$B:$B,"custody")</f>
        <v>0</v>
      </c>
      <c r="J45" s="94">
        <f>SUMIFS('caseload data'!L:L,'caseload data'!$D:$D,"PO",'caseload data'!$C:$C,'custody caseload'!$B$43,'caseload data'!$B:$B,"custody")</f>
        <v>0</v>
      </c>
      <c r="K45" s="94">
        <f>SUMIFS('caseload data'!M:M,'caseload data'!$D:$D,"PO",'caseload data'!$C:$C,'custody caseload'!$B$43,'caseload data'!$B:$B,"custody")</f>
        <v>0</v>
      </c>
      <c r="L45" s="94">
        <f>SUMIFS('caseload data'!N:N,'caseload data'!$D:$D,"PO",'caseload data'!$C:$C,'custody caseload'!$B$43,'caseload data'!$B:$B,"custody")</f>
        <v>0</v>
      </c>
      <c r="M45" s="94">
        <f>SUMIFS('caseload data'!O:O,'caseload data'!$D:$D,"PO",'caseload data'!$C:$C,'custody caseload'!$B$43,'caseload data'!$B:$B,"custody")</f>
        <v>0</v>
      </c>
      <c r="N45" s="94">
        <f>SUMIFS('caseload data'!P:P,'caseload data'!$D:$D,"PO",'caseload data'!$C:$C,'custody caseload'!$B$43,'caseload data'!$B:$B,"custody")</f>
        <v>0</v>
      </c>
      <c r="O45" s="94">
        <f>SUMIFS('caseload data'!Q:Q,'caseload data'!$D:$D,"PO",'caseload data'!$C:$C,'custody caseload'!$B$43,'caseload data'!$B:$B,"custody")</f>
        <v>0</v>
      </c>
      <c r="P45" s="94">
        <f>SUMIFS('caseload data'!R:R,'caseload data'!$D:$D,"PO",'caseload data'!$C:$C,'custody caseload'!$B$43,'caseload data'!$B:$B,"custody")</f>
        <v>0</v>
      </c>
      <c r="Q45" s="94">
        <f>SUMIFS('caseload data'!S:S,'caseload data'!$D:$D,"PO",'caseload data'!$C:$C,'custody caseload'!$B$43,'caseload data'!$B:$B,"custody")</f>
        <v>0</v>
      </c>
      <c r="R45" s="94">
        <f>SUMIFS('caseload data'!T:T,'caseload data'!$D:$D,"PO",'caseload data'!$C:$C,'custody caseload'!$B$43,'caseload data'!$B:$B,"custody")</f>
        <v>0</v>
      </c>
      <c r="S45" s="64"/>
      <c r="T45" s="96" t="s">
        <v>997</v>
      </c>
      <c r="U45" s="94">
        <f>SUMIFS('caseload data'!E:E,'caseload data'!$D:$D,"PO",'caseload data'!$C:$C,'custody caseload'!$T$43,'caseload data'!$B:$B,"custody")</f>
        <v>0</v>
      </c>
      <c r="V45" s="94">
        <f>SUMIFS('caseload data'!F:F,'caseload data'!$D:$D,"PO",'caseload data'!$C:$C,'custody caseload'!$T$43,'caseload data'!$B:$B,"custody")</f>
        <v>0</v>
      </c>
      <c r="W45" s="94">
        <f>SUMIFS('caseload data'!G:G,'caseload data'!$D:$D,"PO",'caseload data'!$C:$C,'custody caseload'!$T$43,'caseload data'!$B:$B,"custody")</f>
        <v>0</v>
      </c>
      <c r="X45" s="94">
        <f>SUMIFS('caseload data'!H:H,'caseload data'!$D:$D,"PO",'caseload data'!$C:$C,'custody caseload'!$T$43,'caseload data'!$B:$B,"custody")</f>
        <v>0</v>
      </c>
      <c r="Y45" s="94">
        <f>SUMIFS('caseload data'!I:I,'caseload data'!$D:$D,"PO",'caseload data'!$C:$C,'custody caseload'!$T$43,'caseload data'!$B:$B,"custody")</f>
        <v>0</v>
      </c>
      <c r="Z45" s="94">
        <f>SUMIFS('caseload data'!J:J,'caseload data'!$D:$D,"PO",'caseload data'!$C:$C,'custody caseload'!$T$43,'caseload data'!$B:$B,"custody")</f>
        <v>0</v>
      </c>
      <c r="AA45" s="94">
        <f>SUMIFS('caseload data'!K:K,'caseload data'!$D:$D,"PO",'caseload data'!$C:$C,'custody caseload'!$T$43,'caseload data'!$B:$B,"custody")</f>
        <v>0</v>
      </c>
      <c r="AB45" s="94">
        <f>SUMIFS('caseload data'!L:L,'caseload data'!$D:$D,"PO",'caseload data'!$C:$C,'custody caseload'!$T$43,'caseload data'!$B:$B,"custody")</f>
        <v>0</v>
      </c>
      <c r="AC45" s="94">
        <f>SUMIFS('caseload data'!M:M,'caseload data'!$D:$D,"PO",'caseload data'!$C:$C,'custody caseload'!$T$43,'caseload data'!$B:$B,"custody")</f>
        <v>0</v>
      </c>
      <c r="AD45" s="94">
        <f>SUMIFS('caseload data'!N:N,'caseload data'!$D:$D,"PO",'caseload data'!$C:$C,'custody caseload'!$T$43,'caseload data'!$B:$B,"custody")</f>
        <v>0</v>
      </c>
      <c r="AE45" s="94">
        <f>SUMIFS('caseload data'!O:O,'caseload data'!$D:$D,"PO",'caseload data'!$C:$C,'custody caseload'!$T$43,'caseload data'!$B:$B,"custody")</f>
        <v>0</v>
      </c>
      <c r="AF45" s="94">
        <f>SUMIFS('caseload data'!P:P,'caseload data'!$D:$D,"PO",'caseload data'!$C:$C,'custody caseload'!$T$43,'caseload data'!$B:$B,"custody")</f>
        <v>0</v>
      </c>
      <c r="AG45" s="94">
        <f>SUMIFS('caseload data'!Q:Q,'caseload data'!$D:$D,"PO",'caseload data'!$C:$C,'custody caseload'!$T$43,'caseload data'!$B:$B,"custody")</f>
        <v>0</v>
      </c>
      <c r="AH45" s="94">
        <f>SUMIFS('caseload data'!R:R,'caseload data'!$D:$D,"PO",'caseload data'!$C:$C,'custody caseload'!$T$43,'caseload data'!$B:$B,"custody")</f>
        <v>0</v>
      </c>
      <c r="AI45" s="94">
        <f>SUMIFS('caseload data'!S:S,'caseload data'!$D:$D,"PO",'caseload data'!$C:$C,'custody caseload'!$T$43,'caseload data'!$B:$B,"custody")</f>
        <v>0</v>
      </c>
      <c r="AJ45" s="94">
        <f>SUMIFS('caseload data'!T:T,'caseload data'!$D:$D,"PO",'caseload data'!$C:$C,'custody caseload'!$T$43,'caseload data'!$B:$B,"custody")</f>
        <v>0</v>
      </c>
    </row>
    <row r="46" spans="2:36" ht="15" x14ac:dyDescent="0.2">
      <c r="B46" s="97" t="s">
        <v>1002</v>
      </c>
      <c r="C46" s="145">
        <f>SUMIFS('caseload data'!E:E,'caseload data'!$D:$D,"PSO",'caseload data'!$C:$C,'custody caseload'!$B$43,'caseload data'!$B:$B,"custody")</f>
        <v>0</v>
      </c>
      <c r="D46" s="145">
        <f>SUMIFS('caseload data'!F:F,'caseload data'!$D:$D,"PSO",'caseload data'!$C:$C,'custody caseload'!$B$43,'caseload data'!$B:$B,"custody")</f>
        <v>0</v>
      </c>
      <c r="E46" s="145">
        <f>SUMIFS('caseload data'!G:G,'caseload data'!$D:$D,"PSO",'caseload data'!$C:$C,'custody caseload'!$B$43,'caseload data'!$B:$B,"custody")</f>
        <v>0</v>
      </c>
      <c r="F46" s="145">
        <f>SUMIFS('caseload data'!H:H,'caseload data'!$D:$D,"PSO",'caseload data'!$C:$C,'custody caseload'!$B$43,'caseload data'!$B:$B,"custody")</f>
        <v>0</v>
      </c>
      <c r="G46" s="145">
        <f>SUMIFS('caseload data'!I:I,'caseload data'!$D:$D,"PSO",'caseload data'!$C:$C,'custody caseload'!$B$43,'caseload data'!$B:$B,"custody")</f>
        <v>0</v>
      </c>
      <c r="H46" s="145">
        <f>SUMIFS('caseload data'!J:J,'caseload data'!$D:$D,"PSO",'caseload data'!$C:$C,'custody caseload'!$B$43,'caseload data'!$B:$B,"custody")</f>
        <v>0</v>
      </c>
      <c r="I46" s="145">
        <f>SUMIFS('caseload data'!K:K,'caseload data'!$D:$D,"PSO",'caseload data'!$C:$C,'custody caseload'!$B$43,'caseload data'!$B:$B,"custody")</f>
        <v>0</v>
      </c>
      <c r="J46" s="145">
        <f>SUMIFS('caseload data'!L:L,'caseload data'!$D:$D,"PSO",'caseload data'!$C:$C,'custody caseload'!$B$43,'caseload data'!$B:$B,"custody")</f>
        <v>0</v>
      </c>
      <c r="K46" s="94">
        <f>SUMIFS('caseload data'!M:M,'caseload data'!$D:$D,"PSO",'caseload data'!$C:$C,'custody caseload'!$B$43,'caseload data'!$B:$B,"custody")</f>
        <v>0</v>
      </c>
      <c r="L46" s="94">
        <f>SUMIFS('caseload data'!N:N,'caseload data'!$D:$D,"PSO",'caseload data'!$C:$C,'custody caseload'!$B$43,'caseload data'!$B:$B,"custody")</f>
        <v>0</v>
      </c>
      <c r="M46" s="94">
        <f>SUMIFS('caseload data'!O:O,'caseload data'!$D:$D,"PSO",'caseload data'!$C:$C,'custody caseload'!$B$43,'caseload data'!$B:$B,"custody")</f>
        <v>0</v>
      </c>
      <c r="N46" s="94">
        <f>SUMIFS('caseload data'!P:P,'caseload data'!$D:$D,"PSO",'caseload data'!$C:$C,'custody caseload'!$B$43,'caseload data'!$B:$B,"custody")</f>
        <v>0</v>
      </c>
      <c r="O46" s="94">
        <f>SUMIFS('caseload data'!Q:Q,'caseload data'!$D:$D,"PSO",'caseload data'!$C:$C,'custody caseload'!$B$43,'caseload data'!$B:$B,"custody")</f>
        <v>0</v>
      </c>
      <c r="P46" s="94">
        <f>SUMIFS('caseload data'!R:R,'caseload data'!$D:$D,"PSO",'caseload data'!$C:$C,'custody caseload'!$B$43,'caseload data'!$B:$B,"custody")</f>
        <v>0</v>
      </c>
      <c r="Q46" s="94">
        <f>SUMIFS('caseload data'!S:S,'caseload data'!$D:$D,"PSO",'caseload data'!$C:$C,'custody caseload'!$B$43,'caseload data'!$B:$B,"custody")</f>
        <v>0</v>
      </c>
      <c r="R46" s="94">
        <f>SUMIFS('caseload data'!T:T,'caseload data'!$D:$D,"PSO",'caseload data'!$C:$C,'custody caseload'!$B$43,'caseload data'!$B:$B,"custody")</f>
        <v>0</v>
      </c>
      <c r="S46" s="64"/>
      <c r="T46" s="97" t="s">
        <v>1002</v>
      </c>
      <c r="U46" s="145">
        <f>SUMIFS('caseload data'!E:E,'caseload data'!$D:$D,"PSO",'caseload data'!$C:$C,'custody caseload'!$T$43,'caseload data'!$B:$B,"custody")</f>
        <v>0</v>
      </c>
      <c r="V46" s="145">
        <f>SUMIFS('caseload data'!F:F,'caseload data'!$D:$D,"PSO",'caseload data'!$C:$C,'custody caseload'!$T$43,'caseload data'!$B:$B,"custody")</f>
        <v>0</v>
      </c>
      <c r="W46" s="145">
        <f>SUMIFS('caseload data'!G:G,'caseload data'!$D:$D,"PSO",'caseload data'!$C:$C,'custody caseload'!$T$43,'caseload data'!$B:$B,"custody")</f>
        <v>0</v>
      </c>
      <c r="X46" s="145">
        <f>SUMIFS('caseload data'!H:H,'caseload data'!$D:$D,"PSO",'caseload data'!$C:$C,'custody caseload'!$T$43,'caseload data'!$B:$B,"custody")</f>
        <v>0</v>
      </c>
      <c r="Y46" s="145">
        <f>SUMIFS('caseload data'!I:I,'caseload data'!$D:$D,"PSO",'caseload data'!$C:$C,'custody caseload'!$T$43,'caseload data'!$B:$B,"custody")</f>
        <v>0</v>
      </c>
      <c r="Z46" s="145">
        <f>SUMIFS('caseload data'!J:J,'caseload data'!$D:$D,"PSO",'caseload data'!$C:$C,'custody caseload'!$T$43,'caseload data'!$B:$B,"custody")</f>
        <v>0</v>
      </c>
      <c r="AA46" s="145">
        <f>SUMIFS('caseload data'!K:K,'caseload data'!$D:$D,"PSO",'caseload data'!$C:$C,'custody caseload'!$T$43,'caseload data'!$B:$B,"custody")</f>
        <v>0</v>
      </c>
      <c r="AB46" s="145">
        <f>SUMIFS('caseload data'!L:L,'caseload data'!$D:$D,"PSO",'caseload data'!$C:$C,'custody caseload'!$T$43,'caseload data'!$B:$B,"custody")</f>
        <v>0</v>
      </c>
      <c r="AC46" s="94">
        <f>SUMIFS('caseload data'!M:M,'caseload data'!$D:$D,"PSO",'caseload data'!$C:$C,'custody caseload'!$T$43,'caseload data'!$B:$B,"custody")</f>
        <v>0</v>
      </c>
      <c r="AD46" s="94">
        <f>SUMIFS('caseload data'!N:N,'caseload data'!$D:$D,"PSO",'caseload data'!$C:$C,'custody caseload'!$T$43,'caseload data'!$B:$B,"custody")</f>
        <v>0</v>
      </c>
      <c r="AE46" s="94">
        <f>SUMIFS('caseload data'!O:O,'caseload data'!$D:$D,"PSO",'caseload data'!$C:$C,'custody caseload'!$T$43,'caseload data'!$B:$B,"custody")</f>
        <v>0</v>
      </c>
      <c r="AF46" s="94">
        <f>SUMIFS('caseload data'!P:P,'caseload data'!$D:$D,"PSO",'caseload data'!$C:$C,'custody caseload'!$T$43,'caseload data'!$B:$B,"custody")</f>
        <v>0</v>
      </c>
      <c r="AG46" s="94">
        <f>SUMIFS('caseload data'!Q:Q,'caseload data'!$D:$D,"PSO",'caseload data'!$C:$C,'custody caseload'!$T$43,'caseload data'!$B:$B,"custody")</f>
        <v>0</v>
      </c>
      <c r="AH46" s="94">
        <f>SUMIFS('caseload data'!R:R,'caseload data'!$D:$D,"PSO",'caseload data'!$C:$C,'custody caseload'!$T$43,'caseload data'!$B:$B,"custody")</f>
        <v>0</v>
      </c>
      <c r="AI46" s="94">
        <f>SUMIFS('caseload data'!S:S,'caseload data'!$D:$D,"PSO",'caseload data'!$C:$C,'custody caseload'!$T$43,'caseload data'!$B:$B,"custody")</f>
        <v>0</v>
      </c>
      <c r="AJ46" s="94">
        <f>SUMIFS('caseload data'!T:T,'caseload data'!$D:$D,"PSO",'caseload data'!$C:$C,'custody caseload'!$T$43,'caseload data'!$B:$B,"custody")</f>
        <v>0</v>
      </c>
    </row>
    <row r="47" spans="2:36" ht="15" x14ac:dyDescent="0.2">
      <c r="B47" s="97" t="s">
        <v>1003</v>
      </c>
      <c r="C47" s="145">
        <f>SUMIFS('caseload data'!E:E,'caseload data'!$D:$D,"TPO",'caseload data'!$C:$C,'custody caseload'!$B$43,'caseload data'!$B:$B,"custody")</f>
        <v>0</v>
      </c>
      <c r="D47" s="145">
        <f>SUMIFS('caseload data'!F:F,'caseload data'!$D:$D,"TPO",'caseload data'!$C:$C,'custody caseload'!$B$43,'caseload data'!$B:$B,"custody")</f>
        <v>0</v>
      </c>
      <c r="E47" s="145">
        <f>SUMIFS('caseload data'!G:G,'caseload data'!$D:$D,"TPO",'caseload data'!$C:$C,'custody caseload'!$B$43,'caseload data'!$B:$B,"custody")</f>
        <v>0</v>
      </c>
      <c r="F47" s="145">
        <f>SUMIFS('caseload data'!H:H,'caseload data'!$D:$D,"TPO",'caseload data'!$C:$C,'custody caseload'!$B$43,'caseload data'!$B:$B,"custody")</f>
        <v>0</v>
      </c>
      <c r="G47" s="145">
        <f>SUMIFS('caseload data'!I:I,'caseload data'!$D:$D,"TPO",'caseload data'!$C:$C,'custody caseload'!$B$43,'caseload data'!$B:$B,"custody")</f>
        <v>0</v>
      </c>
      <c r="H47" s="145">
        <f>SUMIFS('caseload data'!J:J,'caseload data'!$D:$D,"TPO",'caseload data'!$C:$C,'custody caseload'!$B$43,'caseload data'!$B:$B,"custody")</f>
        <v>0</v>
      </c>
      <c r="I47" s="145">
        <f>SUMIFS('caseload data'!K:K,'caseload data'!$D:$D,"TPO",'caseload data'!$C:$C,'custody caseload'!$B$43,'caseload data'!$B:$B,"custody")</f>
        <v>0</v>
      </c>
      <c r="J47" s="145">
        <f>SUMIFS('caseload data'!L:L,'caseload data'!$D:$D,"TPO",'caseload data'!$C:$C,'custody caseload'!$B$43,'caseload data'!$B:$B,"custody")</f>
        <v>0</v>
      </c>
      <c r="K47" s="94">
        <f>SUMIFS('caseload data'!M:M,'caseload data'!$D:$D,"TPO",'caseload data'!$C:$C,'custody caseload'!$B$43,'caseload data'!$B:$B,"custody")</f>
        <v>0</v>
      </c>
      <c r="L47" s="94">
        <f>SUMIFS('caseload data'!N:N,'caseload data'!$D:$D,"TPO",'caseload data'!$C:$C,'custody caseload'!$B$43,'caseload data'!$B:$B,"custody")</f>
        <v>0</v>
      </c>
      <c r="M47" s="94">
        <f>SUMIFS('caseload data'!O:O,'caseload data'!$D:$D,"TPO",'caseload data'!$C:$C,'custody caseload'!$B$43,'caseload data'!$B:$B,"custody")</f>
        <v>0</v>
      </c>
      <c r="N47" s="94">
        <f>SUMIFS('caseload data'!P:P,'caseload data'!$D:$D,"TPO",'caseload data'!$C:$C,'custody caseload'!$B$43,'caseload data'!$B:$B,"custody")</f>
        <v>0</v>
      </c>
      <c r="O47" s="94">
        <f>SUMIFS('caseload data'!Q:Q,'caseload data'!$D:$D,"TPO",'caseload data'!$C:$C,'custody caseload'!$B$43,'caseload data'!$B:$B,"custody")</f>
        <v>0</v>
      </c>
      <c r="P47" s="94">
        <f>SUMIFS('caseload data'!R:R,'caseload data'!$D:$D,"TPO",'caseload data'!$C:$C,'custody caseload'!$B$43,'caseload data'!$B:$B,"custody")</f>
        <v>0</v>
      </c>
      <c r="Q47" s="94">
        <f>SUMIFS('caseload data'!S:S,'caseload data'!$D:$D,"TPO",'caseload data'!$C:$C,'custody caseload'!$B$43,'caseload data'!$B:$B,"custody")</f>
        <v>0</v>
      </c>
      <c r="R47" s="94">
        <f>SUMIFS('caseload data'!T:T,'caseload data'!$D:$D,"TPO",'caseload data'!$C:$C,'custody caseload'!$B$43,'caseload data'!$B:$B,"custody")</f>
        <v>0</v>
      </c>
      <c r="S47" s="64"/>
      <c r="T47" s="97" t="s">
        <v>1003</v>
      </c>
      <c r="U47" s="145">
        <f>SUMIFS('caseload data'!E:E,'caseload data'!$D:$D,"TPO",'caseload data'!$C:$C,'custody caseload'!$T$43,'caseload data'!$B:$B,"custody")</f>
        <v>0</v>
      </c>
      <c r="V47" s="145">
        <f>SUMIFS('caseload data'!F:F,'caseload data'!$D:$D,"TPO",'caseload data'!$C:$C,'custody caseload'!$T$43,'caseload data'!$B:$B,"custody")</f>
        <v>0</v>
      </c>
      <c r="W47" s="145">
        <f>SUMIFS('caseload data'!G:G,'caseload data'!$D:$D,"TPO",'caseload data'!$C:$C,'custody caseload'!$T$43,'caseload data'!$B:$B,"custody")</f>
        <v>0</v>
      </c>
      <c r="X47" s="145">
        <f>SUMIFS('caseload data'!H:H,'caseload data'!$D:$D,"TPO",'caseload data'!$C:$C,'custody caseload'!$T$43,'caseload data'!$B:$B,"custody")</f>
        <v>0</v>
      </c>
      <c r="Y47" s="145">
        <f>SUMIFS('caseload data'!I:I,'caseload data'!$D:$D,"TPO",'caseload data'!$C:$C,'custody caseload'!$T$43,'caseload data'!$B:$B,"custody")</f>
        <v>0</v>
      </c>
      <c r="Z47" s="145">
        <f>SUMIFS('caseload data'!J:J,'caseload data'!$D:$D,"TPO",'caseload data'!$C:$C,'custody caseload'!$T$43,'caseload data'!$B:$B,"custody")</f>
        <v>0</v>
      </c>
      <c r="AA47" s="145">
        <f>SUMIFS('caseload data'!K:K,'caseload data'!$D:$D,"TPO",'caseload data'!$C:$C,'custody caseload'!$T$43,'caseload data'!$B:$B,"custody")</f>
        <v>0</v>
      </c>
      <c r="AB47" s="145">
        <f>SUMIFS('caseload data'!L:L,'caseload data'!$D:$D,"TPO",'caseload data'!$C:$C,'custody caseload'!$T$43,'caseload data'!$B:$B,"custody")</f>
        <v>0</v>
      </c>
      <c r="AC47" s="94">
        <f>SUMIFS('caseload data'!M:M,'caseload data'!$D:$D,"TPO",'caseload data'!$C:$C,'custody caseload'!$T$43,'caseload data'!$B:$B,"custody")</f>
        <v>0</v>
      </c>
      <c r="AD47" s="94">
        <f>SUMIFS('caseload data'!N:N,'caseload data'!$D:$D,"TPO",'caseload data'!$C:$C,'custody caseload'!$T$43,'caseload data'!$B:$B,"custody")</f>
        <v>0</v>
      </c>
      <c r="AE47" s="94">
        <f>SUMIFS('caseload data'!O:O,'caseload data'!$D:$D,"TPO",'caseload data'!$C:$C,'custody caseload'!$T$43,'caseload data'!$B:$B,"custody")</f>
        <v>0</v>
      </c>
      <c r="AF47" s="94">
        <f>SUMIFS('caseload data'!P:P,'caseload data'!$D:$D,"TPO",'caseload data'!$C:$C,'custody caseload'!$T$43,'caseload data'!$B:$B,"custody")</f>
        <v>0</v>
      </c>
      <c r="AG47" s="94">
        <f>SUMIFS('caseload data'!Q:Q,'caseload data'!$D:$D,"TPO",'caseload data'!$C:$C,'custody caseload'!$T$43,'caseload data'!$B:$B,"custody")</f>
        <v>0</v>
      </c>
      <c r="AH47" s="94">
        <f>SUMIFS('caseload data'!R:R,'caseload data'!$D:$D,"TPO",'caseload data'!$C:$C,'custody caseload'!$T$43,'caseload data'!$B:$B,"custody")</f>
        <v>0</v>
      </c>
      <c r="AI47" s="94">
        <f>SUMIFS('caseload data'!S:S,'caseload data'!$D:$D,"TPO",'caseload data'!$C:$C,'custody caseload'!$T$43,'caseload data'!$B:$B,"custody")</f>
        <v>0</v>
      </c>
      <c r="AJ47" s="94">
        <f>SUMIFS('caseload data'!T:T,'caseload data'!$D:$D,"TPO",'caseload data'!$C:$C,'custody caseload'!$T$43,'caseload data'!$B:$B,"custody")</f>
        <v>0</v>
      </c>
    </row>
    <row r="48" spans="2:36" x14ac:dyDescent="0.15">
      <c r="B48" s="98" t="s">
        <v>1004</v>
      </c>
      <c r="C48" s="94">
        <f>SUMIFS('caseload data'!E:E,'caseload data'!$D:$D,"SPO",'caseload data'!$C:$C,'custody caseload'!$B$43,'caseload data'!$B:$B,"custody")</f>
        <v>0</v>
      </c>
      <c r="D48" s="94">
        <f>SUMIFS('caseload data'!F:F,'caseload data'!$D:$D,"SPO",'caseload data'!$C:$C,'custody caseload'!$B$43,'caseload data'!$B:$B,"custody")</f>
        <v>0</v>
      </c>
      <c r="E48" s="94">
        <f>SUMIFS('caseload data'!G:G,'caseload data'!$D:$D,"SPO",'caseload data'!$C:$C,'custody caseload'!$B$43,'caseload data'!$B:$B,"custody")</f>
        <v>0</v>
      </c>
      <c r="F48" s="94">
        <f>SUMIFS('caseload data'!H:H,'caseload data'!$D:$D,"SPO",'caseload data'!$C:$C,'custody caseload'!$B$43,'caseload data'!$B:$B,"custody")</f>
        <v>0</v>
      </c>
      <c r="G48" s="94">
        <f>SUMIFS('caseload data'!I:I,'caseload data'!$D:$D,"SPO",'caseload data'!$C:$C,'custody caseload'!$B$43,'caseload data'!$B:$B,"custody")</f>
        <v>0</v>
      </c>
      <c r="H48" s="94">
        <f>SUMIFS('caseload data'!J:J,'caseload data'!$D:$D,"SPO",'caseload data'!$C:$C,'custody caseload'!$B$43,'caseload data'!$B:$B,"custody")</f>
        <v>0</v>
      </c>
      <c r="I48" s="94">
        <f>SUMIFS('caseload data'!K:K,'caseload data'!$D:$D,"SPO",'caseload data'!$C:$C,'custody caseload'!$B$43,'caseload data'!$B:$B,"custody")</f>
        <v>0</v>
      </c>
      <c r="J48" s="94">
        <f>SUMIFS('caseload data'!L:L,'caseload data'!$D:$D,"SPO",'caseload data'!$C:$C,'custody caseload'!$B$43,'caseload data'!$B:$B,"custody")</f>
        <v>0</v>
      </c>
      <c r="K48" s="94">
        <f>SUMIFS('caseload data'!M:M,'caseload data'!$D:$D,"SPO",'caseload data'!$C:$C,'custody caseload'!$B$43,'caseload data'!$B:$B,"custody")</f>
        <v>0</v>
      </c>
      <c r="L48" s="94">
        <f>SUMIFS('caseload data'!N:N,'caseload data'!$D:$D,"SPO",'caseload data'!$C:$C,'custody caseload'!$B$43,'caseload data'!$B:$B,"custody")</f>
        <v>0</v>
      </c>
      <c r="M48" s="94">
        <f>SUMIFS('caseload data'!O:O,'caseload data'!$D:$D,"SPO",'caseload data'!$C:$C,'custody caseload'!$B$43,'caseload data'!$B:$B,"custody")</f>
        <v>0</v>
      </c>
      <c r="N48" s="94">
        <f>SUMIFS('caseload data'!P:P,'caseload data'!$D:$D,"SPO",'caseload data'!$C:$C,'custody caseload'!$B$43,'caseload data'!$B:$B,"custody")</f>
        <v>0</v>
      </c>
      <c r="O48" s="94">
        <f>SUMIFS('caseload data'!Q:Q,'caseload data'!$D:$D,"SPO",'caseload data'!$C:$C,'custody caseload'!$B$43,'caseload data'!$B:$B,"custody")</f>
        <v>0</v>
      </c>
      <c r="P48" s="94">
        <f>SUMIFS('caseload data'!R:R,'caseload data'!$D:$D,"SPO",'caseload data'!$C:$C,'custody caseload'!$B$43,'caseload data'!$B:$B,"custody")</f>
        <v>0</v>
      </c>
      <c r="Q48" s="94">
        <f>SUMIFS('caseload data'!S:S,'caseload data'!$D:$D,"SPO",'caseload data'!$C:$C,'custody caseload'!$B$43,'caseload data'!$B:$B,"custody")</f>
        <v>0</v>
      </c>
      <c r="R48" s="94">
        <f>SUMIFS('caseload data'!T:T,'caseload data'!$D:$D,"SPO",'caseload data'!$C:$C,'custody caseload'!$B$43,'caseload data'!$B:$B,"custody")</f>
        <v>0</v>
      </c>
      <c r="S48" s="64"/>
      <c r="T48" s="98" t="s">
        <v>1004</v>
      </c>
      <c r="U48" s="94">
        <f>SUMIFS('caseload data'!E:E,'caseload data'!$D:$D,"SPO",'caseload data'!$C:$C,'custody caseload'!$T$43,'caseload data'!$B:$B,"custody")</f>
        <v>0</v>
      </c>
      <c r="V48" s="94">
        <f>SUMIFS('caseload data'!F:F,'caseload data'!$D:$D,"SPO",'caseload data'!$C:$C,'custody caseload'!$T$43,'caseload data'!$B:$B,"custody")</f>
        <v>0</v>
      </c>
      <c r="W48" s="94">
        <f>SUMIFS('caseload data'!G:G,'caseload data'!$D:$D,"SPO",'caseload data'!$C:$C,'custody caseload'!$T$43,'caseload data'!$B:$B,"custody")</f>
        <v>0</v>
      </c>
      <c r="X48" s="94">
        <f>SUMIFS('caseload data'!H:H,'caseload data'!$D:$D,"SPO",'caseload data'!$C:$C,'custody caseload'!$T$43,'caseload data'!$B:$B,"custody")</f>
        <v>0</v>
      </c>
      <c r="Y48" s="94">
        <f>SUMIFS('caseload data'!I:I,'caseload data'!$D:$D,"SPO",'caseload data'!$C:$C,'custody caseload'!$T$43,'caseload data'!$B:$B,"custody")</f>
        <v>0</v>
      </c>
      <c r="Z48" s="94">
        <f>SUMIFS('caseload data'!J:J,'caseload data'!$D:$D,"SPO",'caseload data'!$C:$C,'custody caseload'!$T$43,'caseload data'!$B:$B,"custody")</f>
        <v>0</v>
      </c>
      <c r="AA48" s="94">
        <f>SUMIFS('caseload data'!K:K,'caseload data'!$D:$D,"SPO",'caseload data'!$C:$C,'custody caseload'!$T$43,'caseload data'!$B:$B,"custody")</f>
        <v>0</v>
      </c>
      <c r="AB48" s="94">
        <f>SUMIFS('caseload data'!L:L,'caseload data'!$D:$D,"SPO",'caseload data'!$C:$C,'custody caseload'!$T$43,'caseload data'!$B:$B,"custody")</f>
        <v>0</v>
      </c>
      <c r="AC48" s="94">
        <f>SUMIFS('caseload data'!M:M,'caseload data'!$D:$D,"SPO",'caseload data'!$C:$C,'custody caseload'!$T$43,'caseload data'!$B:$B,"custody")</f>
        <v>0</v>
      </c>
      <c r="AD48" s="94">
        <f>SUMIFS('caseload data'!N:N,'caseload data'!$D:$D,"SPO",'caseload data'!$C:$C,'custody caseload'!$T$43,'caseload data'!$B:$B,"custody")</f>
        <v>0</v>
      </c>
      <c r="AE48" s="94">
        <f>SUMIFS('caseload data'!O:O,'caseload data'!$D:$D,"SPO",'caseload data'!$C:$C,'custody caseload'!$T$43,'caseload data'!$B:$B,"custody")</f>
        <v>0</v>
      </c>
      <c r="AF48" s="94">
        <f>SUMIFS('caseload data'!P:P,'caseload data'!$D:$D,"SPO",'caseload data'!$C:$C,'custody caseload'!$T$43,'caseload data'!$B:$B,"custody")</f>
        <v>0</v>
      </c>
      <c r="AG48" s="94">
        <f>SUMIFS('caseload data'!Q:Q,'caseload data'!$D:$D,"SPO",'caseload data'!$C:$C,'custody caseload'!$T$43,'caseload data'!$B:$B,"custody")</f>
        <v>0</v>
      </c>
      <c r="AH48" s="94">
        <f>SUMIFS('caseload data'!R:R,'caseload data'!$D:$D,"SPO",'caseload data'!$C:$C,'custody caseload'!$T$43,'caseload data'!$B:$B,"custody")</f>
        <v>0</v>
      </c>
      <c r="AI48" s="94">
        <f>SUMIFS('caseload data'!S:S,'caseload data'!$D:$D,"SPO",'caseload data'!$C:$C,'custody caseload'!$T$43,'caseload data'!$B:$B,"custody")</f>
        <v>0</v>
      </c>
      <c r="AJ48" s="94">
        <f>SUMIFS('caseload data'!T:T,'caseload data'!$D:$D,"SPO",'caseload data'!$C:$C,'custody caseload'!$T$43,'caseload data'!$B:$B,"custody")</f>
        <v>0</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30" customHeight="1" x14ac:dyDescent="0.15">
      <c r="B50" s="142">
        <f>HLOOKUP($B$5,Region_Table,14,0)</f>
        <v>0</v>
      </c>
      <c r="C50" s="525" t="s">
        <v>1126</v>
      </c>
      <c r="D50" s="526"/>
      <c r="E50" s="526"/>
      <c r="F50" s="526"/>
      <c r="G50" s="526"/>
      <c r="H50" s="526"/>
      <c r="I50" s="526"/>
      <c r="J50" s="526"/>
      <c r="K50" s="526"/>
      <c r="L50" s="526"/>
      <c r="M50" s="535"/>
      <c r="N50" s="535"/>
      <c r="O50" s="536"/>
      <c r="P50" s="512">
        <f>SUMIFS('caseload data'!V:V,'caseload data'!B:B,"custody",'caseload data'!$C:$C,'custody caseload'!B50)</f>
        <v>0</v>
      </c>
      <c r="Q50" s="529"/>
      <c r="R50" s="530"/>
      <c r="S50" s="64"/>
      <c r="T50" s="142">
        <f>HLOOKUP($B$5,Region_Table,15,0)</f>
        <v>0</v>
      </c>
      <c r="U50" s="525" t="s">
        <v>1126</v>
      </c>
      <c r="V50" s="526"/>
      <c r="W50" s="526"/>
      <c r="X50" s="526"/>
      <c r="Y50" s="526"/>
      <c r="Z50" s="526"/>
      <c r="AA50" s="526"/>
      <c r="AB50" s="526"/>
      <c r="AC50" s="526"/>
      <c r="AD50" s="526"/>
      <c r="AE50" s="535"/>
      <c r="AF50" s="535"/>
      <c r="AG50" s="536"/>
      <c r="AH50" s="512">
        <f>SUMIFS('caseload data'!V:V,'caseload data'!B:B,"custody",'caseload data'!$C:$C,'custody caseload'!T50)</f>
        <v>0</v>
      </c>
      <c r="AI50" s="529"/>
      <c r="AJ50" s="530"/>
    </row>
    <row r="51" spans="2:36" x14ac:dyDescent="0.15">
      <c r="B51" s="95" t="s">
        <v>1001</v>
      </c>
      <c r="C51" s="38" t="s">
        <v>864</v>
      </c>
      <c r="D51" s="38" t="s">
        <v>865</v>
      </c>
      <c r="E51" s="38" t="s">
        <v>866</v>
      </c>
      <c r="F51" s="38" t="s">
        <v>867</v>
      </c>
      <c r="G51" s="38" t="s">
        <v>868</v>
      </c>
      <c r="H51" s="38" t="s">
        <v>869</v>
      </c>
      <c r="I51" s="38" t="s">
        <v>870</v>
      </c>
      <c r="J51" s="38" t="s">
        <v>871</v>
      </c>
      <c r="K51" s="38" t="s">
        <v>872</v>
      </c>
      <c r="L51" s="38" t="s">
        <v>873</v>
      </c>
      <c r="M51" s="38" t="s">
        <v>874</v>
      </c>
      <c r="N51" s="38" t="s">
        <v>875</v>
      </c>
      <c r="O51" s="38" t="s">
        <v>876</v>
      </c>
      <c r="P51" s="38" t="s">
        <v>877</v>
      </c>
      <c r="Q51" s="38" t="s">
        <v>878</v>
      </c>
      <c r="R51" s="38" t="s">
        <v>879</v>
      </c>
      <c r="S51" s="64"/>
      <c r="T51" s="95" t="s">
        <v>1001</v>
      </c>
      <c r="U51" s="38" t="s">
        <v>864</v>
      </c>
      <c r="V51" s="38" t="s">
        <v>865</v>
      </c>
      <c r="W51" s="38" t="s">
        <v>866</v>
      </c>
      <c r="X51" s="38" t="s">
        <v>867</v>
      </c>
      <c r="Y51" s="38" t="s">
        <v>868</v>
      </c>
      <c r="Z51" s="38" t="s">
        <v>869</v>
      </c>
      <c r="AA51" s="38" t="s">
        <v>870</v>
      </c>
      <c r="AB51" s="38" t="s">
        <v>871</v>
      </c>
      <c r="AC51" s="38" t="s">
        <v>872</v>
      </c>
      <c r="AD51" s="38" t="s">
        <v>873</v>
      </c>
      <c r="AE51" s="38" t="s">
        <v>874</v>
      </c>
      <c r="AF51" s="38" t="s">
        <v>875</v>
      </c>
      <c r="AG51" s="38" t="s">
        <v>876</v>
      </c>
      <c r="AH51" s="38" t="s">
        <v>877</v>
      </c>
      <c r="AI51" s="38" t="s">
        <v>878</v>
      </c>
      <c r="AJ51" s="38" t="s">
        <v>879</v>
      </c>
    </row>
    <row r="52" spans="2:36" x14ac:dyDescent="0.15">
      <c r="B52" s="96" t="s">
        <v>997</v>
      </c>
      <c r="C52" s="94">
        <f>SUMIFS('caseload data'!E:E,'caseload data'!$D:$D,"PO",'caseload data'!$C:$C,'custody caseload'!$B$50,'caseload data'!$B:$B,"custody")</f>
        <v>0</v>
      </c>
      <c r="D52" s="94">
        <f>SUMIFS('caseload data'!F:F,'caseload data'!$D:$D,"PO",'caseload data'!$C:$C,'custody caseload'!$B$50,'caseload data'!$B:$B,"custody")</f>
        <v>0</v>
      </c>
      <c r="E52" s="94">
        <f>SUMIFS('caseload data'!G:G,'caseload data'!$D:$D,"PO",'caseload data'!$C:$C,'custody caseload'!$B$50,'caseload data'!$B:$B,"custody")</f>
        <v>0</v>
      </c>
      <c r="F52" s="94">
        <f>SUMIFS('caseload data'!H:H,'caseload data'!$D:$D,"PO",'caseload data'!$C:$C,'custody caseload'!$B$50,'caseload data'!$B:$B,"custody")</f>
        <v>0</v>
      </c>
      <c r="G52" s="94">
        <f>SUMIFS('caseload data'!I:I,'caseload data'!$D:$D,"PO",'caseload data'!$C:$C,'custody caseload'!$B$50,'caseload data'!$B:$B,"custody")</f>
        <v>0</v>
      </c>
      <c r="H52" s="94">
        <f>SUMIFS('caseload data'!J:J,'caseload data'!$D:$D,"PO",'caseload data'!$C:$C,'custody caseload'!$B$50,'caseload data'!$B:$B,"custody")</f>
        <v>0</v>
      </c>
      <c r="I52" s="94">
        <f>SUMIFS('caseload data'!K:K,'caseload data'!$D:$D,"PO",'caseload data'!$C:$C,'custody caseload'!$B$50,'caseload data'!$B:$B,"custody")</f>
        <v>0</v>
      </c>
      <c r="J52" s="94">
        <f>SUMIFS('caseload data'!L:L,'caseload data'!$D:$D,"PO",'caseload data'!$C:$C,'custody caseload'!$B$50,'caseload data'!$B:$B,"custody")</f>
        <v>0</v>
      </c>
      <c r="K52" s="94">
        <f>SUMIFS('caseload data'!M:M,'caseload data'!$D:$D,"PO",'caseload data'!$C:$C,'custody caseload'!$B$50,'caseload data'!$B:$B,"custody")</f>
        <v>0</v>
      </c>
      <c r="L52" s="94">
        <f>SUMIFS('caseload data'!N:N,'caseload data'!$D:$D,"PO",'caseload data'!$C:$C,'custody caseload'!$B$50,'caseload data'!$B:$B,"custody")</f>
        <v>0</v>
      </c>
      <c r="M52" s="94">
        <f>SUMIFS('caseload data'!O:O,'caseload data'!$D:$D,"PO",'caseload data'!$C:$C,'custody caseload'!$B$50,'caseload data'!$B:$B,"custody")</f>
        <v>0</v>
      </c>
      <c r="N52" s="94">
        <f>SUMIFS('caseload data'!P:P,'caseload data'!$D:$D,"PO",'caseload data'!$C:$C,'custody caseload'!$B$50,'caseload data'!$B:$B,"custody")</f>
        <v>0</v>
      </c>
      <c r="O52" s="94">
        <f>SUMIFS('caseload data'!Q:Q,'caseload data'!$D:$D,"PO",'caseload data'!$C:$C,'custody caseload'!$B$50,'caseload data'!$B:$B,"custody")</f>
        <v>0</v>
      </c>
      <c r="P52" s="94">
        <f>SUMIFS('caseload data'!R:R,'caseload data'!$D:$D,"PO",'caseload data'!$C:$C,'custody caseload'!$B$50,'caseload data'!$B:$B,"custody")</f>
        <v>0</v>
      </c>
      <c r="Q52" s="94">
        <f>SUMIFS('caseload data'!S:S,'caseload data'!$D:$D,"PO",'caseload data'!$C:$C,'custody caseload'!$B$50,'caseload data'!$B:$B,"custody")</f>
        <v>0</v>
      </c>
      <c r="R52" s="94">
        <f>SUMIFS('caseload data'!T:T,'caseload data'!$D:$D,"PO",'caseload data'!$C:$C,'custody caseload'!$B$50,'caseload data'!$B:$B,"custody")</f>
        <v>0</v>
      </c>
      <c r="S52" s="64"/>
      <c r="T52" s="96" t="s">
        <v>997</v>
      </c>
      <c r="U52" s="94">
        <f>SUMIFS('caseload data'!E:E,'caseload data'!$D:$D,"PO",'caseload data'!$C:$C,'custody caseload'!$T$50,'caseload data'!$B:$B,"custody")</f>
        <v>0</v>
      </c>
      <c r="V52" s="94">
        <f>SUMIFS('caseload data'!F:F,'caseload data'!$D:$D,"PO",'caseload data'!$C:$C,'custody caseload'!$T$50,'caseload data'!$B:$B,"custody")</f>
        <v>0</v>
      </c>
      <c r="W52" s="94">
        <f>SUMIFS('caseload data'!G:G,'caseload data'!$D:$D,"PO",'caseload data'!$C:$C,'custody caseload'!$T$50,'caseload data'!$B:$B,"custody")</f>
        <v>0</v>
      </c>
      <c r="X52" s="94">
        <f>SUMIFS('caseload data'!H:H,'caseload data'!$D:$D,"PO",'caseload data'!$C:$C,'custody caseload'!$T$50,'caseload data'!$B:$B,"custody")</f>
        <v>0</v>
      </c>
      <c r="Y52" s="94">
        <f>SUMIFS('caseload data'!I:I,'caseload data'!$D:$D,"PO",'caseload data'!$C:$C,'custody caseload'!$T$50,'caseload data'!$B:$B,"custody")</f>
        <v>0</v>
      </c>
      <c r="Z52" s="94">
        <f>SUMIFS('caseload data'!J:J,'caseload data'!$D:$D,"PO",'caseload data'!$C:$C,'custody caseload'!$T$50,'caseload data'!$B:$B,"custody")</f>
        <v>0</v>
      </c>
      <c r="AA52" s="94">
        <f>SUMIFS('caseload data'!K:K,'caseload data'!$D:$D,"PO",'caseload data'!$C:$C,'custody caseload'!$T$50,'caseload data'!$B:$B,"custody")</f>
        <v>0</v>
      </c>
      <c r="AB52" s="94">
        <f>SUMIFS('caseload data'!L:L,'caseload data'!$D:$D,"PO",'caseload data'!$C:$C,'custody caseload'!$T$50,'caseload data'!$B:$B,"custody")</f>
        <v>0</v>
      </c>
      <c r="AC52" s="94">
        <f>SUMIFS('caseload data'!M:M,'caseload data'!$D:$D,"PO",'caseload data'!$C:$C,'custody caseload'!$T$50,'caseload data'!$B:$B,"custody")</f>
        <v>0</v>
      </c>
      <c r="AD52" s="94">
        <f>SUMIFS('caseload data'!N:N,'caseload data'!$D:$D,"PO",'caseload data'!$C:$C,'custody caseload'!$T$50,'caseload data'!$B:$B,"custody")</f>
        <v>0</v>
      </c>
      <c r="AE52" s="94">
        <f>SUMIFS('caseload data'!O:O,'caseload data'!$D:$D,"PO",'caseload data'!$C:$C,'custody caseload'!$T$50,'caseload data'!$B:$B,"custody")</f>
        <v>0</v>
      </c>
      <c r="AF52" s="94">
        <f>SUMIFS('caseload data'!P:P,'caseload data'!$D:$D,"PO",'caseload data'!$C:$C,'custody caseload'!$T$50,'caseload data'!$B:$B,"custody")</f>
        <v>0</v>
      </c>
      <c r="AG52" s="94">
        <f>SUMIFS('caseload data'!Q:Q,'caseload data'!$D:$D,"PO",'caseload data'!$C:$C,'custody caseload'!$T$50,'caseload data'!$B:$B,"custody")</f>
        <v>0</v>
      </c>
      <c r="AH52" s="94">
        <f>SUMIFS('caseload data'!R:R,'caseload data'!$D:$D,"PO",'caseload data'!$C:$C,'custody caseload'!$T$50,'caseload data'!$B:$B,"custody")</f>
        <v>0</v>
      </c>
      <c r="AI52" s="94">
        <f>SUMIFS('caseload data'!S:S,'caseload data'!$D:$D,"PO",'caseload data'!$C:$C,'custody caseload'!$T$50,'caseload data'!$B:$B,"custody")</f>
        <v>0</v>
      </c>
      <c r="AJ52" s="94">
        <f>SUMIFS('caseload data'!T:T,'caseload data'!$D:$D,"PO",'caseload data'!$C:$C,'custody caseload'!$T$50,'caseload data'!$B:$B,"custody")</f>
        <v>0</v>
      </c>
    </row>
    <row r="53" spans="2:36" ht="15" x14ac:dyDescent="0.2">
      <c r="B53" s="97" t="s">
        <v>1002</v>
      </c>
      <c r="C53" s="145">
        <f>SUMIFS('caseload data'!E:E,'caseload data'!$D:$D,"PSO",'caseload data'!$C:$C,'custody caseload'!$B$50,'caseload data'!$B:$B,"custody")</f>
        <v>0</v>
      </c>
      <c r="D53" s="145">
        <f>SUMIFS('caseload data'!F:F,'caseload data'!$D:$D,"PSO",'caseload data'!$C:$C,'custody caseload'!$B$50,'caseload data'!$B:$B,"custody")</f>
        <v>0</v>
      </c>
      <c r="E53" s="145">
        <f>SUMIFS('caseload data'!G:G,'caseload data'!$D:$D,"PSO",'caseload data'!$C:$C,'custody caseload'!$B$50,'caseload data'!$B:$B,"custody")</f>
        <v>0</v>
      </c>
      <c r="F53" s="145">
        <f>SUMIFS('caseload data'!H:H,'caseload data'!$D:$D,"PSO",'caseload data'!$C:$C,'custody caseload'!$B$50,'caseload data'!$B:$B,"custody")</f>
        <v>0</v>
      </c>
      <c r="G53" s="145">
        <f>SUMIFS('caseload data'!I:I,'caseload data'!$D:$D,"PSO",'caseload data'!$C:$C,'custody caseload'!$B$50,'caseload data'!$B:$B,"custody")</f>
        <v>0</v>
      </c>
      <c r="H53" s="145">
        <f>SUMIFS('caseload data'!J:J,'caseload data'!$D:$D,"PSO",'caseload data'!$C:$C,'custody caseload'!$B$50,'caseload data'!$B:$B,"custody")</f>
        <v>0</v>
      </c>
      <c r="I53" s="145">
        <f>SUMIFS('caseload data'!K:K,'caseload data'!$D:$D,"PSO",'caseload data'!$C:$C,'custody caseload'!$B$50,'caseload data'!$B:$B,"custody")</f>
        <v>0</v>
      </c>
      <c r="J53" s="145">
        <f>SUMIFS('caseload data'!L:L,'caseload data'!$D:$D,"PSO",'caseload data'!$C:$C,'custody caseload'!$B$50,'caseload data'!$B:$B,"custody")</f>
        <v>0</v>
      </c>
      <c r="K53" s="94">
        <f>SUMIFS('caseload data'!M:M,'caseload data'!$D:$D,"PSO",'caseload data'!$C:$C,'custody caseload'!$B$50,'caseload data'!$B:$B,"custody")</f>
        <v>0</v>
      </c>
      <c r="L53" s="94">
        <f>SUMIFS('caseload data'!N:N,'caseload data'!$D:$D,"PSO",'caseload data'!$C:$C,'custody caseload'!$B$50,'caseload data'!$B:$B,"custody")</f>
        <v>0</v>
      </c>
      <c r="M53" s="94">
        <f>SUMIFS('caseload data'!O:O,'caseload data'!$D:$D,"PSO",'caseload data'!$C:$C,'custody caseload'!$B$50,'caseload data'!$B:$B,"custody")</f>
        <v>0</v>
      </c>
      <c r="N53" s="94">
        <f>SUMIFS('caseload data'!P:P,'caseload data'!$D:$D,"PSO",'caseload data'!$C:$C,'custody caseload'!$B$50,'caseload data'!$B:$B,"custody")</f>
        <v>0</v>
      </c>
      <c r="O53" s="94">
        <f>SUMIFS('caseload data'!Q:Q,'caseload data'!$D:$D,"PSO",'caseload data'!$C:$C,'custody caseload'!$B$50,'caseload data'!$B:$B,"custody")</f>
        <v>0</v>
      </c>
      <c r="P53" s="94">
        <f>SUMIFS('caseload data'!R:R,'caseload data'!$D:$D,"PSO",'caseload data'!$C:$C,'custody caseload'!$B$50,'caseload data'!$B:$B,"custody")</f>
        <v>0</v>
      </c>
      <c r="Q53" s="94">
        <f>SUMIFS('caseload data'!S:S,'caseload data'!$D:$D,"PSO",'caseload data'!$C:$C,'custody caseload'!$B$50,'caseload data'!$B:$B,"custody")</f>
        <v>0</v>
      </c>
      <c r="R53" s="94">
        <f>SUMIFS('caseload data'!T:T,'caseload data'!$D:$D,"PSO",'caseload data'!$C:$C,'custody caseload'!$B$50,'caseload data'!$B:$B,"custody")</f>
        <v>0</v>
      </c>
      <c r="S53" s="64"/>
      <c r="T53" s="97" t="s">
        <v>1002</v>
      </c>
      <c r="U53" s="145">
        <f>SUMIFS('caseload data'!E:E,'caseload data'!$D:$D,"PSO",'caseload data'!$C:$C,'custody caseload'!$T$50,'caseload data'!$B:$B,"custody")</f>
        <v>0</v>
      </c>
      <c r="V53" s="145">
        <f>SUMIFS('caseload data'!F:F,'caseload data'!$D:$D,"PSO",'caseload data'!$C:$C,'custody caseload'!$T$50,'caseload data'!$B:$B,"custody")</f>
        <v>0</v>
      </c>
      <c r="W53" s="145">
        <f>SUMIFS('caseload data'!G:G,'caseload data'!$D:$D,"PSO",'caseload data'!$C:$C,'custody caseload'!$T$50,'caseload data'!$B:$B,"custody")</f>
        <v>0</v>
      </c>
      <c r="X53" s="145">
        <f>SUMIFS('caseload data'!H:H,'caseload data'!$D:$D,"PSO",'caseload data'!$C:$C,'custody caseload'!$T$50,'caseload data'!$B:$B,"custody")</f>
        <v>0</v>
      </c>
      <c r="Y53" s="145">
        <f>SUMIFS('caseload data'!I:I,'caseload data'!$D:$D,"PSO",'caseload data'!$C:$C,'custody caseload'!$T$50,'caseload data'!$B:$B,"custody")</f>
        <v>0</v>
      </c>
      <c r="Z53" s="145">
        <f>SUMIFS('caseload data'!J:J,'caseload data'!$D:$D,"PSO",'caseload data'!$C:$C,'custody caseload'!$T$50,'caseload data'!$B:$B,"custody")</f>
        <v>0</v>
      </c>
      <c r="AA53" s="145">
        <f>SUMIFS('caseload data'!K:K,'caseload data'!$D:$D,"PSO",'caseload data'!$C:$C,'custody caseload'!$T$50,'caseload data'!$B:$B,"custody")</f>
        <v>0</v>
      </c>
      <c r="AB53" s="145">
        <f>SUMIFS('caseload data'!L:L,'caseload data'!$D:$D,"PSO",'caseload data'!$C:$C,'custody caseload'!$T$50,'caseload data'!$B:$B,"custody")</f>
        <v>0</v>
      </c>
      <c r="AC53" s="94">
        <f>SUMIFS('caseload data'!M:M,'caseload data'!$D:$D,"PSO",'caseload data'!$C:$C,'custody caseload'!$T$50,'caseload data'!$B:$B,"custody")</f>
        <v>0</v>
      </c>
      <c r="AD53" s="94">
        <f>SUMIFS('caseload data'!N:N,'caseload data'!$D:$D,"PSO",'caseload data'!$C:$C,'custody caseload'!$T$50,'caseload data'!$B:$B,"custody")</f>
        <v>0</v>
      </c>
      <c r="AE53" s="94">
        <f>SUMIFS('caseload data'!O:O,'caseload data'!$D:$D,"PSO",'caseload data'!$C:$C,'custody caseload'!$T$50,'caseload data'!$B:$B,"custody")</f>
        <v>0</v>
      </c>
      <c r="AF53" s="94">
        <f>SUMIFS('caseload data'!P:P,'caseload data'!$D:$D,"PSO",'caseload data'!$C:$C,'custody caseload'!$T$50,'caseload data'!$B:$B,"custody")</f>
        <v>0</v>
      </c>
      <c r="AG53" s="94">
        <f>SUMIFS('caseload data'!Q:Q,'caseload data'!$D:$D,"PSO",'caseload data'!$C:$C,'custody caseload'!$T$50,'caseload data'!$B:$B,"custody")</f>
        <v>0</v>
      </c>
      <c r="AH53" s="94">
        <f>SUMIFS('caseload data'!R:R,'caseload data'!$D:$D,"PSO",'caseload data'!$C:$C,'custody caseload'!$T$50,'caseload data'!$B:$B,"custody")</f>
        <v>0</v>
      </c>
      <c r="AI53" s="94">
        <f>SUMIFS('caseload data'!S:S,'caseload data'!$D:$D,"PSO",'caseload data'!$C:$C,'custody caseload'!$T$50,'caseload data'!$B:$B,"custody")</f>
        <v>0</v>
      </c>
      <c r="AJ53" s="94">
        <f>SUMIFS('caseload data'!T:T,'caseload data'!$D:$D,"PSO",'caseload data'!$C:$C,'custody caseload'!$T$50,'caseload data'!$B:$B,"custody")</f>
        <v>0</v>
      </c>
    </row>
    <row r="54" spans="2:36" ht="15" x14ac:dyDescent="0.2">
      <c r="B54" s="97" t="s">
        <v>1003</v>
      </c>
      <c r="C54" s="145">
        <f>SUMIFS('caseload data'!E:E,'caseload data'!$D:$D,"TPO",'caseload data'!$C:$C,'custody caseload'!$B$50,'caseload data'!$B:$B,"custody")</f>
        <v>0</v>
      </c>
      <c r="D54" s="145">
        <f>SUMIFS('caseload data'!F:F,'caseload data'!$D:$D,"TPO",'caseload data'!$C:$C,'custody caseload'!$B$50,'caseload data'!$B:$B,"custody")</f>
        <v>0</v>
      </c>
      <c r="E54" s="145">
        <f>SUMIFS('caseload data'!G:G,'caseload data'!$D:$D,"TPO",'caseload data'!$C:$C,'custody caseload'!$B$50,'caseload data'!$B:$B,"custody")</f>
        <v>0</v>
      </c>
      <c r="F54" s="145">
        <f>SUMIFS('caseload data'!H:H,'caseload data'!$D:$D,"TPO",'caseload data'!$C:$C,'custody caseload'!$B$50,'caseload data'!$B:$B,"custody")</f>
        <v>0</v>
      </c>
      <c r="G54" s="145">
        <f>SUMIFS('caseload data'!I:I,'caseload data'!$D:$D,"TPO",'caseload data'!$C:$C,'custody caseload'!$B$50,'caseload data'!$B:$B,"custody")</f>
        <v>0</v>
      </c>
      <c r="H54" s="145">
        <f>SUMIFS('caseload data'!J:J,'caseload data'!$D:$D,"TPO",'caseload data'!$C:$C,'custody caseload'!$B$50,'caseload data'!$B:$B,"custody")</f>
        <v>0</v>
      </c>
      <c r="I54" s="145">
        <f>SUMIFS('caseload data'!K:K,'caseload data'!$D:$D,"TPO",'caseload data'!$C:$C,'custody caseload'!$B$50,'caseload data'!$B:$B,"custody")</f>
        <v>0</v>
      </c>
      <c r="J54" s="145">
        <f>SUMIFS('caseload data'!L:L,'caseload data'!$D:$D,"TPO",'caseload data'!$C:$C,'custody caseload'!$B$50,'caseload data'!$B:$B,"custody")</f>
        <v>0</v>
      </c>
      <c r="K54" s="94">
        <f>SUMIFS('caseload data'!M:M,'caseload data'!$D:$D,"TPO",'caseload data'!$C:$C,'custody caseload'!$B$50,'caseload data'!$B:$B,"custody")</f>
        <v>0</v>
      </c>
      <c r="L54" s="94">
        <f>SUMIFS('caseload data'!N:N,'caseload data'!$D:$D,"TPO",'caseload data'!$C:$C,'custody caseload'!$B$50,'caseload data'!$B:$B,"custody")</f>
        <v>0</v>
      </c>
      <c r="M54" s="94">
        <f>SUMIFS('caseload data'!O:O,'caseload data'!$D:$D,"TPO",'caseload data'!$C:$C,'custody caseload'!$B$50,'caseload data'!$B:$B,"custody")</f>
        <v>0</v>
      </c>
      <c r="N54" s="94">
        <f>SUMIFS('caseload data'!P:P,'caseload data'!$D:$D,"TPO",'caseload data'!$C:$C,'custody caseload'!$B$50,'caseload data'!$B:$B,"custody")</f>
        <v>0</v>
      </c>
      <c r="O54" s="94">
        <f>SUMIFS('caseload data'!Q:Q,'caseload data'!$D:$D,"TPO",'caseload data'!$C:$C,'custody caseload'!$B$50,'caseload data'!$B:$B,"custody")</f>
        <v>0</v>
      </c>
      <c r="P54" s="94">
        <f>SUMIFS('caseload data'!R:R,'caseload data'!$D:$D,"TPO",'caseload data'!$C:$C,'custody caseload'!$B$50,'caseload data'!$B:$B,"custody")</f>
        <v>0</v>
      </c>
      <c r="Q54" s="94">
        <f>SUMIFS('caseload data'!S:S,'caseload data'!$D:$D,"TPO",'caseload data'!$C:$C,'custody caseload'!$B$50,'caseload data'!$B:$B,"custody")</f>
        <v>0</v>
      </c>
      <c r="R54" s="94">
        <f>SUMIFS('caseload data'!T:T,'caseload data'!$D:$D,"TPO",'caseload data'!$C:$C,'custody caseload'!$B$50,'caseload data'!$B:$B,"custody")</f>
        <v>0</v>
      </c>
      <c r="S54" s="64"/>
      <c r="T54" s="97" t="s">
        <v>1003</v>
      </c>
      <c r="U54" s="145">
        <f>SUMIFS('caseload data'!E:E,'caseload data'!$D:$D,"TPO",'caseload data'!$C:$C,'custody caseload'!$T$50,'caseload data'!$B:$B,"custody")</f>
        <v>0</v>
      </c>
      <c r="V54" s="145">
        <f>SUMIFS('caseload data'!F:F,'caseload data'!$D:$D,"TPO",'caseload data'!$C:$C,'custody caseload'!$T$50,'caseload data'!$B:$B,"custody")</f>
        <v>0</v>
      </c>
      <c r="W54" s="145">
        <f>SUMIFS('caseload data'!G:G,'caseload data'!$D:$D,"TPO",'caseload data'!$C:$C,'custody caseload'!$T$50,'caseload data'!$B:$B,"custody")</f>
        <v>0</v>
      </c>
      <c r="X54" s="145">
        <f>SUMIFS('caseload data'!H:H,'caseload data'!$D:$D,"TPO",'caseload data'!$C:$C,'custody caseload'!$T$50,'caseload data'!$B:$B,"custody")</f>
        <v>0</v>
      </c>
      <c r="Y54" s="145">
        <f>SUMIFS('caseload data'!I:I,'caseload data'!$D:$D,"TPO",'caseload data'!$C:$C,'custody caseload'!$T$50,'caseload data'!$B:$B,"custody")</f>
        <v>0</v>
      </c>
      <c r="Z54" s="145">
        <f>SUMIFS('caseload data'!J:J,'caseload data'!$D:$D,"TPO",'caseload data'!$C:$C,'custody caseload'!$T$50,'caseload data'!$B:$B,"custody")</f>
        <v>0</v>
      </c>
      <c r="AA54" s="145">
        <f>SUMIFS('caseload data'!K:K,'caseload data'!$D:$D,"TPO",'caseload data'!$C:$C,'custody caseload'!$T$50,'caseload data'!$B:$B,"custody")</f>
        <v>0</v>
      </c>
      <c r="AB54" s="145">
        <f>SUMIFS('caseload data'!L:L,'caseload data'!$D:$D,"TPO",'caseload data'!$C:$C,'custody caseload'!$T$50,'caseload data'!$B:$B,"custody")</f>
        <v>0</v>
      </c>
      <c r="AC54" s="94">
        <f>SUMIFS('caseload data'!M:M,'caseload data'!$D:$D,"TPO",'caseload data'!$C:$C,'custody caseload'!$T$50,'caseload data'!$B:$B,"custody")</f>
        <v>0</v>
      </c>
      <c r="AD54" s="94">
        <f>SUMIFS('caseload data'!N:N,'caseload data'!$D:$D,"TPO",'caseload data'!$C:$C,'custody caseload'!$T$50,'caseload data'!$B:$B,"custody")</f>
        <v>0</v>
      </c>
      <c r="AE54" s="94">
        <f>SUMIFS('caseload data'!O:O,'caseload data'!$D:$D,"TPO",'caseload data'!$C:$C,'custody caseload'!$T$50,'caseload data'!$B:$B,"custody")</f>
        <v>0</v>
      </c>
      <c r="AF54" s="94">
        <f>SUMIFS('caseload data'!P:P,'caseload data'!$D:$D,"TPO",'caseload data'!$C:$C,'custody caseload'!$T$50,'caseload data'!$B:$B,"custody")</f>
        <v>0</v>
      </c>
      <c r="AG54" s="94">
        <f>SUMIFS('caseload data'!Q:Q,'caseload data'!$D:$D,"TPO",'caseload data'!$C:$C,'custody caseload'!$T$50,'caseload data'!$B:$B,"custody")</f>
        <v>0</v>
      </c>
      <c r="AH54" s="94">
        <f>SUMIFS('caseload data'!R:R,'caseload data'!$D:$D,"TPO",'caseload data'!$C:$C,'custody caseload'!$T$50,'caseload data'!$B:$B,"custody")</f>
        <v>0</v>
      </c>
      <c r="AI54" s="94">
        <f>SUMIFS('caseload data'!S:S,'caseload data'!$D:$D,"TPO",'caseload data'!$C:$C,'custody caseload'!$T$50,'caseload data'!$B:$B,"custody")</f>
        <v>0</v>
      </c>
      <c r="AJ54" s="94">
        <f>SUMIFS('caseload data'!T:T,'caseload data'!$D:$D,"TPO",'caseload data'!$C:$C,'custody caseload'!$T$50,'caseload data'!$B:$B,"custody")</f>
        <v>0</v>
      </c>
    </row>
    <row r="55" spans="2:36" x14ac:dyDescent="0.15">
      <c r="B55" s="98" t="s">
        <v>1004</v>
      </c>
      <c r="C55" s="94">
        <f>SUMIFS('caseload data'!E:E,'caseload data'!$D:$D,"SPO",'caseload data'!$C:$C,'custody caseload'!$B$50,'caseload data'!$B:$B,"custody")</f>
        <v>0</v>
      </c>
      <c r="D55" s="94">
        <f>SUMIFS('caseload data'!F:F,'caseload data'!$D:$D,"SPO",'caseload data'!$C:$C,'custody caseload'!$B$50,'caseload data'!$B:$B,"custody")</f>
        <v>0</v>
      </c>
      <c r="E55" s="94">
        <f>SUMIFS('caseload data'!G:G,'caseload data'!$D:$D,"SPO",'caseload data'!$C:$C,'custody caseload'!$B$50,'caseload data'!$B:$B,"custody")</f>
        <v>0</v>
      </c>
      <c r="F55" s="94">
        <f>SUMIFS('caseload data'!H:H,'caseload data'!$D:$D,"SPO",'caseload data'!$C:$C,'custody caseload'!$B$50,'caseload data'!$B:$B,"custody")</f>
        <v>0</v>
      </c>
      <c r="G55" s="94">
        <f>SUMIFS('caseload data'!I:I,'caseload data'!$D:$D,"SPO",'caseload data'!$C:$C,'custody caseload'!$B$50,'caseload data'!$B:$B,"custody")</f>
        <v>0</v>
      </c>
      <c r="H55" s="94">
        <f>SUMIFS('caseload data'!J:J,'caseload data'!$D:$D,"SPO",'caseload data'!$C:$C,'custody caseload'!$B$50,'caseload data'!$B:$B,"custody")</f>
        <v>0</v>
      </c>
      <c r="I55" s="94">
        <f>SUMIFS('caseload data'!K:K,'caseload data'!$D:$D,"SPO",'caseload data'!$C:$C,'custody caseload'!$B$50,'caseload data'!$B:$B,"custody")</f>
        <v>0</v>
      </c>
      <c r="J55" s="94">
        <f>SUMIFS('caseload data'!L:L,'caseload data'!$D:$D,"SPO",'caseload data'!$C:$C,'custody caseload'!$B$50,'caseload data'!$B:$B,"custody")</f>
        <v>0</v>
      </c>
      <c r="K55" s="94">
        <f>SUMIFS('caseload data'!M:M,'caseload data'!$D:$D,"SPO",'caseload data'!$C:$C,'custody caseload'!$B$50,'caseload data'!$B:$B,"custody")</f>
        <v>0</v>
      </c>
      <c r="L55" s="94">
        <f>SUMIFS('caseload data'!N:N,'caseload data'!$D:$D,"SPO",'caseload data'!$C:$C,'custody caseload'!$B$50,'caseload data'!$B:$B,"custody")</f>
        <v>0</v>
      </c>
      <c r="M55" s="94">
        <f>SUMIFS('caseload data'!O:O,'caseload data'!$D:$D,"SPO",'caseload data'!$C:$C,'custody caseload'!$B$50,'caseload data'!$B:$B,"custody")</f>
        <v>0</v>
      </c>
      <c r="N55" s="94">
        <f>SUMIFS('caseload data'!P:P,'caseload data'!$D:$D,"SPO",'caseload data'!$C:$C,'custody caseload'!$B$50,'caseload data'!$B:$B,"custody")</f>
        <v>0</v>
      </c>
      <c r="O55" s="94">
        <f>SUMIFS('caseload data'!Q:Q,'caseload data'!$D:$D,"SPO",'caseload data'!$C:$C,'custody caseload'!$B$50,'caseload data'!$B:$B,"custody")</f>
        <v>0</v>
      </c>
      <c r="P55" s="94">
        <f>SUMIFS('caseload data'!R:R,'caseload data'!$D:$D,"SPO",'caseload data'!$C:$C,'custody caseload'!$B$50,'caseload data'!$B:$B,"custody")</f>
        <v>0</v>
      </c>
      <c r="Q55" s="94">
        <f>SUMIFS('caseload data'!S:S,'caseload data'!$D:$D,"SPO",'caseload data'!$C:$C,'custody caseload'!$B$50,'caseload data'!$B:$B,"custody")</f>
        <v>0</v>
      </c>
      <c r="R55" s="94">
        <f>SUMIFS('caseload data'!T:T,'caseload data'!$D:$D,"SPO",'caseload data'!$C:$C,'custody caseload'!$B$50,'caseload data'!$B:$B,"custody")</f>
        <v>0</v>
      </c>
      <c r="S55" s="64"/>
      <c r="T55" s="98" t="s">
        <v>1004</v>
      </c>
      <c r="U55" s="94">
        <f>SUMIFS('caseload data'!E:E,'caseload data'!$D:$D,"SPO",'caseload data'!$C:$C,'custody caseload'!$T$50,'caseload data'!$B:$B,"custody")</f>
        <v>0</v>
      </c>
      <c r="V55" s="94">
        <f>SUMIFS('caseload data'!F:F,'caseload data'!$D:$D,"SPO",'caseload data'!$C:$C,'custody caseload'!$T$50,'caseload data'!$B:$B,"custody")</f>
        <v>0</v>
      </c>
      <c r="W55" s="94">
        <f>SUMIFS('caseload data'!G:G,'caseload data'!$D:$D,"SPO",'caseload data'!$C:$C,'custody caseload'!$T$50,'caseload data'!$B:$B,"custody")</f>
        <v>0</v>
      </c>
      <c r="X55" s="94">
        <f>SUMIFS('caseload data'!H:H,'caseload data'!$D:$D,"SPO",'caseload data'!$C:$C,'custody caseload'!$T$50,'caseload data'!$B:$B,"custody")</f>
        <v>0</v>
      </c>
      <c r="Y55" s="94">
        <f>SUMIFS('caseload data'!I:I,'caseload data'!$D:$D,"SPO",'caseload data'!$C:$C,'custody caseload'!$T$50,'caseload data'!$B:$B,"custody")</f>
        <v>0</v>
      </c>
      <c r="Z55" s="94">
        <f>SUMIFS('caseload data'!J:J,'caseload data'!$D:$D,"SPO",'caseload data'!$C:$C,'custody caseload'!$T$50,'caseload data'!$B:$B,"custody")</f>
        <v>0</v>
      </c>
      <c r="AA55" s="94">
        <f>SUMIFS('caseload data'!K:K,'caseload data'!$D:$D,"SPO",'caseload data'!$C:$C,'custody caseload'!$T$50,'caseload data'!$B:$B,"custody")</f>
        <v>0</v>
      </c>
      <c r="AB55" s="94">
        <f>SUMIFS('caseload data'!L:L,'caseload data'!$D:$D,"SPO",'caseload data'!$C:$C,'custody caseload'!$T$50,'caseload data'!$B:$B,"custody")</f>
        <v>0</v>
      </c>
      <c r="AC55" s="94">
        <f>SUMIFS('caseload data'!M:M,'caseload data'!$D:$D,"SPO",'caseload data'!$C:$C,'custody caseload'!$T$50,'caseload data'!$B:$B,"custody")</f>
        <v>0</v>
      </c>
      <c r="AD55" s="94">
        <f>SUMIFS('caseload data'!N:N,'caseload data'!$D:$D,"SPO",'caseload data'!$C:$C,'custody caseload'!$T$50,'caseload data'!$B:$B,"custody")</f>
        <v>0</v>
      </c>
      <c r="AE55" s="94">
        <f>SUMIFS('caseload data'!O:O,'caseload data'!$D:$D,"SPO",'caseload data'!$C:$C,'custody caseload'!$T$50,'caseload data'!$B:$B,"custody")</f>
        <v>0</v>
      </c>
      <c r="AF55" s="94">
        <f>SUMIFS('caseload data'!P:P,'caseload data'!$D:$D,"SPO",'caseload data'!$C:$C,'custody caseload'!$T$50,'caseload data'!$B:$B,"custody")</f>
        <v>0</v>
      </c>
      <c r="AG55" s="94">
        <f>SUMIFS('caseload data'!Q:Q,'caseload data'!$D:$D,"SPO",'caseload data'!$C:$C,'custody caseload'!$T$50,'caseload data'!$B:$B,"custody")</f>
        <v>0</v>
      </c>
      <c r="AH55" s="94">
        <f>SUMIFS('caseload data'!R:R,'caseload data'!$D:$D,"SPO",'caseload data'!$C:$C,'custody caseload'!$T$50,'caseload data'!$B:$B,"custody")</f>
        <v>0</v>
      </c>
      <c r="AI55" s="94">
        <f>SUMIFS('caseload data'!S:S,'caseload data'!$D:$D,"SPO",'caseload data'!$C:$C,'custody caseload'!$T$50,'caseload data'!$B:$B,"custody")</f>
        <v>0</v>
      </c>
      <c r="AJ55" s="94">
        <f>SUMIFS('caseload data'!T:T,'caseload data'!$D:$D,"SPO",'caseload data'!$C:$C,'custody caseload'!$T$50,'caseload data'!$B:$B,"custody")</f>
        <v>0</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8.5" customHeight="1" x14ac:dyDescent="0.15">
      <c r="B57" s="142">
        <f>HLOOKUP($B$5,Region_Table,16,0)</f>
        <v>0</v>
      </c>
      <c r="C57" s="525" t="s">
        <v>1126</v>
      </c>
      <c r="D57" s="526"/>
      <c r="E57" s="526"/>
      <c r="F57" s="526"/>
      <c r="G57" s="526"/>
      <c r="H57" s="526"/>
      <c r="I57" s="526"/>
      <c r="J57" s="526"/>
      <c r="K57" s="526"/>
      <c r="L57" s="526"/>
      <c r="M57" s="535"/>
      <c r="N57" s="535"/>
      <c r="O57" s="536"/>
      <c r="P57" s="512">
        <f>SUMIFS('caseload data'!V:V,'caseload data'!B:B,"custody",'caseload data'!$C:$C,'custody caseload'!B57)</f>
        <v>0</v>
      </c>
      <c r="Q57" s="529"/>
      <c r="R57" s="530"/>
      <c r="S57" s="64"/>
      <c r="T57" s="142">
        <f>HLOOKUP($B$5,Region_Table,17,0)</f>
        <v>0</v>
      </c>
      <c r="U57" s="525" t="s">
        <v>1126</v>
      </c>
      <c r="V57" s="526"/>
      <c r="W57" s="526"/>
      <c r="X57" s="526"/>
      <c r="Y57" s="526"/>
      <c r="Z57" s="526"/>
      <c r="AA57" s="526"/>
      <c r="AB57" s="526"/>
      <c r="AC57" s="526"/>
      <c r="AD57" s="526"/>
      <c r="AE57" s="535"/>
      <c r="AF57" s="535"/>
      <c r="AG57" s="536"/>
      <c r="AH57" s="512">
        <f>SUMIFS('caseload data'!V:V,'caseload data'!B:B,"custody",'caseload data'!$C:$C,'custody caseload'!T57)</f>
        <v>0</v>
      </c>
      <c r="AI57" s="529"/>
      <c r="AJ57" s="530"/>
    </row>
    <row r="58" spans="2:36" x14ac:dyDescent="0.15">
      <c r="B58" s="95" t="s">
        <v>1001</v>
      </c>
      <c r="C58" s="38" t="s">
        <v>864</v>
      </c>
      <c r="D58" s="38" t="s">
        <v>865</v>
      </c>
      <c r="E58" s="38" t="s">
        <v>866</v>
      </c>
      <c r="F58" s="38" t="s">
        <v>867</v>
      </c>
      <c r="G58" s="38" t="s">
        <v>868</v>
      </c>
      <c r="H58" s="38" t="s">
        <v>869</v>
      </c>
      <c r="I58" s="38" t="s">
        <v>870</v>
      </c>
      <c r="J58" s="38" t="s">
        <v>871</v>
      </c>
      <c r="K58" s="38" t="s">
        <v>872</v>
      </c>
      <c r="L58" s="38" t="s">
        <v>873</v>
      </c>
      <c r="M58" s="38" t="s">
        <v>874</v>
      </c>
      <c r="N58" s="38" t="s">
        <v>875</v>
      </c>
      <c r="O58" s="38" t="s">
        <v>876</v>
      </c>
      <c r="P58" s="38" t="s">
        <v>877</v>
      </c>
      <c r="Q58" s="38" t="s">
        <v>878</v>
      </c>
      <c r="R58" s="38" t="s">
        <v>879</v>
      </c>
      <c r="S58" s="64"/>
      <c r="T58" s="95" t="s">
        <v>1001</v>
      </c>
      <c r="U58" s="38" t="s">
        <v>864</v>
      </c>
      <c r="V58" s="38" t="s">
        <v>865</v>
      </c>
      <c r="W58" s="38" t="s">
        <v>866</v>
      </c>
      <c r="X58" s="38" t="s">
        <v>867</v>
      </c>
      <c r="Y58" s="38" t="s">
        <v>868</v>
      </c>
      <c r="Z58" s="38" t="s">
        <v>869</v>
      </c>
      <c r="AA58" s="38" t="s">
        <v>870</v>
      </c>
      <c r="AB58" s="38" t="s">
        <v>871</v>
      </c>
      <c r="AC58" s="38" t="s">
        <v>872</v>
      </c>
      <c r="AD58" s="38" t="s">
        <v>873</v>
      </c>
      <c r="AE58" s="38" t="s">
        <v>874</v>
      </c>
      <c r="AF58" s="38" t="s">
        <v>875</v>
      </c>
      <c r="AG58" s="38" t="s">
        <v>876</v>
      </c>
      <c r="AH58" s="38" t="s">
        <v>877</v>
      </c>
      <c r="AI58" s="38" t="s">
        <v>878</v>
      </c>
      <c r="AJ58" s="38" t="s">
        <v>879</v>
      </c>
    </row>
    <row r="59" spans="2:36" x14ac:dyDescent="0.15">
      <c r="B59" s="96" t="s">
        <v>997</v>
      </c>
      <c r="C59" s="94">
        <f>SUMIFS('caseload data'!E:E,'caseload data'!$D:$D,"PO",'caseload data'!$C:$C,'custody caseload'!$B$57,'caseload data'!$B:$B,"custody")</f>
        <v>0</v>
      </c>
      <c r="D59" s="94">
        <f>SUMIFS('caseload data'!F:F,'caseload data'!$D:$D,"PO",'caseload data'!$C:$C,'custody caseload'!$B$57,'caseload data'!$B:$B,"custody")</f>
        <v>0</v>
      </c>
      <c r="E59" s="94">
        <f>SUMIFS('caseload data'!G:G,'caseload data'!$D:$D,"PO",'caseload data'!$C:$C,'custody caseload'!$B$57,'caseload data'!$B:$B,"custody")</f>
        <v>0</v>
      </c>
      <c r="F59" s="94">
        <f>SUMIFS('caseload data'!H:H,'caseload data'!$D:$D,"PO",'caseload data'!$C:$C,'custody caseload'!$B$57,'caseload data'!$B:$B,"custody")</f>
        <v>0</v>
      </c>
      <c r="G59" s="94">
        <f>SUMIFS('caseload data'!I:I,'caseload data'!$D:$D,"PO",'caseload data'!$C:$C,'custody caseload'!$B$57,'caseload data'!$B:$B,"custody")</f>
        <v>0</v>
      </c>
      <c r="H59" s="94">
        <f>SUMIFS('caseload data'!J:J,'caseload data'!$D:$D,"PO",'caseload data'!$C:$C,'custody caseload'!$B$57,'caseload data'!$B:$B,"custody")</f>
        <v>0</v>
      </c>
      <c r="I59" s="94">
        <f>SUMIFS('caseload data'!K:K,'caseload data'!$D:$D,"PO",'caseload data'!$C:$C,'custody caseload'!$B$57,'caseload data'!$B:$B,"custody")</f>
        <v>0</v>
      </c>
      <c r="J59" s="94">
        <f>SUMIFS('caseload data'!L:L,'caseload data'!$D:$D,"PO",'caseload data'!$C:$C,'custody caseload'!$B$57,'caseload data'!$B:$B,"custody")</f>
        <v>0</v>
      </c>
      <c r="K59" s="94">
        <f>SUMIFS('caseload data'!M:M,'caseload data'!$D:$D,"PO",'caseload data'!$C:$C,'custody caseload'!$B$57,'caseload data'!$B:$B,"custody")</f>
        <v>0</v>
      </c>
      <c r="L59" s="94">
        <f>SUMIFS('caseload data'!N:N,'caseload data'!$D:$D,"PO",'caseload data'!$C:$C,'custody caseload'!$B$57,'caseload data'!$B:$B,"custody")</f>
        <v>0</v>
      </c>
      <c r="M59" s="94">
        <f>SUMIFS('caseload data'!O:O,'caseload data'!$D:$D,"PO",'caseload data'!$C:$C,'custody caseload'!$B$57,'caseload data'!$B:$B,"custody")</f>
        <v>0</v>
      </c>
      <c r="N59" s="94">
        <f>SUMIFS('caseload data'!P:P,'caseload data'!$D:$D,"PO",'caseload data'!$C:$C,'custody caseload'!$B$57,'caseload data'!$B:$B,"custody")</f>
        <v>0</v>
      </c>
      <c r="O59" s="94">
        <f>SUMIFS('caseload data'!Q:Q,'caseload data'!$D:$D,"PO",'caseload data'!$C:$C,'custody caseload'!$B$57,'caseload data'!$B:$B,"custody")</f>
        <v>0</v>
      </c>
      <c r="P59" s="94">
        <f>SUMIFS('caseload data'!R:R,'caseload data'!$D:$D,"PO",'caseload data'!$C:$C,'custody caseload'!$B$57,'caseload data'!$B:$B,"custody")</f>
        <v>0</v>
      </c>
      <c r="Q59" s="94">
        <f>SUMIFS('caseload data'!S:S,'caseload data'!$D:$D,"PO",'caseload data'!$C:$C,'custody caseload'!$B$57,'caseload data'!$B:$B,"custody")</f>
        <v>0</v>
      </c>
      <c r="R59" s="94">
        <f>SUMIFS('caseload data'!T:T,'caseload data'!$D:$D,"PO",'caseload data'!$C:$C,'custody caseload'!$B$57,'caseload data'!$B:$B,"custody")</f>
        <v>0</v>
      </c>
      <c r="S59" s="64"/>
      <c r="T59" s="96" t="s">
        <v>997</v>
      </c>
      <c r="U59" s="94">
        <f>SUMIFS('caseload data'!E:E,'caseload data'!$D:$D,"PO",'caseload data'!$C:$C,'custody caseload'!$T$57,'caseload data'!$B:$B,"custody")</f>
        <v>0</v>
      </c>
      <c r="V59" s="94">
        <f>SUMIFS('caseload data'!F:F,'caseload data'!$D:$D,"PO",'caseload data'!$C:$C,'custody caseload'!$T$57,'caseload data'!$B:$B,"custody")</f>
        <v>0</v>
      </c>
      <c r="W59" s="94">
        <f>SUMIFS('caseload data'!G:G,'caseload data'!$D:$D,"PO",'caseload data'!$C:$C,'custody caseload'!$T$57,'caseload data'!$B:$B,"custody")</f>
        <v>0</v>
      </c>
      <c r="X59" s="94">
        <f>SUMIFS('caseload data'!H:H,'caseload data'!$D:$D,"PO",'caseload data'!$C:$C,'custody caseload'!$T$57,'caseload data'!$B:$B,"custody")</f>
        <v>0</v>
      </c>
      <c r="Y59" s="94">
        <f>SUMIFS('caseload data'!I:I,'caseload data'!$D:$D,"PO",'caseload data'!$C:$C,'custody caseload'!$T$57,'caseload data'!$B:$B,"custody")</f>
        <v>0</v>
      </c>
      <c r="Z59" s="94">
        <f>SUMIFS('caseload data'!J:J,'caseload data'!$D:$D,"PO",'caseload data'!$C:$C,'custody caseload'!$T$57,'caseload data'!$B:$B,"custody")</f>
        <v>0</v>
      </c>
      <c r="AA59" s="94">
        <f>SUMIFS('caseload data'!K:K,'caseload data'!$D:$D,"PO",'caseload data'!$C:$C,'custody caseload'!$T$57,'caseload data'!$B:$B,"custody")</f>
        <v>0</v>
      </c>
      <c r="AB59" s="94">
        <f>SUMIFS('caseload data'!L:L,'caseload data'!$D:$D,"PO",'caseload data'!$C:$C,'custody caseload'!$T$57,'caseload data'!$B:$B,"custody")</f>
        <v>0</v>
      </c>
      <c r="AC59" s="94">
        <f>SUMIFS('caseload data'!M:M,'caseload data'!$D:$D,"PO",'caseload data'!$C:$C,'custody caseload'!$T$57,'caseload data'!$B:$B,"custody")</f>
        <v>0</v>
      </c>
      <c r="AD59" s="94">
        <f>SUMIFS('caseload data'!N:N,'caseload data'!$D:$D,"PO",'caseload data'!$C:$C,'custody caseload'!$T$57,'caseload data'!$B:$B,"custody")</f>
        <v>0</v>
      </c>
      <c r="AE59" s="94">
        <f>SUMIFS('caseload data'!O:O,'caseload data'!$D:$D,"PO",'caseload data'!$C:$C,'custody caseload'!$T$57,'caseload data'!$B:$B,"custody")</f>
        <v>0</v>
      </c>
      <c r="AF59" s="94">
        <f>SUMIFS('caseload data'!P:P,'caseload data'!$D:$D,"PO",'caseload data'!$C:$C,'custody caseload'!$T$57,'caseload data'!$B:$B,"custody")</f>
        <v>0</v>
      </c>
      <c r="AG59" s="94">
        <f>SUMIFS('caseload data'!Q:Q,'caseload data'!$D:$D,"PO",'caseload data'!$C:$C,'custody caseload'!$T$57,'caseload data'!$B:$B,"custody")</f>
        <v>0</v>
      </c>
      <c r="AH59" s="94">
        <f>SUMIFS('caseload data'!R:R,'caseload data'!$D:$D,"PO",'caseload data'!$C:$C,'custody caseload'!$T$57,'caseload data'!$B:$B,"custody")</f>
        <v>0</v>
      </c>
      <c r="AI59" s="94">
        <f>SUMIFS('caseload data'!S:S,'caseload data'!$D:$D,"PO",'caseload data'!$C:$C,'custody caseload'!$T$57,'caseload data'!$B:$B,"custody")</f>
        <v>0</v>
      </c>
      <c r="AJ59" s="94">
        <f>SUMIFS('caseload data'!T:T,'caseload data'!$D:$D,"PO",'caseload data'!$C:$C,'custody caseload'!$T$57,'caseload data'!$B:$B,"custody")</f>
        <v>0</v>
      </c>
    </row>
    <row r="60" spans="2:36" ht="15" x14ac:dyDescent="0.2">
      <c r="B60" s="97" t="s">
        <v>1002</v>
      </c>
      <c r="C60" s="145">
        <f>SUMIFS('caseload data'!E:E,'caseload data'!$D:$D,"PSO",'caseload data'!$C:$C,'custody caseload'!$B$57,'caseload data'!$B:$B,"custody")</f>
        <v>0</v>
      </c>
      <c r="D60" s="145">
        <f>SUMIFS('caseload data'!F:F,'caseload data'!$D:$D,"PSO",'caseload data'!$C:$C,'custody caseload'!$B$57,'caseload data'!$B:$B,"custody")</f>
        <v>0</v>
      </c>
      <c r="E60" s="145">
        <f>SUMIFS('caseload data'!G:G,'caseload data'!$D:$D,"PSO",'caseload data'!$C:$C,'custody caseload'!$B$57,'caseload data'!$B:$B,"custody")</f>
        <v>0</v>
      </c>
      <c r="F60" s="145">
        <f>SUMIFS('caseload data'!H:H,'caseload data'!$D:$D,"PSO",'caseload data'!$C:$C,'custody caseload'!$B$57,'caseload data'!$B:$B,"custody")</f>
        <v>0</v>
      </c>
      <c r="G60" s="145">
        <f>SUMIFS('caseload data'!I:I,'caseload data'!$D:$D,"PSO",'caseload data'!$C:$C,'custody caseload'!$B$57,'caseload data'!$B:$B,"custody")</f>
        <v>0</v>
      </c>
      <c r="H60" s="145">
        <f>SUMIFS('caseload data'!J:J,'caseload data'!$D:$D,"PSO",'caseload data'!$C:$C,'custody caseload'!$B$57,'caseload data'!$B:$B,"custody")</f>
        <v>0</v>
      </c>
      <c r="I60" s="145">
        <f>SUMIFS('caseload data'!K:K,'caseload data'!$D:$D,"PSO",'caseload data'!$C:$C,'custody caseload'!$B$57,'caseload data'!$B:$B,"custody")</f>
        <v>0</v>
      </c>
      <c r="J60" s="145">
        <f>SUMIFS('caseload data'!L:L,'caseload data'!$D:$D,"PSO",'caseload data'!$C:$C,'custody caseload'!$B$57,'caseload data'!$B:$B,"custody")</f>
        <v>0</v>
      </c>
      <c r="K60" s="94">
        <f>SUMIFS('caseload data'!M:M,'caseload data'!$D:$D,"PSO",'caseload data'!$C:$C,'custody caseload'!$B$57,'caseload data'!$B:$B,"custody")</f>
        <v>0</v>
      </c>
      <c r="L60" s="94">
        <f>SUMIFS('caseload data'!N:N,'caseload data'!$D:$D,"PSO",'caseload data'!$C:$C,'custody caseload'!$B$57,'caseload data'!$B:$B,"custody")</f>
        <v>0</v>
      </c>
      <c r="M60" s="94">
        <f>SUMIFS('caseload data'!O:O,'caseload data'!$D:$D,"PSO",'caseload data'!$C:$C,'custody caseload'!$B$57,'caseload data'!$B:$B,"custody")</f>
        <v>0</v>
      </c>
      <c r="N60" s="94">
        <f>SUMIFS('caseload data'!P:P,'caseload data'!$D:$D,"PSO",'caseload data'!$C:$C,'custody caseload'!$B$57,'caseload data'!$B:$B,"custody")</f>
        <v>0</v>
      </c>
      <c r="O60" s="94">
        <f>SUMIFS('caseload data'!Q:Q,'caseload data'!$D:$D,"PSO",'caseload data'!$C:$C,'custody caseload'!$B$57,'caseload data'!$B:$B,"custody")</f>
        <v>0</v>
      </c>
      <c r="P60" s="94">
        <f>SUMIFS('caseload data'!R:R,'caseload data'!$D:$D,"PSO",'caseload data'!$C:$C,'custody caseload'!$B$57,'caseload data'!$B:$B,"custody")</f>
        <v>0</v>
      </c>
      <c r="Q60" s="94">
        <f>SUMIFS('caseload data'!S:S,'caseload data'!$D:$D,"PSO",'caseload data'!$C:$C,'custody caseload'!$B$57,'caseload data'!$B:$B,"custody")</f>
        <v>0</v>
      </c>
      <c r="R60" s="94">
        <f>SUMIFS('caseload data'!T:T,'caseload data'!$D:$D,"PSO",'caseload data'!$C:$C,'custody caseload'!$B$57,'caseload data'!$B:$B,"custody")</f>
        <v>0</v>
      </c>
      <c r="S60" s="64"/>
      <c r="T60" s="97" t="s">
        <v>1002</v>
      </c>
      <c r="U60" s="145">
        <f>SUMIFS('caseload data'!E:E,'caseload data'!$D:$D,"PSO",'caseload data'!$C:$C,'custody caseload'!$T$57,'caseload data'!$B:$B,"custody")</f>
        <v>0</v>
      </c>
      <c r="V60" s="145">
        <f>SUMIFS('caseload data'!F:F,'caseload data'!$D:$D,"PSO",'caseload data'!$C:$C,'custody caseload'!$T$57,'caseload data'!$B:$B,"custody")</f>
        <v>0</v>
      </c>
      <c r="W60" s="145">
        <f>SUMIFS('caseload data'!G:G,'caseload data'!$D:$D,"PSO",'caseload data'!$C:$C,'custody caseload'!$T$57,'caseload data'!$B:$B,"custody")</f>
        <v>0</v>
      </c>
      <c r="X60" s="145">
        <f>SUMIFS('caseload data'!H:H,'caseload data'!$D:$D,"PSO",'caseload data'!$C:$C,'custody caseload'!$T$57,'caseload data'!$B:$B,"custody")</f>
        <v>0</v>
      </c>
      <c r="Y60" s="145">
        <f>SUMIFS('caseload data'!I:I,'caseload data'!$D:$D,"PSO",'caseload data'!$C:$C,'custody caseload'!$T$57,'caseload data'!$B:$B,"custody")</f>
        <v>0</v>
      </c>
      <c r="Z60" s="145">
        <f>SUMIFS('caseload data'!J:J,'caseload data'!$D:$D,"PSO",'caseload data'!$C:$C,'custody caseload'!$T$57,'caseload data'!$B:$B,"custody")</f>
        <v>0</v>
      </c>
      <c r="AA60" s="145">
        <f>SUMIFS('caseload data'!K:K,'caseload data'!$D:$D,"PSO",'caseload data'!$C:$C,'custody caseload'!$T$57,'caseload data'!$B:$B,"custody")</f>
        <v>0</v>
      </c>
      <c r="AB60" s="145">
        <f>SUMIFS('caseload data'!L:L,'caseload data'!$D:$D,"PSO",'caseload data'!$C:$C,'custody caseload'!$T$57,'caseload data'!$B:$B,"custody")</f>
        <v>0</v>
      </c>
      <c r="AC60" s="94">
        <f>SUMIFS('caseload data'!M:M,'caseload data'!$D:$D,"PSO",'caseload data'!$C:$C,'custody caseload'!$T$57,'caseload data'!$B:$B,"custody")</f>
        <v>0</v>
      </c>
      <c r="AD60" s="94">
        <f>SUMIFS('caseload data'!N:N,'caseload data'!$D:$D,"PSO",'caseload data'!$C:$C,'custody caseload'!$T$57,'caseload data'!$B:$B,"custody")</f>
        <v>0</v>
      </c>
      <c r="AE60" s="94">
        <f>SUMIFS('caseload data'!O:O,'caseload data'!$D:$D,"PSO",'caseload data'!$C:$C,'custody caseload'!$T$57,'caseload data'!$B:$B,"custody")</f>
        <v>0</v>
      </c>
      <c r="AF60" s="94">
        <f>SUMIFS('caseload data'!P:P,'caseload data'!$D:$D,"PSO",'caseload data'!$C:$C,'custody caseload'!$T$57,'caseload data'!$B:$B,"custody")</f>
        <v>0</v>
      </c>
      <c r="AG60" s="94">
        <f>SUMIFS('caseload data'!Q:Q,'caseload data'!$D:$D,"PSO",'caseload data'!$C:$C,'custody caseload'!$T$57,'caseload data'!$B:$B,"custody")</f>
        <v>0</v>
      </c>
      <c r="AH60" s="94">
        <f>SUMIFS('caseload data'!R:R,'caseload data'!$D:$D,"PSO",'caseload data'!$C:$C,'custody caseload'!$T$57,'caseload data'!$B:$B,"custody")</f>
        <v>0</v>
      </c>
      <c r="AI60" s="94">
        <f>SUMIFS('caseload data'!S:S,'caseload data'!$D:$D,"PSO",'caseload data'!$C:$C,'custody caseload'!$T$57,'caseload data'!$B:$B,"custody")</f>
        <v>0</v>
      </c>
      <c r="AJ60" s="94">
        <f>SUMIFS('caseload data'!T:T,'caseload data'!$D:$D,"PSO",'caseload data'!$C:$C,'custody caseload'!$T$57,'caseload data'!$B:$B,"custody")</f>
        <v>0</v>
      </c>
    </row>
    <row r="61" spans="2:36" ht="15" x14ac:dyDescent="0.2">
      <c r="B61" s="97" t="s">
        <v>1003</v>
      </c>
      <c r="C61" s="145">
        <f>SUMIFS('caseload data'!E:E,'caseload data'!$D:$D,"TPO",'caseload data'!$C:$C,'custody caseload'!$B$57,'caseload data'!$B:$B,"custody")</f>
        <v>0</v>
      </c>
      <c r="D61" s="145">
        <f>SUMIFS('caseload data'!F:F,'caseload data'!$D:$D,"TPO",'caseload data'!$C:$C,'custody caseload'!$B$57,'caseload data'!$B:$B,"custody")</f>
        <v>0</v>
      </c>
      <c r="E61" s="145">
        <f>SUMIFS('caseload data'!G:G,'caseload data'!$D:$D,"TPO",'caseload data'!$C:$C,'custody caseload'!$B$57,'caseload data'!$B:$B,"custody")</f>
        <v>0</v>
      </c>
      <c r="F61" s="145">
        <f>SUMIFS('caseload data'!H:H,'caseload data'!$D:$D,"TPO",'caseload data'!$C:$C,'custody caseload'!$B$57,'caseload data'!$B:$B,"custody")</f>
        <v>0</v>
      </c>
      <c r="G61" s="145">
        <f>SUMIFS('caseload data'!I:I,'caseload data'!$D:$D,"TPO",'caseload data'!$C:$C,'custody caseload'!$B$57,'caseload data'!$B:$B,"custody")</f>
        <v>0</v>
      </c>
      <c r="H61" s="145">
        <f>SUMIFS('caseload data'!J:J,'caseload data'!$D:$D,"TPO",'caseload data'!$C:$C,'custody caseload'!$B$57,'caseload data'!$B:$B,"custody")</f>
        <v>0</v>
      </c>
      <c r="I61" s="145">
        <f>SUMIFS('caseload data'!K:K,'caseload data'!$D:$D,"TPO",'caseload data'!$C:$C,'custody caseload'!$B$57,'caseload data'!$B:$B,"custody")</f>
        <v>0</v>
      </c>
      <c r="J61" s="145">
        <f>SUMIFS('caseload data'!L:L,'caseload data'!$D:$D,"TPO",'caseload data'!$C:$C,'custody caseload'!$B$57,'caseload data'!$B:$B,"custody")</f>
        <v>0</v>
      </c>
      <c r="K61" s="94">
        <f>SUMIFS('caseload data'!M:M,'caseload data'!$D:$D,"TPO",'caseload data'!$C:$C,'custody caseload'!$B$57,'caseload data'!$B:$B,"custody")</f>
        <v>0</v>
      </c>
      <c r="L61" s="94">
        <f>SUMIFS('caseload data'!N:N,'caseload data'!$D:$D,"TPO",'caseload data'!$C:$C,'custody caseload'!$B$57,'caseload data'!$B:$B,"custody")</f>
        <v>0</v>
      </c>
      <c r="M61" s="94">
        <f>SUMIFS('caseload data'!O:O,'caseload data'!$D:$D,"TPO",'caseload data'!$C:$C,'custody caseload'!$B$57,'caseload data'!$B:$B,"custody")</f>
        <v>0</v>
      </c>
      <c r="N61" s="94">
        <f>SUMIFS('caseload data'!P:P,'caseload data'!$D:$D,"TPO",'caseload data'!$C:$C,'custody caseload'!$B$57,'caseload data'!$B:$B,"custody")</f>
        <v>0</v>
      </c>
      <c r="O61" s="94">
        <f>SUMIFS('caseload data'!Q:Q,'caseload data'!$D:$D,"TPO",'caseload data'!$C:$C,'custody caseload'!$B$57,'caseload data'!$B:$B,"custody")</f>
        <v>0</v>
      </c>
      <c r="P61" s="94">
        <f>SUMIFS('caseload data'!R:R,'caseload data'!$D:$D,"TPO",'caseload data'!$C:$C,'custody caseload'!$B$57,'caseload data'!$B:$B,"custody")</f>
        <v>0</v>
      </c>
      <c r="Q61" s="94">
        <f>SUMIFS('caseload data'!S:S,'caseload data'!$D:$D,"TPO",'caseload data'!$C:$C,'custody caseload'!$B$57,'caseload data'!$B:$B,"custody")</f>
        <v>0</v>
      </c>
      <c r="R61" s="94">
        <f>SUMIFS('caseload data'!T:T,'caseload data'!$D:$D,"TPO",'caseload data'!$C:$C,'custody caseload'!$B$57,'caseload data'!$B:$B,"custody")</f>
        <v>0</v>
      </c>
      <c r="S61" s="64"/>
      <c r="T61" s="97" t="s">
        <v>1003</v>
      </c>
      <c r="U61" s="145">
        <f>SUMIFS('caseload data'!E:E,'caseload data'!$D:$D,"TPO",'caseload data'!$C:$C,'custody caseload'!$T$57,'caseload data'!$B:$B,"custody")</f>
        <v>0</v>
      </c>
      <c r="V61" s="145">
        <f>SUMIFS('caseload data'!F:F,'caseload data'!$D:$D,"TPO",'caseload data'!$C:$C,'custody caseload'!$T$57,'caseload data'!$B:$B,"custody")</f>
        <v>0</v>
      </c>
      <c r="W61" s="145">
        <f>SUMIFS('caseload data'!G:G,'caseload data'!$D:$D,"TPO",'caseload data'!$C:$C,'custody caseload'!$T$57,'caseload data'!$B:$B,"custody")</f>
        <v>0</v>
      </c>
      <c r="X61" s="145">
        <f>SUMIFS('caseload data'!H:H,'caseload data'!$D:$D,"TPO",'caseload data'!$C:$C,'custody caseload'!$T$57,'caseload data'!$B:$B,"custody")</f>
        <v>0</v>
      </c>
      <c r="Y61" s="145">
        <f>SUMIFS('caseload data'!I:I,'caseload data'!$D:$D,"TPO",'caseload data'!$C:$C,'custody caseload'!$T$57,'caseload data'!$B:$B,"custody")</f>
        <v>0</v>
      </c>
      <c r="Z61" s="145">
        <f>SUMIFS('caseload data'!J:J,'caseload data'!$D:$D,"TPO",'caseload data'!$C:$C,'custody caseload'!$T$57,'caseload data'!$B:$B,"custody")</f>
        <v>0</v>
      </c>
      <c r="AA61" s="145">
        <f>SUMIFS('caseload data'!K:K,'caseload data'!$D:$D,"TPO",'caseload data'!$C:$C,'custody caseload'!$T$57,'caseload data'!$B:$B,"custody")</f>
        <v>0</v>
      </c>
      <c r="AB61" s="145">
        <f>SUMIFS('caseload data'!L:L,'caseload data'!$D:$D,"TPO",'caseload data'!$C:$C,'custody caseload'!$T$57,'caseload data'!$B:$B,"custody")</f>
        <v>0</v>
      </c>
      <c r="AC61" s="94">
        <f>SUMIFS('caseload data'!M:M,'caseload data'!$D:$D,"TPO",'caseload data'!$C:$C,'custody caseload'!$T$57,'caseload data'!$B:$B,"custody")</f>
        <v>0</v>
      </c>
      <c r="AD61" s="94">
        <f>SUMIFS('caseload data'!N:N,'caseload data'!$D:$D,"TPO",'caseload data'!$C:$C,'custody caseload'!$T$57,'caseload data'!$B:$B,"custody")</f>
        <v>0</v>
      </c>
      <c r="AE61" s="94">
        <f>SUMIFS('caseload data'!O:O,'caseload data'!$D:$D,"TPO",'caseload data'!$C:$C,'custody caseload'!$T$57,'caseload data'!$B:$B,"custody")</f>
        <v>0</v>
      </c>
      <c r="AF61" s="94">
        <f>SUMIFS('caseload data'!P:P,'caseload data'!$D:$D,"TPO",'caseload data'!$C:$C,'custody caseload'!$T$57,'caseload data'!$B:$B,"custody")</f>
        <v>0</v>
      </c>
      <c r="AG61" s="94">
        <f>SUMIFS('caseload data'!Q:Q,'caseload data'!$D:$D,"TPO",'caseload data'!$C:$C,'custody caseload'!$T$57,'caseload data'!$B:$B,"custody")</f>
        <v>0</v>
      </c>
      <c r="AH61" s="94">
        <f>SUMIFS('caseload data'!R:R,'caseload data'!$D:$D,"TPO",'caseload data'!$C:$C,'custody caseload'!$T$57,'caseload data'!$B:$B,"custody")</f>
        <v>0</v>
      </c>
      <c r="AI61" s="94">
        <f>SUMIFS('caseload data'!S:S,'caseload data'!$D:$D,"TPO",'caseload data'!$C:$C,'custody caseload'!$T$57,'caseload data'!$B:$B,"custody")</f>
        <v>0</v>
      </c>
      <c r="AJ61" s="94">
        <f>SUMIFS('caseload data'!T:T,'caseload data'!$D:$D,"TPO",'caseload data'!$C:$C,'custody caseload'!$T$57,'caseload data'!$B:$B,"custody")</f>
        <v>0</v>
      </c>
    </row>
    <row r="62" spans="2:36" x14ac:dyDescent="0.15">
      <c r="B62" s="98" t="s">
        <v>1004</v>
      </c>
      <c r="C62" s="94">
        <f>SUMIFS('caseload data'!E:E,'caseload data'!$D:$D,"SPO",'caseload data'!$C:$C,'custody caseload'!$B$57,'caseload data'!$B:$B,"custody")</f>
        <v>0</v>
      </c>
      <c r="D62" s="94">
        <f>SUMIFS('caseload data'!F:F,'caseload data'!$D:$D,"SPO",'caseload data'!$C:$C,'custody caseload'!$B$57,'caseload data'!$B:$B,"custody")</f>
        <v>0</v>
      </c>
      <c r="E62" s="94">
        <f>SUMIFS('caseload data'!G:G,'caseload data'!$D:$D,"SPO",'caseload data'!$C:$C,'custody caseload'!$B$57,'caseload data'!$B:$B,"custody")</f>
        <v>0</v>
      </c>
      <c r="F62" s="94">
        <f>SUMIFS('caseload data'!H:H,'caseload data'!$D:$D,"SPO",'caseload data'!$C:$C,'custody caseload'!$B$57,'caseload data'!$B:$B,"custody")</f>
        <v>0</v>
      </c>
      <c r="G62" s="94">
        <f>SUMIFS('caseload data'!I:I,'caseload data'!$D:$D,"SPO",'caseload data'!$C:$C,'custody caseload'!$B$57,'caseload data'!$B:$B,"custody")</f>
        <v>0</v>
      </c>
      <c r="H62" s="94">
        <f>SUMIFS('caseload data'!J:J,'caseload data'!$D:$D,"SPO",'caseload data'!$C:$C,'custody caseload'!$B$57,'caseload data'!$B:$B,"custody")</f>
        <v>0</v>
      </c>
      <c r="I62" s="94">
        <f>SUMIFS('caseload data'!K:K,'caseload data'!$D:$D,"SPO",'caseload data'!$C:$C,'custody caseload'!$B$57,'caseload data'!$B:$B,"custody")</f>
        <v>0</v>
      </c>
      <c r="J62" s="94">
        <f>SUMIFS('caseload data'!L:L,'caseload data'!$D:$D,"SPO",'caseload data'!$C:$C,'custody caseload'!$B$57,'caseload data'!$B:$B,"custody")</f>
        <v>0</v>
      </c>
      <c r="K62" s="94">
        <f>SUMIFS('caseload data'!M:M,'caseload data'!$D:$D,"SPO",'caseload data'!$C:$C,'custody caseload'!$B$57,'caseload data'!$B:$B,"custody")</f>
        <v>0</v>
      </c>
      <c r="L62" s="94">
        <f>SUMIFS('caseload data'!N:N,'caseload data'!$D:$D,"SPO",'caseload data'!$C:$C,'custody caseload'!$B$57,'caseload data'!$B:$B,"custody")</f>
        <v>0</v>
      </c>
      <c r="M62" s="94">
        <f>SUMIFS('caseload data'!O:O,'caseload data'!$D:$D,"SPO",'caseload data'!$C:$C,'custody caseload'!$B$57,'caseload data'!$B:$B,"custody")</f>
        <v>0</v>
      </c>
      <c r="N62" s="94">
        <f>SUMIFS('caseload data'!P:P,'caseload data'!$D:$D,"SPO",'caseload data'!$C:$C,'custody caseload'!$B$57,'caseload data'!$B:$B,"custody")</f>
        <v>0</v>
      </c>
      <c r="O62" s="94">
        <f>SUMIFS('caseload data'!Q:Q,'caseload data'!$D:$D,"SPO",'caseload data'!$C:$C,'custody caseload'!$B$57,'caseload data'!$B:$B,"custody")</f>
        <v>0</v>
      </c>
      <c r="P62" s="94">
        <f>SUMIFS('caseload data'!R:R,'caseload data'!$D:$D,"SPO",'caseload data'!$C:$C,'custody caseload'!$B$57,'caseload data'!$B:$B,"custody")</f>
        <v>0</v>
      </c>
      <c r="Q62" s="94">
        <f>SUMIFS('caseload data'!S:S,'caseload data'!$D:$D,"SPO",'caseload data'!$C:$C,'custody caseload'!$B$57,'caseload data'!$B:$B,"custody")</f>
        <v>0</v>
      </c>
      <c r="R62" s="94">
        <f>SUMIFS('caseload data'!T:T,'caseload data'!$D:$D,"SPO",'caseload data'!$C:$C,'custody caseload'!$B$57,'caseload data'!$B:$B,"custody")</f>
        <v>0</v>
      </c>
      <c r="S62" s="64"/>
      <c r="T62" s="98" t="s">
        <v>1004</v>
      </c>
      <c r="U62" s="94">
        <f>SUMIFS('caseload data'!E:E,'caseload data'!$D:$D,"SPO",'caseload data'!$C:$C,'custody caseload'!$T$57,'caseload data'!$B:$B,"custody")</f>
        <v>0</v>
      </c>
      <c r="V62" s="94">
        <f>SUMIFS('caseload data'!F:F,'caseload data'!$D:$D,"SPO",'caseload data'!$C:$C,'custody caseload'!$T$57,'caseload data'!$B:$B,"custody")</f>
        <v>0</v>
      </c>
      <c r="W62" s="94">
        <f>SUMIFS('caseload data'!G:G,'caseload data'!$D:$D,"SPO",'caseload data'!$C:$C,'custody caseload'!$T$57,'caseload data'!$B:$B,"custody")</f>
        <v>0</v>
      </c>
      <c r="X62" s="94">
        <f>SUMIFS('caseload data'!H:H,'caseload data'!$D:$D,"SPO",'caseload data'!$C:$C,'custody caseload'!$T$57,'caseload data'!$B:$B,"custody")</f>
        <v>0</v>
      </c>
      <c r="Y62" s="94">
        <f>SUMIFS('caseload data'!I:I,'caseload data'!$D:$D,"SPO",'caseload data'!$C:$C,'custody caseload'!$T$57,'caseload data'!$B:$B,"custody")</f>
        <v>0</v>
      </c>
      <c r="Z62" s="94">
        <f>SUMIFS('caseload data'!J:J,'caseload data'!$D:$D,"SPO",'caseload data'!$C:$C,'custody caseload'!$T$57,'caseload data'!$B:$B,"custody")</f>
        <v>0</v>
      </c>
      <c r="AA62" s="94">
        <f>SUMIFS('caseload data'!K:K,'caseload data'!$D:$D,"SPO",'caseload data'!$C:$C,'custody caseload'!$T$57,'caseload data'!$B:$B,"custody")</f>
        <v>0</v>
      </c>
      <c r="AB62" s="94">
        <f>SUMIFS('caseload data'!L:L,'caseload data'!$D:$D,"SPO",'caseload data'!$C:$C,'custody caseload'!$T$57,'caseload data'!$B:$B,"custody")</f>
        <v>0</v>
      </c>
      <c r="AC62" s="94">
        <f>SUMIFS('caseload data'!M:M,'caseload data'!$D:$D,"SPO",'caseload data'!$C:$C,'custody caseload'!$T$57,'caseload data'!$B:$B,"custody")</f>
        <v>0</v>
      </c>
      <c r="AD62" s="94">
        <f>SUMIFS('caseload data'!N:N,'caseload data'!$D:$D,"SPO",'caseload data'!$C:$C,'custody caseload'!$T$57,'caseload data'!$B:$B,"custody")</f>
        <v>0</v>
      </c>
      <c r="AE62" s="94">
        <f>SUMIFS('caseload data'!O:O,'caseload data'!$D:$D,"SPO",'caseload data'!$C:$C,'custody caseload'!$T$57,'caseload data'!$B:$B,"custody")</f>
        <v>0</v>
      </c>
      <c r="AF62" s="94">
        <f>SUMIFS('caseload data'!P:P,'caseload data'!$D:$D,"SPO",'caseload data'!$C:$C,'custody caseload'!$T$57,'caseload data'!$B:$B,"custody")</f>
        <v>0</v>
      </c>
      <c r="AG62" s="94">
        <f>SUMIFS('caseload data'!Q:Q,'caseload data'!$D:$D,"SPO",'caseload data'!$C:$C,'custody caseload'!$T$57,'caseload data'!$B:$B,"custody")</f>
        <v>0</v>
      </c>
      <c r="AH62" s="94">
        <f>SUMIFS('caseload data'!R:R,'caseload data'!$D:$D,"SPO",'caseload data'!$C:$C,'custody caseload'!$T$57,'caseload data'!$B:$B,"custody")</f>
        <v>0</v>
      </c>
      <c r="AI62" s="94">
        <f>SUMIFS('caseload data'!S:S,'caseload data'!$D:$D,"SPO",'caseload data'!$C:$C,'custody caseload'!$T$57,'caseload data'!$B:$B,"custody")</f>
        <v>0</v>
      </c>
      <c r="AJ62" s="94">
        <f>SUMIFS('caseload data'!T:T,'caseload data'!$D:$D,"SPO",'caseload data'!$C:$C,'custody caseload'!$T$57,'caseload data'!$B:$B,"custody")</f>
        <v>0</v>
      </c>
    </row>
    <row r="64" spans="2:36" ht="21" customHeight="1" x14ac:dyDescent="0.15">
      <c r="B64" s="142">
        <f>HLOOKUP($B$5,Region_Table,18,0)</f>
        <v>0</v>
      </c>
      <c r="C64" s="525" t="s">
        <v>1126</v>
      </c>
      <c r="D64" s="526"/>
      <c r="E64" s="526"/>
      <c r="F64" s="526"/>
      <c r="G64" s="526"/>
      <c r="H64" s="526"/>
      <c r="I64" s="526"/>
      <c r="J64" s="526"/>
      <c r="K64" s="526"/>
      <c r="L64" s="526"/>
      <c r="M64" s="535"/>
      <c r="N64" s="535"/>
      <c r="O64" s="536"/>
      <c r="P64" s="512">
        <f>SUMIFS('caseload data'!V:V,'caseload data'!B:B,"custody",'caseload data'!$C:$C,'custody caseload'!B64)</f>
        <v>0</v>
      </c>
      <c r="Q64" s="529"/>
      <c r="R64" s="530"/>
      <c r="S64" s="64"/>
      <c r="T64" s="142">
        <f>HLOOKUP($B$5,Region_Table,19,0)</f>
        <v>0</v>
      </c>
      <c r="U64" s="525" t="s">
        <v>1126</v>
      </c>
      <c r="V64" s="526"/>
      <c r="W64" s="526"/>
      <c r="X64" s="526"/>
      <c r="Y64" s="526"/>
      <c r="Z64" s="526"/>
      <c r="AA64" s="526"/>
      <c r="AB64" s="526"/>
      <c r="AC64" s="526"/>
      <c r="AD64" s="526"/>
      <c r="AE64" s="535"/>
      <c r="AF64" s="535"/>
      <c r="AG64" s="536"/>
      <c r="AH64" s="512">
        <f>SUMIFS('caseload data'!V:V,'caseload data'!B:B,"custody",'caseload data'!$C:$C,'custody caseload'!T64)</f>
        <v>0</v>
      </c>
      <c r="AI64" s="529"/>
      <c r="AJ64" s="530"/>
    </row>
    <row r="65" spans="2:36" x14ac:dyDescent="0.15">
      <c r="B65" s="95" t="s">
        <v>1001</v>
      </c>
      <c r="C65" s="38" t="s">
        <v>864</v>
      </c>
      <c r="D65" s="38" t="s">
        <v>865</v>
      </c>
      <c r="E65" s="38" t="s">
        <v>866</v>
      </c>
      <c r="F65" s="38" t="s">
        <v>867</v>
      </c>
      <c r="G65" s="38" t="s">
        <v>868</v>
      </c>
      <c r="H65" s="38" t="s">
        <v>869</v>
      </c>
      <c r="I65" s="38" t="s">
        <v>870</v>
      </c>
      <c r="J65" s="38" t="s">
        <v>871</v>
      </c>
      <c r="K65" s="38" t="s">
        <v>872</v>
      </c>
      <c r="L65" s="38" t="s">
        <v>873</v>
      </c>
      <c r="M65" s="38" t="s">
        <v>874</v>
      </c>
      <c r="N65" s="38" t="s">
        <v>875</v>
      </c>
      <c r="O65" s="38" t="s">
        <v>876</v>
      </c>
      <c r="P65" s="38" t="s">
        <v>877</v>
      </c>
      <c r="Q65" s="38" t="s">
        <v>878</v>
      </c>
      <c r="R65" s="38" t="s">
        <v>879</v>
      </c>
      <c r="S65" s="64"/>
      <c r="T65" s="95" t="s">
        <v>1001</v>
      </c>
      <c r="U65" s="38" t="s">
        <v>864</v>
      </c>
      <c r="V65" s="38" t="s">
        <v>865</v>
      </c>
      <c r="W65" s="38" t="s">
        <v>866</v>
      </c>
      <c r="X65" s="38" t="s">
        <v>867</v>
      </c>
      <c r="Y65" s="38" t="s">
        <v>868</v>
      </c>
      <c r="Z65" s="38" t="s">
        <v>869</v>
      </c>
      <c r="AA65" s="38" t="s">
        <v>870</v>
      </c>
      <c r="AB65" s="38" t="s">
        <v>871</v>
      </c>
      <c r="AC65" s="38" t="s">
        <v>872</v>
      </c>
      <c r="AD65" s="38" t="s">
        <v>873</v>
      </c>
      <c r="AE65" s="38" t="s">
        <v>874</v>
      </c>
      <c r="AF65" s="38" t="s">
        <v>875</v>
      </c>
      <c r="AG65" s="38" t="s">
        <v>876</v>
      </c>
      <c r="AH65" s="38" t="s">
        <v>877</v>
      </c>
      <c r="AI65" s="38" t="s">
        <v>878</v>
      </c>
      <c r="AJ65" s="38" t="s">
        <v>879</v>
      </c>
    </row>
    <row r="66" spans="2:36" x14ac:dyDescent="0.15">
      <c r="B66" s="96" t="s">
        <v>997</v>
      </c>
      <c r="C66" s="94">
        <f>SUMIFS('caseload data'!E:E,'caseload data'!$D:$D,"PO",'caseload data'!$C:$C,'custody caseload'!$B$64,'caseload data'!$B:$B,"custody")</f>
        <v>0</v>
      </c>
      <c r="D66" s="94">
        <f>SUMIFS('caseload data'!F:F,'caseload data'!$D:$D,"PO",'caseload data'!$C:$C,'custody caseload'!$B$64,'caseload data'!$B:$B,"custody")</f>
        <v>0</v>
      </c>
      <c r="E66" s="94">
        <f>SUMIFS('caseload data'!G:G,'caseload data'!$D:$D,"PO",'caseload data'!$C:$C,'custody caseload'!$B$64,'caseload data'!$B:$B,"custody")</f>
        <v>0</v>
      </c>
      <c r="F66" s="94">
        <f>SUMIFS('caseload data'!H:H,'caseload data'!$D:$D,"PO",'caseload data'!$C:$C,'custody caseload'!$B$64,'caseload data'!$B:$B,"custody")</f>
        <v>0</v>
      </c>
      <c r="G66" s="94">
        <f>SUMIFS('caseload data'!I:I,'caseload data'!$D:$D,"PO",'caseload data'!$C:$C,'custody caseload'!$B$64,'caseload data'!$B:$B,"custody")</f>
        <v>0</v>
      </c>
      <c r="H66" s="94">
        <f>SUMIFS('caseload data'!J:J,'caseload data'!$D:$D,"PO",'caseload data'!$C:$C,'custody caseload'!$B$64,'caseload data'!$B:$B,"custody")</f>
        <v>0</v>
      </c>
      <c r="I66" s="94">
        <f>SUMIFS('caseload data'!K:K,'caseload data'!$D:$D,"PO",'caseload data'!$C:$C,'custody caseload'!$B$64,'caseload data'!$B:$B,"custody")</f>
        <v>0</v>
      </c>
      <c r="J66" s="94">
        <f>SUMIFS('caseload data'!L:L,'caseload data'!$D:$D,"PO",'caseload data'!$C:$C,'custody caseload'!$B$64,'caseload data'!$B:$B,"custody")</f>
        <v>0</v>
      </c>
      <c r="K66" s="94">
        <f>SUMIFS('caseload data'!M:M,'caseload data'!$D:$D,"PO",'caseload data'!$C:$C,'custody caseload'!$B$64,'caseload data'!$B:$B,"custody")</f>
        <v>0</v>
      </c>
      <c r="L66" s="94">
        <f>SUMIFS('caseload data'!N:N,'caseload data'!$D:$D,"PO",'caseload data'!$C:$C,'custody caseload'!$B$64,'caseload data'!$B:$B,"custody")</f>
        <v>0</v>
      </c>
      <c r="M66" s="94">
        <f>SUMIFS('caseload data'!O:O,'caseload data'!$D:$D,"PO",'caseload data'!$C:$C,'custody caseload'!$B$64,'caseload data'!$B:$B,"custody")</f>
        <v>0</v>
      </c>
      <c r="N66" s="94">
        <f>SUMIFS('caseload data'!P:P,'caseload data'!$D:$D,"PO",'caseload data'!$C:$C,'custody caseload'!$B$64,'caseload data'!$B:$B,"custody")</f>
        <v>0</v>
      </c>
      <c r="O66" s="94">
        <f>SUMIFS('caseload data'!Q:Q,'caseload data'!$D:$D,"PO",'caseload data'!$C:$C,'custody caseload'!$B$64,'caseload data'!$B:$B,"custody")</f>
        <v>0</v>
      </c>
      <c r="P66" s="94">
        <f>SUMIFS('caseload data'!R:R,'caseload data'!$D:$D,"PO",'caseload data'!$C:$C,'custody caseload'!$B$64,'caseload data'!$B:$B,"custody")</f>
        <v>0</v>
      </c>
      <c r="Q66" s="94">
        <f>SUMIFS('caseload data'!S:S,'caseload data'!$D:$D,"PO",'caseload data'!$C:$C,'custody caseload'!$B$64,'caseload data'!$B:$B,"custody")</f>
        <v>0</v>
      </c>
      <c r="R66" s="94">
        <f>SUMIFS('caseload data'!T:T,'caseload data'!$D:$D,"PO",'caseload data'!$C:$C,'custody caseload'!$B$64,'caseload data'!$B:$B,"custody")</f>
        <v>0</v>
      </c>
      <c r="S66" s="64"/>
      <c r="T66" s="96" t="s">
        <v>997</v>
      </c>
      <c r="U66" s="94">
        <f>SUMIFS('caseload data'!E:E,'caseload data'!$D:$D,"PO",'caseload data'!$C:$C,'custody caseload'!$T$64,'caseload data'!$B:$B,"custody")</f>
        <v>0</v>
      </c>
      <c r="V66" s="94">
        <f>SUMIFS('caseload data'!F:F,'caseload data'!$D:$D,"PO",'caseload data'!$C:$C,'custody caseload'!$T$64,'caseload data'!$B:$B,"custody")</f>
        <v>0</v>
      </c>
      <c r="W66" s="94">
        <f>SUMIFS('caseload data'!G:G,'caseload data'!$D:$D,"PO",'caseload data'!$C:$C,'custody caseload'!$T$64,'caseload data'!$B:$B,"custody")</f>
        <v>0</v>
      </c>
      <c r="X66" s="94">
        <f>SUMIFS('caseload data'!H:H,'caseload data'!$D:$D,"PO",'caseload data'!$C:$C,'custody caseload'!$T$64,'caseload data'!$B:$B,"custody")</f>
        <v>0</v>
      </c>
      <c r="Y66" s="94">
        <f>SUMIFS('caseload data'!I:I,'caseload data'!$D:$D,"PO",'caseload data'!$C:$C,'custody caseload'!$T$64,'caseload data'!$B:$B,"custody")</f>
        <v>0</v>
      </c>
      <c r="Z66" s="94">
        <f>SUMIFS('caseload data'!J:J,'caseload data'!$D:$D,"PO",'caseload data'!$C:$C,'custody caseload'!$T$64,'caseload data'!$B:$B,"custody")</f>
        <v>0</v>
      </c>
      <c r="AA66" s="94">
        <f>SUMIFS('caseload data'!K:K,'caseload data'!$D:$D,"PO",'caseload data'!$C:$C,'custody caseload'!$T$64,'caseload data'!$B:$B,"custody")</f>
        <v>0</v>
      </c>
      <c r="AB66" s="94">
        <f>SUMIFS('caseload data'!L:L,'caseload data'!$D:$D,"PO",'caseload data'!$C:$C,'custody caseload'!$T$64,'caseload data'!$B:$B,"custody")</f>
        <v>0</v>
      </c>
      <c r="AC66" s="94">
        <f>SUMIFS('caseload data'!M:M,'caseload data'!$D:$D,"PO",'caseload data'!$C:$C,'custody caseload'!$T$64,'caseload data'!$B:$B,"custody")</f>
        <v>0</v>
      </c>
      <c r="AD66" s="94">
        <f>SUMIFS('caseload data'!N:N,'caseload data'!$D:$D,"PO",'caseload data'!$C:$C,'custody caseload'!$T$64,'caseload data'!$B:$B,"custody")</f>
        <v>0</v>
      </c>
      <c r="AE66" s="94">
        <f>SUMIFS('caseload data'!O:O,'caseload data'!$D:$D,"PO",'caseload data'!$C:$C,'custody caseload'!$T$64,'caseload data'!$B:$B,"custody")</f>
        <v>0</v>
      </c>
      <c r="AF66" s="94">
        <f>SUMIFS('caseload data'!P:P,'caseload data'!$D:$D,"PO",'caseload data'!$C:$C,'custody caseload'!$T$64,'caseload data'!$B:$B,"custody")</f>
        <v>0</v>
      </c>
      <c r="AG66" s="94">
        <f>SUMIFS('caseload data'!Q:Q,'caseload data'!$D:$D,"PO",'caseload data'!$C:$C,'custody caseload'!$T$64,'caseload data'!$B:$B,"custody")</f>
        <v>0</v>
      </c>
      <c r="AH66" s="94">
        <f>SUMIFS('caseload data'!R:R,'caseload data'!$D:$D,"PO",'caseload data'!$C:$C,'custody caseload'!$T$64,'caseload data'!$B:$B,"custody")</f>
        <v>0</v>
      </c>
      <c r="AI66" s="94">
        <f>SUMIFS('caseload data'!S:S,'caseload data'!$D:$D,"PO",'caseload data'!$C:$C,'custody caseload'!$T$64,'caseload data'!$B:$B,"custody")</f>
        <v>0</v>
      </c>
      <c r="AJ66" s="94">
        <f>SUMIFS('caseload data'!T:T,'caseload data'!$D:$D,"PO",'caseload data'!$C:$C,'custody caseload'!$T$64,'caseload data'!$B:$B,"custody")</f>
        <v>0</v>
      </c>
    </row>
    <row r="67" spans="2:36" ht="15" x14ac:dyDescent="0.2">
      <c r="B67" s="97" t="s">
        <v>1002</v>
      </c>
      <c r="C67" s="145">
        <f>SUMIFS('caseload data'!E:E,'caseload data'!$D:$D,"PSO",'caseload data'!$C:$C,'custody caseload'!$B$64,'caseload data'!$B:$B,"custody")</f>
        <v>0</v>
      </c>
      <c r="D67" s="145">
        <f>SUMIFS('caseload data'!F:F,'caseload data'!$D:$D,"PSO",'caseload data'!$C:$C,'custody caseload'!$B$64,'caseload data'!$B:$B,"custody")</f>
        <v>0</v>
      </c>
      <c r="E67" s="145">
        <f>SUMIFS('caseload data'!G:G,'caseload data'!$D:$D,"PSO",'caseload data'!$C:$C,'custody caseload'!$B$64,'caseload data'!$B:$B,"custody")</f>
        <v>0</v>
      </c>
      <c r="F67" s="145">
        <f>SUMIFS('caseload data'!H:H,'caseload data'!$D:$D,"PSO",'caseload data'!$C:$C,'custody caseload'!$B$64,'caseload data'!$B:$B,"custody")</f>
        <v>0</v>
      </c>
      <c r="G67" s="145">
        <f>SUMIFS('caseload data'!I:I,'caseload data'!$D:$D,"PSO",'caseload data'!$C:$C,'custody caseload'!$B$64,'caseload data'!$B:$B,"custody")</f>
        <v>0</v>
      </c>
      <c r="H67" s="145">
        <f>SUMIFS('caseload data'!J:J,'caseload data'!$D:$D,"PSO",'caseload data'!$C:$C,'custody caseload'!$B$64,'caseload data'!$B:$B,"custody")</f>
        <v>0</v>
      </c>
      <c r="I67" s="145">
        <f>SUMIFS('caseload data'!K:K,'caseload data'!$D:$D,"PSO",'caseload data'!$C:$C,'custody caseload'!$B$64,'caseload data'!$B:$B,"custody")</f>
        <v>0</v>
      </c>
      <c r="J67" s="145">
        <f>SUMIFS('caseload data'!L:L,'caseload data'!$D:$D,"PSO",'caseload data'!$C:$C,'custody caseload'!$B$64,'caseload data'!$B:$B,"custody")</f>
        <v>0</v>
      </c>
      <c r="K67" s="94">
        <f>SUMIFS('caseload data'!M:M,'caseload data'!$D:$D,"PSO",'caseload data'!$C:$C,'custody caseload'!$B$64,'caseload data'!$B:$B,"custody")</f>
        <v>0</v>
      </c>
      <c r="L67" s="94">
        <f>SUMIFS('caseload data'!N:N,'caseload data'!$D:$D,"PSO",'caseload data'!$C:$C,'custody caseload'!$B$64,'caseload data'!$B:$B,"custody")</f>
        <v>0</v>
      </c>
      <c r="M67" s="94">
        <f>SUMIFS('caseload data'!O:O,'caseload data'!$D:$D,"PSO",'caseload data'!$C:$C,'custody caseload'!$B$64,'caseload data'!$B:$B,"custody")</f>
        <v>0</v>
      </c>
      <c r="N67" s="94">
        <f>SUMIFS('caseload data'!P:P,'caseload data'!$D:$D,"PSO",'caseload data'!$C:$C,'custody caseload'!$B$64,'caseload data'!$B:$B,"custody")</f>
        <v>0</v>
      </c>
      <c r="O67" s="94">
        <f>SUMIFS('caseload data'!Q:Q,'caseload data'!$D:$D,"PSO",'caseload data'!$C:$C,'custody caseload'!$B$64,'caseload data'!$B:$B,"custody")</f>
        <v>0</v>
      </c>
      <c r="P67" s="94">
        <f>SUMIFS('caseload data'!R:R,'caseload data'!$D:$D,"PSO",'caseload data'!$C:$C,'custody caseload'!$B$64,'caseload data'!$B:$B,"custody")</f>
        <v>0</v>
      </c>
      <c r="Q67" s="94">
        <f>SUMIFS('caseload data'!S:S,'caseload data'!$D:$D,"PSO",'caseload data'!$C:$C,'custody caseload'!$B$64,'caseload data'!$B:$B,"custody")</f>
        <v>0</v>
      </c>
      <c r="R67" s="94">
        <f>SUMIFS('caseload data'!T:T,'caseload data'!$D:$D,"PSO",'caseload data'!$C:$C,'custody caseload'!$B$64,'caseload data'!$B:$B,"custody")</f>
        <v>0</v>
      </c>
      <c r="S67" s="64"/>
      <c r="T67" s="97" t="s">
        <v>1002</v>
      </c>
      <c r="U67" s="145">
        <f>SUMIFS('caseload data'!E:E,'caseload data'!$D:$D,"PSO",'caseload data'!$C:$C,'custody caseload'!$T$64,'caseload data'!$B:$B,"custody")</f>
        <v>0</v>
      </c>
      <c r="V67" s="145">
        <f>SUMIFS('caseload data'!F:F,'caseload data'!$D:$D,"PSO",'caseload data'!$C:$C,'custody caseload'!$T$64,'caseload data'!$B:$B,"custody")</f>
        <v>0</v>
      </c>
      <c r="W67" s="145">
        <f>SUMIFS('caseload data'!G:G,'caseload data'!$D:$D,"PSO",'caseload data'!$C:$C,'custody caseload'!$T$64,'caseload data'!$B:$B,"custody")</f>
        <v>0</v>
      </c>
      <c r="X67" s="145">
        <f>SUMIFS('caseload data'!H:H,'caseload data'!$D:$D,"PSO",'caseload data'!$C:$C,'custody caseload'!$T$64,'caseload data'!$B:$B,"custody")</f>
        <v>0</v>
      </c>
      <c r="Y67" s="145">
        <f>SUMIFS('caseload data'!I:I,'caseload data'!$D:$D,"PSO",'caseload data'!$C:$C,'custody caseload'!$T$64,'caseload data'!$B:$B,"custody")</f>
        <v>0</v>
      </c>
      <c r="Z67" s="145">
        <f>SUMIFS('caseload data'!J:J,'caseload data'!$D:$D,"PSO",'caseload data'!$C:$C,'custody caseload'!$T$64,'caseload data'!$B:$B,"custody")</f>
        <v>0</v>
      </c>
      <c r="AA67" s="145">
        <f>SUMIFS('caseload data'!K:K,'caseload data'!$D:$D,"PSO",'caseload data'!$C:$C,'custody caseload'!$T$64,'caseload data'!$B:$B,"custody")</f>
        <v>0</v>
      </c>
      <c r="AB67" s="145">
        <f>SUMIFS('caseload data'!L:L,'caseload data'!$D:$D,"PSO",'caseload data'!$C:$C,'custody caseload'!$T$64,'caseload data'!$B:$B,"custody")</f>
        <v>0</v>
      </c>
      <c r="AC67" s="94">
        <f>SUMIFS('caseload data'!M:M,'caseload data'!$D:$D,"PSO",'caseload data'!$C:$C,'custody caseload'!$T$64,'caseload data'!$B:$B,"custody")</f>
        <v>0</v>
      </c>
      <c r="AD67" s="94">
        <f>SUMIFS('caseload data'!N:N,'caseload data'!$D:$D,"PSO",'caseload data'!$C:$C,'custody caseload'!$T$64,'caseload data'!$B:$B,"custody")</f>
        <v>0</v>
      </c>
      <c r="AE67" s="94">
        <f>SUMIFS('caseload data'!O:O,'caseload data'!$D:$D,"PSO",'caseload data'!$C:$C,'custody caseload'!$T$64,'caseload data'!$B:$B,"custody")</f>
        <v>0</v>
      </c>
      <c r="AF67" s="94">
        <f>SUMIFS('caseload data'!P:P,'caseload data'!$D:$D,"PSO",'caseload data'!$C:$C,'custody caseload'!$T$64,'caseload data'!$B:$B,"custody")</f>
        <v>0</v>
      </c>
      <c r="AG67" s="94">
        <f>SUMIFS('caseload data'!Q:Q,'caseload data'!$D:$D,"PSO",'caseload data'!$C:$C,'custody caseload'!$T$64,'caseload data'!$B:$B,"custody")</f>
        <v>0</v>
      </c>
      <c r="AH67" s="94">
        <f>SUMIFS('caseload data'!R:R,'caseload data'!$D:$D,"PSO",'caseload data'!$C:$C,'custody caseload'!$T$64,'caseload data'!$B:$B,"custody")</f>
        <v>0</v>
      </c>
      <c r="AI67" s="94">
        <f>SUMIFS('caseload data'!S:S,'caseload data'!$D:$D,"PSO",'caseload data'!$C:$C,'custody caseload'!$T$64,'caseload data'!$B:$B,"custody")</f>
        <v>0</v>
      </c>
      <c r="AJ67" s="94">
        <f>SUMIFS('caseload data'!T:T,'caseload data'!$D:$D,"PSO",'caseload data'!$C:$C,'custody caseload'!$T$64,'caseload data'!$B:$B,"custody")</f>
        <v>0</v>
      </c>
    </row>
    <row r="68" spans="2:36" ht="15" x14ac:dyDescent="0.2">
      <c r="B68" s="97" t="s">
        <v>1003</v>
      </c>
      <c r="C68" s="145">
        <f>SUMIFS('caseload data'!E:E,'caseload data'!$D:$D,"TPO",'caseload data'!$C:$C,'custody caseload'!$B$64,'caseload data'!$B:$B,"custody")</f>
        <v>0</v>
      </c>
      <c r="D68" s="145">
        <f>SUMIFS('caseload data'!F:F,'caseload data'!$D:$D,"TPO",'caseload data'!$C:$C,'custody caseload'!$B$64,'caseload data'!$B:$B,"custody")</f>
        <v>0</v>
      </c>
      <c r="E68" s="145">
        <f>SUMIFS('caseload data'!G:G,'caseload data'!$D:$D,"TPO",'caseload data'!$C:$C,'custody caseload'!$B$64,'caseload data'!$B:$B,"custody")</f>
        <v>0</v>
      </c>
      <c r="F68" s="145">
        <f>SUMIFS('caseload data'!H:H,'caseload data'!$D:$D,"TPO",'caseload data'!$C:$C,'custody caseload'!$B$64,'caseload data'!$B:$B,"custody")</f>
        <v>0</v>
      </c>
      <c r="G68" s="145">
        <f>SUMIFS('caseload data'!I:I,'caseload data'!$D:$D,"TPO",'caseload data'!$C:$C,'custody caseload'!$B$64,'caseload data'!$B:$B,"custody")</f>
        <v>0</v>
      </c>
      <c r="H68" s="145">
        <f>SUMIFS('caseload data'!J:J,'caseload data'!$D:$D,"TPO",'caseload data'!$C:$C,'custody caseload'!$B$64,'caseload data'!$B:$B,"custody")</f>
        <v>0</v>
      </c>
      <c r="I68" s="145">
        <f>SUMIFS('caseload data'!K:K,'caseload data'!$D:$D,"TPO",'caseload data'!$C:$C,'custody caseload'!$B$64,'caseload data'!$B:$B,"custody")</f>
        <v>0</v>
      </c>
      <c r="J68" s="145">
        <f>SUMIFS('caseload data'!L:L,'caseload data'!$D:$D,"TPO",'caseload data'!$C:$C,'custody caseload'!$B$64,'caseload data'!$B:$B,"custody")</f>
        <v>0</v>
      </c>
      <c r="K68" s="94">
        <f>SUMIFS('caseload data'!M:M,'caseload data'!$D:$D,"TPO",'caseload data'!$C:$C,'custody caseload'!$B$64,'caseload data'!$B:$B,"custody")</f>
        <v>0</v>
      </c>
      <c r="L68" s="94">
        <f>SUMIFS('caseload data'!N:N,'caseload data'!$D:$D,"TPO",'caseload data'!$C:$C,'custody caseload'!$B$64,'caseload data'!$B:$B,"custody")</f>
        <v>0</v>
      </c>
      <c r="M68" s="94">
        <f>SUMIFS('caseload data'!O:O,'caseload data'!$D:$D,"TPO",'caseload data'!$C:$C,'custody caseload'!$B$64,'caseload data'!$B:$B,"custody")</f>
        <v>0</v>
      </c>
      <c r="N68" s="94">
        <f>SUMIFS('caseload data'!P:P,'caseload data'!$D:$D,"TPO",'caseload data'!$C:$C,'custody caseload'!$B$64,'caseload data'!$B:$B,"custody")</f>
        <v>0</v>
      </c>
      <c r="O68" s="94">
        <f>SUMIFS('caseload data'!Q:Q,'caseload data'!$D:$D,"TPO",'caseload data'!$C:$C,'custody caseload'!$B$64,'caseload data'!$B:$B,"custody")</f>
        <v>0</v>
      </c>
      <c r="P68" s="94">
        <f>SUMIFS('caseload data'!R:R,'caseload data'!$D:$D,"TPO",'caseload data'!$C:$C,'custody caseload'!$B$64,'caseload data'!$B:$B,"custody")</f>
        <v>0</v>
      </c>
      <c r="Q68" s="94">
        <f>SUMIFS('caseload data'!S:S,'caseload data'!$D:$D,"TPO",'caseload data'!$C:$C,'custody caseload'!$B$64,'caseload data'!$B:$B,"custody")</f>
        <v>0</v>
      </c>
      <c r="R68" s="94">
        <f>SUMIFS('caseload data'!T:T,'caseload data'!$D:$D,"TPO",'caseload data'!$C:$C,'custody caseload'!$B$64,'caseload data'!$B:$B,"custody")</f>
        <v>0</v>
      </c>
      <c r="S68" s="64"/>
      <c r="T68" s="97" t="s">
        <v>1003</v>
      </c>
      <c r="U68" s="145">
        <f>SUMIFS('caseload data'!E:E,'caseload data'!$D:$D,"TPO",'caseload data'!$C:$C,'custody caseload'!$T$64,'caseload data'!$B:$B,"custody")</f>
        <v>0</v>
      </c>
      <c r="V68" s="145">
        <f>SUMIFS('caseload data'!F:F,'caseload data'!$D:$D,"TPO",'caseload data'!$C:$C,'custody caseload'!$T$64,'caseload data'!$B:$B,"custody")</f>
        <v>0</v>
      </c>
      <c r="W68" s="145">
        <f>SUMIFS('caseload data'!G:G,'caseload data'!$D:$D,"TPO",'caseload data'!$C:$C,'custody caseload'!$T$64,'caseload data'!$B:$B,"custody")</f>
        <v>0</v>
      </c>
      <c r="X68" s="145">
        <f>SUMIFS('caseload data'!H:H,'caseload data'!$D:$D,"TPO",'caseload data'!$C:$C,'custody caseload'!$T$64,'caseload data'!$B:$B,"custody")</f>
        <v>0</v>
      </c>
      <c r="Y68" s="145">
        <f>SUMIFS('caseload data'!I:I,'caseload data'!$D:$D,"TPO",'caseload data'!$C:$C,'custody caseload'!$T$64,'caseload data'!$B:$B,"custody")</f>
        <v>0</v>
      </c>
      <c r="Z68" s="145">
        <f>SUMIFS('caseload data'!J:J,'caseload data'!$D:$D,"TPO",'caseload data'!$C:$C,'custody caseload'!$T$64,'caseload data'!$B:$B,"custody")</f>
        <v>0</v>
      </c>
      <c r="AA68" s="145">
        <f>SUMIFS('caseload data'!K:K,'caseload data'!$D:$D,"TPO",'caseload data'!$C:$C,'custody caseload'!$T$64,'caseload data'!$B:$B,"custody")</f>
        <v>0</v>
      </c>
      <c r="AB68" s="145">
        <f>SUMIFS('caseload data'!L:L,'caseload data'!$D:$D,"TPO",'caseload data'!$C:$C,'custody caseload'!$T$64,'caseload data'!$B:$B,"custody")</f>
        <v>0</v>
      </c>
      <c r="AC68" s="94">
        <f>SUMIFS('caseload data'!M:M,'caseload data'!$D:$D,"TPO",'caseload data'!$C:$C,'custody caseload'!$T$64,'caseload data'!$B:$B,"custody")</f>
        <v>0</v>
      </c>
      <c r="AD68" s="94">
        <f>SUMIFS('caseload data'!N:N,'caseload data'!$D:$D,"TPO",'caseload data'!$C:$C,'custody caseload'!$T$64,'caseload data'!$B:$B,"custody")</f>
        <v>0</v>
      </c>
      <c r="AE68" s="94">
        <f>SUMIFS('caseload data'!O:O,'caseload data'!$D:$D,"TPO",'caseload data'!$C:$C,'custody caseload'!$T$64,'caseload data'!$B:$B,"custody")</f>
        <v>0</v>
      </c>
      <c r="AF68" s="94">
        <f>SUMIFS('caseload data'!P:P,'caseload data'!$D:$D,"TPO",'caseload data'!$C:$C,'custody caseload'!$T$64,'caseload data'!$B:$B,"custody")</f>
        <v>0</v>
      </c>
      <c r="AG68" s="94">
        <f>SUMIFS('caseload data'!Q:Q,'caseload data'!$D:$D,"TPO",'caseload data'!$C:$C,'custody caseload'!$T$64,'caseload data'!$B:$B,"custody")</f>
        <v>0</v>
      </c>
      <c r="AH68" s="94">
        <f>SUMIFS('caseload data'!R:R,'caseload data'!$D:$D,"TPO",'caseload data'!$C:$C,'custody caseload'!$T$64,'caseload data'!$B:$B,"custody")</f>
        <v>0</v>
      </c>
      <c r="AI68" s="94">
        <f>SUMIFS('caseload data'!S:S,'caseload data'!$D:$D,"TPO",'caseload data'!$C:$C,'custody caseload'!$T$64,'caseload data'!$B:$B,"custody")</f>
        <v>0</v>
      </c>
      <c r="AJ68" s="94">
        <f>SUMIFS('caseload data'!T:T,'caseload data'!$D:$D,"TPO",'caseload data'!$C:$C,'custody caseload'!$T$64,'caseload data'!$B:$B,"custody")</f>
        <v>0</v>
      </c>
    </row>
    <row r="69" spans="2:36" x14ac:dyDescent="0.15">
      <c r="B69" s="98" t="s">
        <v>1004</v>
      </c>
      <c r="C69" s="94">
        <f>SUMIFS('caseload data'!E:E,'caseload data'!$D:$D,"SPO",'caseload data'!$C:$C,'custody caseload'!$B$64,'caseload data'!$B:$B,"custody")</f>
        <v>0</v>
      </c>
      <c r="D69" s="94">
        <f>SUMIFS('caseload data'!F:F,'caseload data'!$D:$D,"SPO",'caseload data'!$C:$C,'custody caseload'!$B$64,'caseload data'!$B:$B,"custody")</f>
        <v>0</v>
      </c>
      <c r="E69" s="94">
        <f>SUMIFS('caseload data'!G:G,'caseload data'!$D:$D,"SPO",'caseload data'!$C:$C,'custody caseload'!$B$64,'caseload data'!$B:$B,"custody")</f>
        <v>0</v>
      </c>
      <c r="F69" s="94">
        <f>SUMIFS('caseload data'!H:H,'caseload data'!$D:$D,"SPO",'caseload data'!$C:$C,'custody caseload'!$B$64,'caseload data'!$B:$B,"custody")</f>
        <v>0</v>
      </c>
      <c r="G69" s="94">
        <f>SUMIFS('caseload data'!I:I,'caseload data'!$D:$D,"SPO",'caseload data'!$C:$C,'custody caseload'!$B$64,'caseload data'!$B:$B,"custody")</f>
        <v>0</v>
      </c>
      <c r="H69" s="94">
        <f>SUMIFS('caseload data'!J:J,'caseload data'!$D:$D,"SPO",'caseload data'!$C:$C,'custody caseload'!$B$64,'caseload data'!$B:$B,"custody")</f>
        <v>0</v>
      </c>
      <c r="I69" s="94">
        <f>SUMIFS('caseload data'!K:K,'caseload data'!$D:$D,"SPO",'caseload data'!$C:$C,'custody caseload'!$B$64,'caseload data'!$B:$B,"custody")</f>
        <v>0</v>
      </c>
      <c r="J69" s="94">
        <f>SUMIFS('caseload data'!L:L,'caseload data'!$D:$D,"SPO",'caseload data'!$C:$C,'custody caseload'!$B$64,'caseload data'!$B:$B,"custody")</f>
        <v>0</v>
      </c>
      <c r="K69" s="94">
        <f>SUMIFS('caseload data'!M:M,'caseload data'!$D:$D,"SPO",'caseload data'!$C:$C,'custody caseload'!$B$64,'caseload data'!$B:$B,"custody")</f>
        <v>0</v>
      </c>
      <c r="L69" s="94">
        <f>SUMIFS('caseload data'!N:N,'caseload data'!$D:$D,"SPO",'caseload data'!$C:$C,'custody caseload'!$B$64,'caseload data'!$B:$B,"custody")</f>
        <v>0</v>
      </c>
      <c r="M69" s="94">
        <f>SUMIFS('caseload data'!O:O,'caseload data'!$D:$D,"SPO",'caseload data'!$C:$C,'custody caseload'!$B$64,'caseload data'!$B:$B,"custody")</f>
        <v>0</v>
      </c>
      <c r="N69" s="94">
        <f>SUMIFS('caseload data'!P:P,'caseload data'!$D:$D,"SPO",'caseload data'!$C:$C,'custody caseload'!$B$64,'caseload data'!$B:$B,"custody")</f>
        <v>0</v>
      </c>
      <c r="O69" s="94">
        <f>SUMIFS('caseload data'!Q:Q,'caseload data'!$D:$D,"SPO",'caseload data'!$C:$C,'custody caseload'!$B$64,'caseload data'!$B:$B,"custody")</f>
        <v>0</v>
      </c>
      <c r="P69" s="94">
        <f>SUMIFS('caseload data'!R:R,'caseload data'!$D:$D,"SPO",'caseload data'!$C:$C,'custody caseload'!$B$64,'caseload data'!$B:$B,"custody")</f>
        <v>0</v>
      </c>
      <c r="Q69" s="94">
        <f>SUMIFS('caseload data'!S:S,'caseload data'!$D:$D,"SPO",'caseload data'!$C:$C,'custody caseload'!$B$64,'caseload data'!$B:$B,"custody")</f>
        <v>0</v>
      </c>
      <c r="R69" s="94">
        <f>SUMIFS('caseload data'!T:T,'caseload data'!$D:$D,"SPO",'caseload data'!$C:$C,'custody caseload'!$B$64,'caseload data'!$B:$B,"custody")</f>
        <v>0</v>
      </c>
      <c r="S69" s="64"/>
      <c r="T69" s="98" t="s">
        <v>1004</v>
      </c>
      <c r="U69" s="94">
        <f>SUMIFS('caseload data'!E:E,'caseload data'!$D:$D,"SPO",'caseload data'!$C:$C,'custody caseload'!$T$64,'caseload data'!$B:$B,"custody")</f>
        <v>0</v>
      </c>
      <c r="V69" s="94">
        <f>SUMIFS('caseload data'!F:F,'caseload data'!$D:$D,"SPO",'caseload data'!$C:$C,'custody caseload'!$T$64,'caseload data'!$B:$B,"custody")</f>
        <v>0</v>
      </c>
      <c r="W69" s="94">
        <f>SUMIFS('caseload data'!G:G,'caseload data'!$D:$D,"SPO",'caseload data'!$C:$C,'custody caseload'!$T$64,'caseload data'!$B:$B,"custody")</f>
        <v>0</v>
      </c>
      <c r="X69" s="94">
        <f>SUMIFS('caseload data'!H:H,'caseload data'!$D:$D,"SPO",'caseload data'!$C:$C,'custody caseload'!$T$64,'caseload data'!$B:$B,"custody")</f>
        <v>0</v>
      </c>
      <c r="Y69" s="94">
        <f>SUMIFS('caseload data'!I:I,'caseload data'!$D:$D,"SPO",'caseload data'!$C:$C,'custody caseload'!$T$64,'caseload data'!$B:$B,"custody")</f>
        <v>0</v>
      </c>
      <c r="Z69" s="94">
        <f>SUMIFS('caseload data'!J:J,'caseload data'!$D:$D,"SPO",'caseload data'!$C:$C,'custody caseload'!$T$64,'caseload data'!$B:$B,"custody")</f>
        <v>0</v>
      </c>
      <c r="AA69" s="94">
        <f>SUMIFS('caseload data'!K:K,'caseload data'!$D:$D,"SPO",'caseload data'!$C:$C,'custody caseload'!$T$64,'caseload data'!$B:$B,"custody")</f>
        <v>0</v>
      </c>
      <c r="AB69" s="94">
        <f>SUMIFS('caseload data'!L:L,'caseload data'!$D:$D,"SPO",'caseload data'!$C:$C,'custody caseload'!$T$64,'caseload data'!$B:$B,"custody")</f>
        <v>0</v>
      </c>
      <c r="AC69" s="94">
        <f>SUMIFS('caseload data'!M:M,'caseload data'!$D:$D,"SPO",'caseload data'!$C:$C,'custody caseload'!$T$64,'caseload data'!$B:$B,"custody")</f>
        <v>0</v>
      </c>
      <c r="AD69" s="94">
        <f>SUMIFS('caseload data'!N:N,'caseload data'!$D:$D,"SPO",'caseload data'!$C:$C,'custody caseload'!$T$64,'caseload data'!$B:$B,"custody")</f>
        <v>0</v>
      </c>
      <c r="AE69" s="94">
        <f>SUMIFS('caseload data'!O:O,'caseload data'!$D:$D,"SPO",'caseload data'!$C:$C,'custody caseload'!$T$64,'caseload data'!$B:$B,"custody")</f>
        <v>0</v>
      </c>
      <c r="AF69" s="94">
        <f>SUMIFS('caseload data'!P:P,'caseload data'!$D:$D,"SPO",'caseload data'!$C:$C,'custody caseload'!$T$64,'caseload data'!$B:$B,"custody")</f>
        <v>0</v>
      </c>
      <c r="AG69" s="94">
        <f>SUMIFS('caseload data'!Q:Q,'caseload data'!$D:$D,"SPO",'caseload data'!$C:$C,'custody caseload'!$T$64,'caseload data'!$B:$B,"custody")</f>
        <v>0</v>
      </c>
      <c r="AH69" s="94">
        <f>SUMIFS('caseload data'!R:R,'caseload data'!$D:$D,"SPO",'caseload data'!$C:$C,'custody caseload'!$T$64,'caseload data'!$B:$B,"custody")</f>
        <v>0</v>
      </c>
      <c r="AI69" s="94">
        <f>SUMIFS('caseload data'!S:S,'caseload data'!$D:$D,"SPO",'caseload data'!$C:$C,'custody caseload'!$T$64,'caseload data'!$B:$B,"custody")</f>
        <v>0</v>
      </c>
      <c r="AJ69" s="94">
        <f>SUMIFS('caseload data'!T:T,'caseload data'!$D:$D,"SPO",'caseload data'!$C:$C,'custody caseload'!$T$64,'caseload data'!$B:$B,"custody")</f>
        <v>0</v>
      </c>
    </row>
    <row r="71" spans="2:36" ht="22.5" customHeight="1" x14ac:dyDescent="0.15">
      <c r="B71" s="142">
        <f>HLOOKUP($B$5,Region_Table,20,0)</f>
        <v>0</v>
      </c>
      <c r="C71" s="525" t="s">
        <v>1126</v>
      </c>
      <c r="D71" s="526"/>
      <c r="E71" s="526"/>
      <c r="F71" s="526"/>
      <c r="G71" s="526"/>
      <c r="H71" s="526"/>
      <c r="I71" s="526"/>
      <c r="J71" s="526"/>
      <c r="K71" s="526"/>
      <c r="L71" s="526"/>
      <c r="M71" s="535"/>
      <c r="N71" s="535"/>
      <c r="O71" s="536"/>
      <c r="P71" s="512">
        <f>SUMIFS('caseload data'!V:V,'caseload data'!B:B,"custody",'caseload data'!$C:$C,'custody caseload'!B71)</f>
        <v>0</v>
      </c>
      <c r="Q71" s="529"/>
      <c r="R71" s="530"/>
      <c r="T71" s="142">
        <f>HLOOKUP($B$5,Region_Table,21,0)</f>
        <v>0</v>
      </c>
      <c r="U71" s="525" t="s">
        <v>1126</v>
      </c>
      <c r="V71" s="526"/>
      <c r="W71" s="526"/>
      <c r="X71" s="526"/>
      <c r="Y71" s="526"/>
      <c r="Z71" s="526"/>
      <c r="AA71" s="526"/>
      <c r="AB71" s="526"/>
      <c r="AC71" s="526"/>
      <c r="AD71" s="526"/>
      <c r="AE71" s="535"/>
      <c r="AF71" s="535"/>
      <c r="AG71" s="536"/>
      <c r="AH71" s="512">
        <f>SUMIFS('caseload data'!V:V,'caseload data'!B:B,"custody",'caseload data'!$C:$C,'custody caseload'!T71)</f>
        <v>0</v>
      </c>
      <c r="AI71" s="529"/>
      <c r="AJ71" s="530"/>
    </row>
    <row r="72" spans="2:36" x14ac:dyDescent="0.15">
      <c r="B72" s="95" t="s">
        <v>1001</v>
      </c>
      <c r="C72" s="38" t="s">
        <v>864</v>
      </c>
      <c r="D72" s="38" t="s">
        <v>865</v>
      </c>
      <c r="E72" s="38" t="s">
        <v>866</v>
      </c>
      <c r="F72" s="38" t="s">
        <v>867</v>
      </c>
      <c r="G72" s="38" t="s">
        <v>868</v>
      </c>
      <c r="H72" s="38" t="s">
        <v>869</v>
      </c>
      <c r="I72" s="38" t="s">
        <v>870</v>
      </c>
      <c r="J72" s="38" t="s">
        <v>871</v>
      </c>
      <c r="K72" s="38" t="s">
        <v>872</v>
      </c>
      <c r="L72" s="38" t="s">
        <v>873</v>
      </c>
      <c r="M72" s="38" t="s">
        <v>874</v>
      </c>
      <c r="N72" s="38" t="s">
        <v>875</v>
      </c>
      <c r="O72" s="38" t="s">
        <v>876</v>
      </c>
      <c r="P72" s="38" t="s">
        <v>877</v>
      </c>
      <c r="Q72" s="38" t="s">
        <v>878</v>
      </c>
      <c r="R72" s="38" t="s">
        <v>879</v>
      </c>
      <c r="T72" s="95" t="s">
        <v>1001</v>
      </c>
      <c r="U72" s="38" t="s">
        <v>864</v>
      </c>
      <c r="V72" s="38" t="s">
        <v>865</v>
      </c>
      <c r="W72" s="38" t="s">
        <v>866</v>
      </c>
      <c r="X72" s="38" t="s">
        <v>867</v>
      </c>
      <c r="Y72" s="38" t="s">
        <v>868</v>
      </c>
      <c r="Z72" s="38" t="s">
        <v>869</v>
      </c>
      <c r="AA72" s="38" t="s">
        <v>870</v>
      </c>
      <c r="AB72" s="38" t="s">
        <v>871</v>
      </c>
      <c r="AC72" s="38" t="s">
        <v>872</v>
      </c>
      <c r="AD72" s="38" t="s">
        <v>873</v>
      </c>
      <c r="AE72" s="38" t="s">
        <v>874</v>
      </c>
      <c r="AF72" s="38" t="s">
        <v>875</v>
      </c>
      <c r="AG72" s="38" t="s">
        <v>876</v>
      </c>
      <c r="AH72" s="38" t="s">
        <v>877</v>
      </c>
      <c r="AI72" s="38" t="s">
        <v>878</v>
      </c>
      <c r="AJ72" s="38" t="s">
        <v>879</v>
      </c>
    </row>
    <row r="73" spans="2:36" x14ac:dyDescent="0.15">
      <c r="B73" s="96" t="s">
        <v>997</v>
      </c>
      <c r="C73" s="94">
        <f>SUMIFS('caseload data'!E:E,'caseload data'!$D:$D,"PO",'caseload data'!$C:$C,'custody caseload'!$B$71,'caseload data'!$B:$B,"custody")</f>
        <v>0</v>
      </c>
      <c r="D73" s="94">
        <f>SUMIFS('caseload data'!F:F,'caseload data'!$D:$D,"PO",'caseload data'!$C:$C,'custody caseload'!$B$71,'caseload data'!$B:$B,"custody")</f>
        <v>0</v>
      </c>
      <c r="E73" s="94">
        <f>SUMIFS('caseload data'!G:G,'caseload data'!$D:$D,"PO",'caseload data'!$C:$C,'custody caseload'!$B$71,'caseload data'!$B:$B,"custody")</f>
        <v>0</v>
      </c>
      <c r="F73" s="94">
        <f>SUMIFS('caseload data'!H:H,'caseload data'!$D:$D,"PO",'caseload data'!$C:$C,'custody caseload'!$B$71,'caseload data'!$B:$B,"custody")</f>
        <v>0</v>
      </c>
      <c r="G73" s="94">
        <f>SUMIFS('caseload data'!I:I,'caseload data'!$D:$D,"PO",'caseload data'!$C:$C,'custody caseload'!$B$71,'caseload data'!$B:$B,"custody")</f>
        <v>0</v>
      </c>
      <c r="H73" s="94">
        <f>SUMIFS('caseload data'!J:J,'caseload data'!$D:$D,"PO",'caseload data'!$C:$C,'custody caseload'!$B$71,'caseload data'!$B:$B,"custody")</f>
        <v>0</v>
      </c>
      <c r="I73" s="94">
        <f>SUMIFS('caseload data'!K:K,'caseload data'!$D:$D,"PO",'caseload data'!$C:$C,'custody caseload'!$B$71,'caseload data'!$B:$B,"custody")</f>
        <v>0</v>
      </c>
      <c r="J73" s="94">
        <f>SUMIFS('caseload data'!L:L,'caseload data'!$D:$D,"PO",'caseload data'!$C:$C,'custody caseload'!$B$71,'caseload data'!$B:$B,"custody")</f>
        <v>0</v>
      </c>
      <c r="K73" s="94">
        <f>SUMIFS('caseload data'!M:M,'caseload data'!$D:$D,"PO",'caseload data'!$C:$C,'custody caseload'!$B$71,'caseload data'!$B:$B,"custody")</f>
        <v>0</v>
      </c>
      <c r="L73" s="94">
        <f>SUMIFS('caseload data'!N:N,'caseload data'!$D:$D,"PO",'caseload data'!$C:$C,'custody caseload'!$B$71,'caseload data'!$B:$B,"custody")</f>
        <v>0</v>
      </c>
      <c r="M73" s="94">
        <f>SUMIFS('caseload data'!O:O,'caseload data'!$D:$D,"PO",'caseload data'!$C:$C,'custody caseload'!$B$71,'caseload data'!$B:$B,"custody")</f>
        <v>0</v>
      </c>
      <c r="N73" s="94">
        <f>SUMIFS('caseload data'!P:P,'caseload data'!$D:$D,"PO",'caseload data'!$C:$C,'custody caseload'!$B$71,'caseload data'!$B:$B,"custody")</f>
        <v>0</v>
      </c>
      <c r="O73" s="94">
        <f>SUMIFS('caseload data'!Q:Q,'caseload data'!$D:$D,"PO",'caseload data'!$C:$C,'custody caseload'!$B$71,'caseload data'!$B:$B,"custody")</f>
        <v>0</v>
      </c>
      <c r="P73" s="94">
        <f>SUMIFS('caseload data'!R:R,'caseload data'!$D:$D,"PO",'caseload data'!$C:$C,'custody caseload'!$B$71,'caseload data'!$B:$B,"custody")</f>
        <v>0</v>
      </c>
      <c r="Q73" s="94">
        <f>SUMIFS('caseload data'!S:S,'caseload data'!$D:$D,"PO",'caseload data'!$C:$C,'custody caseload'!$B$71,'caseload data'!$B:$B,"custody")</f>
        <v>0</v>
      </c>
      <c r="R73" s="94">
        <f>SUMIFS('caseload data'!T:T,'caseload data'!$D:$D,"PO",'caseload data'!$C:$C,'custody caseload'!$B$71,'caseload data'!$B:$B,"custody")</f>
        <v>0</v>
      </c>
      <c r="T73" s="96" t="s">
        <v>997</v>
      </c>
      <c r="U73" s="94">
        <f>SUMIFS('caseload data'!E:E,'caseload data'!$D:$D,"PO",'caseload data'!$C:$C,'custody caseload'!$T$71,'caseload data'!$B:$B,"custody")</f>
        <v>0</v>
      </c>
      <c r="V73" s="94">
        <f>SUMIFS('caseload data'!F:F,'caseload data'!$D:$D,"PO",'caseload data'!$C:$C,'custody caseload'!$T$71,'caseload data'!$B:$B,"custody")</f>
        <v>0</v>
      </c>
      <c r="W73" s="94">
        <f>SUMIFS('caseload data'!G:G,'caseload data'!$D:$D,"PO",'caseload data'!$C:$C,'custody caseload'!$T$71,'caseload data'!$B:$B,"custody")</f>
        <v>0</v>
      </c>
      <c r="X73" s="94">
        <f>SUMIFS('caseload data'!H:H,'caseload data'!$D:$D,"PO",'caseload data'!$C:$C,'custody caseload'!$T$71,'caseload data'!$B:$B,"custody")</f>
        <v>0</v>
      </c>
      <c r="Y73" s="94">
        <f>SUMIFS('caseload data'!I:I,'caseload data'!$D:$D,"PO",'caseload data'!$C:$C,'custody caseload'!$T$71,'caseload data'!$B:$B,"custody")</f>
        <v>0</v>
      </c>
      <c r="Z73" s="94">
        <f>SUMIFS('caseload data'!J:J,'caseload data'!$D:$D,"PO",'caseload data'!$C:$C,'custody caseload'!$T$71,'caseload data'!$B:$B,"custody")</f>
        <v>0</v>
      </c>
      <c r="AA73" s="94">
        <f>SUMIFS('caseload data'!K:K,'caseload data'!$D:$D,"PO",'caseload data'!$C:$C,'custody caseload'!$T$71,'caseload data'!$B:$B,"custody")</f>
        <v>0</v>
      </c>
      <c r="AB73" s="94">
        <f>SUMIFS('caseload data'!L:L,'caseload data'!$D:$D,"PO",'caseload data'!$C:$C,'custody caseload'!$T$71,'caseload data'!$B:$B,"custody")</f>
        <v>0</v>
      </c>
      <c r="AC73" s="94">
        <f>SUMIFS('caseload data'!M:M,'caseload data'!$D:$D,"PO",'caseload data'!$C:$C,'custody caseload'!$T$71,'caseload data'!$B:$B,"custody")</f>
        <v>0</v>
      </c>
      <c r="AD73" s="94">
        <f>SUMIFS('caseload data'!N:N,'caseload data'!$D:$D,"PO",'caseload data'!$C:$C,'custody caseload'!$T$71,'caseload data'!$B:$B,"custody")</f>
        <v>0</v>
      </c>
      <c r="AE73" s="94">
        <f>SUMIFS('caseload data'!O:O,'caseload data'!$D:$D,"PO",'caseload data'!$C:$C,'custody caseload'!$T$71,'caseload data'!$B:$B,"custody")</f>
        <v>0</v>
      </c>
      <c r="AF73" s="94">
        <f>SUMIFS('caseload data'!P:P,'caseload data'!$D:$D,"PO",'caseload data'!$C:$C,'custody caseload'!$T$71,'caseload data'!$B:$B,"custody")</f>
        <v>0</v>
      </c>
      <c r="AG73" s="94">
        <f>SUMIFS('caseload data'!Q:Q,'caseload data'!$D:$D,"PO",'caseload data'!$C:$C,'custody caseload'!$T$71,'caseload data'!$B:$B,"custody")</f>
        <v>0</v>
      </c>
      <c r="AH73" s="94">
        <f>SUMIFS('caseload data'!R:R,'caseload data'!$D:$D,"PO",'caseload data'!$C:$C,'custody caseload'!$T$71,'caseload data'!$B:$B,"custody")</f>
        <v>0</v>
      </c>
      <c r="AI73" s="94">
        <f>SUMIFS('caseload data'!S:S,'caseload data'!$D:$D,"PO",'caseload data'!$C:$C,'custody caseload'!$T$71,'caseload data'!$B:$B,"custody")</f>
        <v>0</v>
      </c>
      <c r="AJ73" s="94">
        <f>SUMIFS('caseload data'!T:T,'caseload data'!$D:$D,"PO",'caseload data'!$C:$C,'custody caseload'!$T$71,'caseload data'!$B:$B,"custody")</f>
        <v>0</v>
      </c>
    </row>
    <row r="74" spans="2:36" ht="15" x14ac:dyDescent="0.2">
      <c r="B74" s="97" t="s">
        <v>1002</v>
      </c>
      <c r="C74" s="145">
        <f>SUMIFS('caseload data'!E:E,'caseload data'!$D:$D,"PSO",'caseload data'!$C:$C,'custody caseload'!$B$71,'caseload data'!$B:$B,"custody")</f>
        <v>0</v>
      </c>
      <c r="D74" s="145">
        <f>SUMIFS('caseload data'!F:F,'caseload data'!$D:$D,"PSO",'caseload data'!$C:$C,'custody caseload'!$B$71,'caseload data'!$B:$B,"custody")</f>
        <v>0</v>
      </c>
      <c r="E74" s="145">
        <f>SUMIFS('caseload data'!G:G,'caseload data'!$D:$D,"PSO",'caseload data'!$C:$C,'custody caseload'!$B$71,'caseload data'!$B:$B,"custody")</f>
        <v>0</v>
      </c>
      <c r="F74" s="145">
        <f>SUMIFS('caseload data'!H:H,'caseload data'!$D:$D,"PSO",'caseload data'!$C:$C,'custody caseload'!$B$71,'caseload data'!$B:$B,"custody")</f>
        <v>0</v>
      </c>
      <c r="G74" s="145">
        <f>SUMIFS('caseload data'!I:I,'caseload data'!$D:$D,"PSO",'caseload data'!$C:$C,'custody caseload'!$B$71,'caseload data'!$B:$B,"custody")</f>
        <v>0</v>
      </c>
      <c r="H74" s="145">
        <f>SUMIFS('caseload data'!J:J,'caseload data'!$D:$D,"PSO",'caseload data'!$C:$C,'custody caseload'!$B$71,'caseload data'!$B:$B,"custody")</f>
        <v>0</v>
      </c>
      <c r="I74" s="145">
        <f>SUMIFS('caseload data'!K:K,'caseload data'!$D:$D,"PSO",'caseload data'!$C:$C,'custody caseload'!$B$71,'caseload data'!$B:$B,"custody")</f>
        <v>0</v>
      </c>
      <c r="J74" s="145">
        <f>SUMIFS('caseload data'!L:L,'caseload data'!$D:$D,"PSO",'caseload data'!$C:$C,'custody caseload'!$B$71,'caseload data'!$B:$B,"custody")</f>
        <v>0</v>
      </c>
      <c r="K74" s="94">
        <f>SUMIFS('caseload data'!M:M,'caseload data'!$D:$D,"PSO",'caseload data'!$C:$C,'custody caseload'!$B$71,'caseload data'!$B:$B,"custody")</f>
        <v>0</v>
      </c>
      <c r="L74" s="94">
        <f>SUMIFS('caseload data'!N:N,'caseload data'!$D:$D,"PSO",'caseload data'!$C:$C,'custody caseload'!$B$71,'caseload data'!$B:$B,"custody")</f>
        <v>0</v>
      </c>
      <c r="M74" s="94">
        <f>SUMIFS('caseload data'!O:O,'caseload data'!$D:$D,"PSO",'caseload data'!$C:$C,'custody caseload'!$B$71,'caseload data'!$B:$B,"custody")</f>
        <v>0</v>
      </c>
      <c r="N74" s="94">
        <f>SUMIFS('caseload data'!P:P,'caseload data'!$D:$D,"PSO",'caseload data'!$C:$C,'custody caseload'!$B$71,'caseload data'!$B:$B,"custody")</f>
        <v>0</v>
      </c>
      <c r="O74" s="94">
        <f>SUMIFS('caseload data'!Q:Q,'caseload data'!$D:$D,"PSO",'caseload data'!$C:$C,'custody caseload'!$B$71,'caseload data'!$B:$B,"custody")</f>
        <v>0</v>
      </c>
      <c r="P74" s="94">
        <f>SUMIFS('caseload data'!R:R,'caseload data'!$D:$D,"PSO",'caseload data'!$C:$C,'custody caseload'!$B$71,'caseload data'!$B:$B,"custody")</f>
        <v>0</v>
      </c>
      <c r="Q74" s="94">
        <f>SUMIFS('caseload data'!S:S,'caseload data'!$D:$D,"PSO",'caseload data'!$C:$C,'custody caseload'!$B$71,'caseload data'!$B:$B,"custody")</f>
        <v>0</v>
      </c>
      <c r="R74" s="94">
        <f>SUMIFS('caseload data'!T:T,'caseload data'!$D:$D,"PSO",'caseload data'!$C:$C,'custody caseload'!$B$71,'caseload data'!$B:$B,"custody")</f>
        <v>0</v>
      </c>
      <c r="T74" s="97" t="s">
        <v>1002</v>
      </c>
      <c r="U74" s="145">
        <f>SUMIFS('caseload data'!E:E,'caseload data'!$D:$D,"PSO",'caseload data'!$C:$C,'custody caseload'!$T$71,'caseload data'!$B:$B,"custody")</f>
        <v>0</v>
      </c>
      <c r="V74" s="145">
        <f>SUMIFS('caseload data'!F:F,'caseload data'!$D:$D,"PSO",'caseload data'!$C:$C,'custody caseload'!$T$71,'caseload data'!$B:$B,"custody")</f>
        <v>0</v>
      </c>
      <c r="W74" s="145">
        <f>SUMIFS('caseload data'!G:G,'caseload data'!$D:$D,"PSO",'caseload data'!$C:$C,'custody caseload'!$T$71,'caseload data'!$B:$B,"custody")</f>
        <v>0</v>
      </c>
      <c r="X74" s="145">
        <f>SUMIFS('caseload data'!H:H,'caseload data'!$D:$D,"PSO",'caseload data'!$C:$C,'custody caseload'!$T$71,'caseload data'!$B:$B,"custody")</f>
        <v>0</v>
      </c>
      <c r="Y74" s="145">
        <f>SUMIFS('caseload data'!I:I,'caseload data'!$D:$D,"PSO",'caseload data'!$C:$C,'custody caseload'!$T$71,'caseload data'!$B:$B,"custody")</f>
        <v>0</v>
      </c>
      <c r="Z74" s="145">
        <f>SUMIFS('caseload data'!J:J,'caseload data'!$D:$D,"PSO",'caseload data'!$C:$C,'custody caseload'!$T$71,'caseload data'!$B:$B,"custody")</f>
        <v>0</v>
      </c>
      <c r="AA74" s="145">
        <f>SUMIFS('caseload data'!K:K,'caseload data'!$D:$D,"PSO",'caseload data'!$C:$C,'custody caseload'!$T$71,'caseload data'!$B:$B,"custody")</f>
        <v>0</v>
      </c>
      <c r="AB74" s="145">
        <f>SUMIFS('caseload data'!L:L,'caseload data'!$D:$D,"PSO",'caseload data'!$C:$C,'custody caseload'!$T$71,'caseload data'!$B:$B,"custody")</f>
        <v>0</v>
      </c>
      <c r="AC74" s="94">
        <f>SUMIFS('caseload data'!M:M,'caseload data'!$D:$D,"PSO",'caseload data'!$C:$C,'custody caseload'!$T$71,'caseload data'!$B:$B,"custody")</f>
        <v>0</v>
      </c>
      <c r="AD74" s="94">
        <f>SUMIFS('caseload data'!N:N,'caseload data'!$D:$D,"PSO",'caseload data'!$C:$C,'custody caseload'!$T$71,'caseload data'!$B:$B,"custody")</f>
        <v>0</v>
      </c>
      <c r="AE74" s="94">
        <f>SUMIFS('caseload data'!O:O,'caseload data'!$D:$D,"PSO",'caseload data'!$C:$C,'custody caseload'!$T$71,'caseload data'!$B:$B,"custody")</f>
        <v>0</v>
      </c>
      <c r="AF74" s="94">
        <f>SUMIFS('caseload data'!P:P,'caseload data'!$D:$D,"PSO",'caseload data'!$C:$C,'custody caseload'!$T$71,'caseload data'!$B:$B,"custody")</f>
        <v>0</v>
      </c>
      <c r="AG74" s="94">
        <f>SUMIFS('caseload data'!Q:Q,'caseload data'!$D:$D,"PSO",'caseload data'!$C:$C,'custody caseload'!$T$71,'caseload data'!$B:$B,"custody")</f>
        <v>0</v>
      </c>
      <c r="AH74" s="94">
        <f>SUMIFS('caseload data'!R:R,'caseload data'!$D:$D,"PSO",'caseload data'!$C:$C,'custody caseload'!$T$71,'caseload data'!$B:$B,"custody")</f>
        <v>0</v>
      </c>
      <c r="AI74" s="94">
        <f>SUMIFS('caseload data'!S:S,'caseload data'!$D:$D,"PSO",'caseload data'!$C:$C,'custody caseload'!$T$71,'caseload data'!$B:$B,"custody")</f>
        <v>0</v>
      </c>
      <c r="AJ74" s="94">
        <f>SUMIFS('caseload data'!T:T,'caseload data'!$D:$D,"PSO",'caseload data'!$C:$C,'custody caseload'!$T$71,'caseload data'!$B:$B,"custody")</f>
        <v>0</v>
      </c>
    </row>
    <row r="75" spans="2:36" ht="15" x14ac:dyDescent="0.2">
      <c r="B75" s="97" t="s">
        <v>1003</v>
      </c>
      <c r="C75" s="145">
        <f>SUMIFS('caseload data'!E:E,'caseload data'!$D:$D,"TPO",'caseload data'!$C:$C,'custody caseload'!$B$71,'caseload data'!$B:$B,"custody")</f>
        <v>0</v>
      </c>
      <c r="D75" s="145">
        <f>SUMIFS('caseload data'!F:F,'caseload data'!$D:$D,"TPO",'caseload data'!$C:$C,'custody caseload'!$B$71,'caseload data'!$B:$B,"custody")</f>
        <v>0</v>
      </c>
      <c r="E75" s="145">
        <f>SUMIFS('caseload data'!G:G,'caseload data'!$D:$D,"TPO",'caseload data'!$C:$C,'custody caseload'!$B$71,'caseload data'!$B:$B,"custody")</f>
        <v>0</v>
      </c>
      <c r="F75" s="145">
        <f>SUMIFS('caseload data'!H:H,'caseload data'!$D:$D,"TPO",'caseload data'!$C:$C,'custody caseload'!$B$71,'caseload data'!$B:$B,"custody")</f>
        <v>0</v>
      </c>
      <c r="G75" s="145">
        <f>SUMIFS('caseload data'!I:I,'caseload data'!$D:$D,"TPO",'caseload data'!$C:$C,'custody caseload'!$B$71,'caseload data'!$B:$B,"custody")</f>
        <v>0</v>
      </c>
      <c r="H75" s="145">
        <f>SUMIFS('caseload data'!J:J,'caseload data'!$D:$D,"TPO",'caseload data'!$C:$C,'custody caseload'!$B$71,'caseload data'!$B:$B,"custody")</f>
        <v>0</v>
      </c>
      <c r="I75" s="145">
        <f>SUMIFS('caseload data'!K:K,'caseload data'!$D:$D,"TPO",'caseload data'!$C:$C,'custody caseload'!$B$71,'caseload data'!$B:$B,"custody")</f>
        <v>0</v>
      </c>
      <c r="J75" s="145">
        <f>SUMIFS('caseload data'!L:L,'caseload data'!$D:$D,"TPO",'caseload data'!$C:$C,'custody caseload'!$B$71,'caseload data'!$B:$B,"custody")</f>
        <v>0</v>
      </c>
      <c r="K75" s="94">
        <f>SUMIFS('caseload data'!M:M,'caseload data'!$D:$D,"TPO",'caseload data'!$C:$C,'custody caseload'!$B$71,'caseload data'!$B:$B,"custody")</f>
        <v>0</v>
      </c>
      <c r="L75" s="94">
        <f>SUMIFS('caseload data'!N:N,'caseload data'!$D:$D,"TPO",'caseload data'!$C:$C,'custody caseload'!$B$71,'caseload data'!$B:$B,"custody")</f>
        <v>0</v>
      </c>
      <c r="M75" s="94">
        <f>SUMIFS('caseload data'!O:O,'caseload data'!$D:$D,"TPO",'caseload data'!$C:$C,'custody caseload'!$B$71,'caseload data'!$B:$B,"custody")</f>
        <v>0</v>
      </c>
      <c r="N75" s="94">
        <f>SUMIFS('caseload data'!P:P,'caseload data'!$D:$D,"TPO",'caseload data'!$C:$C,'custody caseload'!$B$71,'caseload data'!$B:$B,"custody")</f>
        <v>0</v>
      </c>
      <c r="O75" s="94">
        <f>SUMIFS('caseload data'!Q:Q,'caseload data'!$D:$D,"TPO",'caseload data'!$C:$C,'custody caseload'!$B$71,'caseload data'!$B:$B,"custody")</f>
        <v>0</v>
      </c>
      <c r="P75" s="94">
        <f>SUMIFS('caseload data'!R:R,'caseload data'!$D:$D,"TPO",'caseload data'!$C:$C,'custody caseload'!$B$71,'caseload data'!$B:$B,"custody")</f>
        <v>0</v>
      </c>
      <c r="Q75" s="94">
        <f>SUMIFS('caseload data'!S:S,'caseload data'!$D:$D,"TPO",'caseload data'!$C:$C,'custody caseload'!$B$71,'caseload data'!$B:$B,"custody")</f>
        <v>0</v>
      </c>
      <c r="R75" s="94">
        <f>SUMIFS('caseload data'!T:T,'caseload data'!$D:$D,"TPO",'caseload data'!$C:$C,'custody caseload'!$B$71,'caseload data'!$B:$B,"custody")</f>
        <v>0</v>
      </c>
      <c r="T75" s="97" t="s">
        <v>1003</v>
      </c>
      <c r="U75" s="145">
        <f>SUMIFS('caseload data'!E:E,'caseload data'!$D:$D,"TPO",'caseload data'!$C:$C,'custody caseload'!$T$71,'caseload data'!$B:$B,"custody")</f>
        <v>0</v>
      </c>
      <c r="V75" s="145">
        <f>SUMIFS('caseload data'!F:F,'caseload data'!$D:$D,"TPO",'caseload data'!$C:$C,'custody caseload'!$T$71,'caseload data'!$B:$B,"custody")</f>
        <v>0</v>
      </c>
      <c r="W75" s="145">
        <f>SUMIFS('caseload data'!G:G,'caseload data'!$D:$D,"TPO",'caseload data'!$C:$C,'custody caseload'!$T$71,'caseload data'!$B:$B,"custody")</f>
        <v>0</v>
      </c>
      <c r="X75" s="145">
        <f>SUMIFS('caseload data'!H:H,'caseload data'!$D:$D,"TPO",'caseload data'!$C:$C,'custody caseload'!$T$71,'caseload data'!$B:$B,"custody")</f>
        <v>0</v>
      </c>
      <c r="Y75" s="145">
        <f>SUMIFS('caseload data'!I:I,'caseload data'!$D:$D,"TPO",'caseload data'!$C:$C,'custody caseload'!$T$71,'caseload data'!$B:$B,"custody")</f>
        <v>0</v>
      </c>
      <c r="Z75" s="145">
        <f>SUMIFS('caseload data'!J:J,'caseload data'!$D:$D,"TPO",'caseload data'!$C:$C,'custody caseload'!$T$71,'caseload data'!$B:$B,"custody")</f>
        <v>0</v>
      </c>
      <c r="AA75" s="145">
        <f>SUMIFS('caseload data'!K:K,'caseload data'!$D:$D,"TPO",'caseload data'!$C:$C,'custody caseload'!$T$71,'caseload data'!$B:$B,"custody")</f>
        <v>0</v>
      </c>
      <c r="AB75" s="145">
        <f>SUMIFS('caseload data'!L:L,'caseload data'!$D:$D,"TPO",'caseload data'!$C:$C,'custody caseload'!$T$71,'caseload data'!$B:$B,"custody")</f>
        <v>0</v>
      </c>
      <c r="AC75" s="94">
        <f>SUMIFS('caseload data'!M:M,'caseload data'!$D:$D,"TPO",'caseload data'!$C:$C,'custody caseload'!$T$71,'caseload data'!$B:$B,"custody")</f>
        <v>0</v>
      </c>
      <c r="AD75" s="94">
        <f>SUMIFS('caseload data'!N:N,'caseload data'!$D:$D,"TPO",'caseload data'!$C:$C,'custody caseload'!$T$71,'caseload data'!$B:$B,"custody")</f>
        <v>0</v>
      </c>
      <c r="AE75" s="94">
        <f>SUMIFS('caseload data'!O:O,'caseload data'!$D:$D,"TPO",'caseload data'!$C:$C,'custody caseload'!$T$71,'caseload data'!$B:$B,"custody")</f>
        <v>0</v>
      </c>
      <c r="AF75" s="94">
        <f>SUMIFS('caseload data'!P:P,'caseload data'!$D:$D,"TPO",'caseload data'!$C:$C,'custody caseload'!$T$71,'caseload data'!$B:$B,"custody")</f>
        <v>0</v>
      </c>
      <c r="AG75" s="94">
        <f>SUMIFS('caseload data'!Q:Q,'caseload data'!$D:$D,"TPO",'caseload data'!$C:$C,'custody caseload'!$T$71,'caseload data'!$B:$B,"custody")</f>
        <v>0</v>
      </c>
      <c r="AH75" s="94">
        <f>SUMIFS('caseload data'!R:R,'caseload data'!$D:$D,"TPO",'caseload data'!$C:$C,'custody caseload'!$T$71,'caseload data'!$B:$B,"custody")</f>
        <v>0</v>
      </c>
      <c r="AI75" s="94">
        <f>SUMIFS('caseload data'!S:S,'caseload data'!$D:$D,"TPO",'caseload data'!$C:$C,'custody caseload'!$T$71,'caseload data'!$B:$B,"custody")</f>
        <v>0</v>
      </c>
      <c r="AJ75" s="94">
        <f>SUMIFS('caseload data'!T:T,'caseload data'!$D:$D,"TPO",'caseload data'!$C:$C,'custody caseload'!$T$71,'caseload data'!$B:$B,"custody")</f>
        <v>0</v>
      </c>
    </row>
    <row r="76" spans="2:36" x14ac:dyDescent="0.15">
      <c r="B76" s="98" t="s">
        <v>1004</v>
      </c>
      <c r="C76" s="94">
        <f>SUMIFS('caseload data'!E:E,'caseload data'!$D:$D,"SPO",'caseload data'!$C:$C,'custody caseload'!$B$71,'caseload data'!$B:$B,"custody")</f>
        <v>0</v>
      </c>
      <c r="D76" s="94">
        <f>SUMIFS('caseload data'!F:F,'caseload data'!$D:$D,"SPO",'caseload data'!$C:$C,'custody caseload'!$B$71,'caseload data'!$B:$B,"custody")</f>
        <v>0</v>
      </c>
      <c r="E76" s="94">
        <f>SUMIFS('caseload data'!G:G,'caseload data'!$D:$D,"SPO",'caseload data'!$C:$C,'custody caseload'!$B$71,'caseload data'!$B:$B,"custody")</f>
        <v>0</v>
      </c>
      <c r="F76" s="94">
        <f>SUMIFS('caseload data'!H:H,'caseload data'!$D:$D,"SPO",'caseload data'!$C:$C,'custody caseload'!$B$71,'caseload data'!$B:$B,"custody")</f>
        <v>0</v>
      </c>
      <c r="G76" s="94">
        <f>SUMIFS('caseload data'!I:I,'caseload data'!$D:$D,"SPO",'caseload data'!$C:$C,'custody caseload'!$B$71,'caseload data'!$B:$B,"custody")</f>
        <v>0</v>
      </c>
      <c r="H76" s="94">
        <f>SUMIFS('caseload data'!J:J,'caseload data'!$D:$D,"SPO",'caseload data'!$C:$C,'custody caseload'!$B$71,'caseload data'!$B:$B,"custody")</f>
        <v>0</v>
      </c>
      <c r="I76" s="94">
        <f>SUMIFS('caseload data'!K:K,'caseload data'!$D:$D,"SPO",'caseload data'!$C:$C,'custody caseload'!$B$71,'caseload data'!$B:$B,"custody")</f>
        <v>0</v>
      </c>
      <c r="J76" s="94">
        <f>SUMIFS('caseload data'!L:L,'caseload data'!$D:$D,"SPO",'caseload data'!$C:$C,'custody caseload'!$B$71,'caseload data'!$B:$B,"custody")</f>
        <v>0</v>
      </c>
      <c r="K76" s="94">
        <f>SUMIFS('caseload data'!M:M,'caseload data'!$D:$D,"SPO",'caseload data'!$C:$C,'custody caseload'!$B$71,'caseload data'!$B:$B,"custody")</f>
        <v>0</v>
      </c>
      <c r="L76" s="94">
        <f>SUMIFS('caseload data'!N:N,'caseload data'!$D:$D,"SPO",'caseload data'!$C:$C,'custody caseload'!$B$71,'caseload data'!$B:$B,"custody")</f>
        <v>0</v>
      </c>
      <c r="M76" s="94">
        <f>SUMIFS('caseload data'!O:O,'caseload data'!$D:$D,"SPO",'caseload data'!$C:$C,'custody caseload'!$B$71,'caseload data'!$B:$B,"custody")</f>
        <v>0</v>
      </c>
      <c r="N76" s="94">
        <f>SUMIFS('caseload data'!P:P,'caseload data'!$D:$D,"SPO",'caseload data'!$C:$C,'custody caseload'!$B$71,'caseload data'!$B:$B,"custody")</f>
        <v>0</v>
      </c>
      <c r="O76" s="94">
        <f>SUMIFS('caseload data'!Q:Q,'caseload data'!$D:$D,"SPO",'caseload data'!$C:$C,'custody caseload'!$B$71,'caseload data'!$B:$B,"custody")</f>
        <v>0</v>
      </c>
      <c r="P76" s="94">
        <f>SUMIFS('caseload data'!R:R,'caseload data'!$D:$D,"SPO",'caseload data'!$C:$C,'custody caseload'!$B$71,'caseload data'!$B:$B,"custody")</f>
        <v>0</v>
      </c>
      <c r="Q76" s="94">
        <f>SUMIFS('caseload data'!S:S,'caseload data'!$D:$D,"SPO",'caseload data'!$C:$C,'custody caseload'!$B$71,'caseload data'!$B:$B,"custody")</f>
        <v>0</v>
      </c>
      <c r="R76" s="94">
        <f>SUMIFS('caseload data'!T:T,'caseload data'!$D:$D,"SPO",'caseload data'!$C:$C,'custody caseload'!$B$71,'caseload data'!$B:$B,"custody")</f>
        <v>0</v>
      </c>
      <c r="T76" s="98" t="s">
        <v>1004</v>
      </c>
      <c r="U76" s="94">
        <f>SUMIFS('caseload data'!E:E,'caseload data'!$D:$D,"SPO",'caseload data'!$C:$C,'custody caseload'!$T$71,'caseload data'!$B:$B,"custody")</f>
        <v>0</v>
      </c>
      <c r="V76" s="94">
        <f>SUMIFS('caseload data'!F:F,'caseload data'!$D:$D,"SPO",'caseload data'!$C:$C,'custody caseload'!$T$71,'caseload data'!$B:$B,"custody")</f>
        <v>0</v>
      </c>
      <c r="W76" s="94">
        <f>SUMIFS('caseload data'!G:G,'caseload data'!$D:$D,"SPO",'caseload data'!$C:$C,'custody caseload'!$T$71,'caseload data'!$B:$B,"custody")</f>
        <v>0</v>
      </c>
      <c r="X76" s="94">
        <f>SUMIFS('caseload data'!H:H,'caseload data'!$D:$D,"SPO",'caseload data'!$C:$C,'custody caseload'!$T$71,'caseload data'!$B:$B,"custody")</f>
        <v>0</v>
      </c>
      <c r="Y76" s="94">
        <f>SUMIFS('caseload data'!I:I,'caseload data'!$D:$D,"SPO",'caseload data'!$C:$C,'custody caseload'!$T$71,'caseload data'!$B:$B,"custody")</f>
        <v>0</v>
      </c>
      <c r="Z76" s="94">
        <f>SUMIFS('caseload data'!J:J,'caseload data'!$D:$D,"SPO",'caseload data'!$C:$C,'custody caseload'!$T$71,'caseload data'!$B:$B,"custody")</f>
        <v>0</v>
      </c>
      <c r="AA76" s="94">
        <f>SUMIFS('caseload data'!K:K,'caseload data'!$D:$D,"SPO",'caseload data'!$C:$C,'custody caseload'!$T$71,'caseload data'!$B:$B,"custody")</f>
        <v>0</v>
      </c>
      <c r="AB76" s="94">
        <f>SUMIFS('caseload data'!L:L,'caseload data'!$D:$D,"SPO",'caseload data'!$C:$C,'custody caseload'!$T$71,'caseload data'!$B:$B,"custody")</f>
        <v>0</v>
      </c>
      <c r="AC76" s="94">
        <f>SUMIFS('caseload data'!M:M,'caseload data'!$D:$D,"SPO",'caseload data'!$C:$C,'custody caseload'!$T$71,'caseload data'!$B:$B,"custody")</f>
        <v>0</v>
      </c>
      <c r="AD76" s="94">
        <f>SUMIFS('caseload data'!N:N,'caseload data'!$D:$D,"SPO",'caseload data'!$C:$C,'custody caseload'!$T$71,'caseload data'!$B:$B,"custody")</f>
        <v>0</v>
      </c>
      <c r="AE76" s="94">
        <f>SUMIFS('caseload data'!O:O,'caseload data'!$D:$D,"SPO",'caseload data'!$C:$C,'custody caseload'!$T$71,'caseload data'!$B:$B,"custody")</f>
        <v>0</v>
      </c>
      <c r="AF76" s="94">
        <f>SUMIFS('caseload data'!P:P,'caseload data'!$D:$D,"SPO",'caseload data'!$C:$C,'custody caseload'!$T$71,'caseload data'!$B:$B,"custody")</f>
        <v>0</v>
      </c>
      <c r="AG76" s="94">
        <f>SUMIFS('caseload data'!Q:Q,'caseload data'!$D:$D,"SPO",'caseload data'!$C:$C,'custody caseload'!$T$71,'caseload data'!$B:$B,"custody")</f>
        <v>0</v>
      </c>
      <c r="AH76" s="94">
        <f>SUMIFS('caseload data'!R:R,'caseload data'!$D:$D,"SPO",'caseload data'!$C:$C,'custody caseload'!$T$71,'caseload data'!$B:$B,"custody")</f>
        <v>0</v>
      </c>
      <c r="AI76" s="94">
        <f>SUMIFS('caseload data'!S:S,'caseload data'!$D:$D,"SPO",'caseload data'!$C:$C,'custody caseload'!$T$71,'caseload data'!$B:$B,"custody")</f>
        <v>0</v>
      </c>
      <c r="AJ76" s="94">
        <f>SUMIFS('caseload data'!T:T,'caseload data'!$D:$D,"SPO",'caseload data'!$C:$C,'custody caseload'!$T$71,'caseload data'!$B:$B,"custody")</f>
        <v>0</v>
      </c>
    </row>
    <row r="78" spans="2:36" ht="21.75" customHeight="1" x14ac:dyDescent="0.15">
      <c r="B78" s="142">
        <f>HLOOKUP($B$5,Region_Table,22,0)</f>
        <v>0</v>
      </c>
      <c r="C78" s="525" t="s">
        <v>1126</v>
      </c>
      <c r="D78" s="526"/>
      <c r="E78" s="526"/>
      <c r="F78" s="526"/>
      <c r="G78" s="526"/>
      <c r="H78" s="526"/>
      <c r="I78" s="526"/>
      <c r="J78" s="526"/>
      <c r="K78" s="526"/>
      <c r="L78" s="526"/>
      <c r="M78" s="535"/>
      <c r="N78" s="535"/>
      <c r="O78" s="536"/>
      <c r="P78" s="512">
        <f>SUMIFS('caseload data'!V:V,'caseload data'!B:B,"custody",'caseload data'!$C:$C,'custody caseload'!B78)</f>
        <v>0</v>
      </c>
      <c r="Q78" s="529"/>
      <c r="R78" s="530"/>
      <c r="T78" s="142">
        <f>HLOOKUP($B$5,Region_Table,23,0)</f>
        <v>0</v>
      </c>
      <c r="U78" s="525" t="s">
        <v>1126</v>
      </c>
      <c r="V78" s="526"/>
      <c r="W78" s="526"/>
      <c r="X78" s="526"/>
      <c r="Y78" s="526"/>
      <c r="Z78" s="526"/>
      <c r="AA78" s="526"/>
      <c r="AB78" s="526"/>
      <c r="AC78" s="526"/>
      <c r="AD78" s="526"/>
      <c r="AE78" s="535"/>
      <c r="AF78" s="535"/>
      <c r="AG78" s="536"/>
      <c r="AH78" s="512">
        <f>SUMIFS('caseload data'!V:V,'caseload data'!B:B,"custody",'caseload data'!$C:$C,'custody caseload'!T78)</f>
        <v>0</v>
      </c>
      <c r="AI78" s="529"/>
      <c r="AJ78" s="530"/>
    </row>
    <row r="79" spans="2:36" x14ac:dyDescent="0.15">
      <c r="B79" s="95" t="s">
        <v>1001</v>
      </c>
      <c r="C79" s="38" t="s">
        <v>864</v>
      </c>
      <c r="D79" s="38" t="s">
        <v>865</v>
      </c>
      <c r="E79" s="38" t="s">
        <v>866</v>
      </c>
      <c r="F79" s="38" t="s">
        <v>867</v>
      </c>
      <c r="G79" s="38" t="s">
        <v>868</v>
      </c>
      <c r="H79" s="38" t="s">
        <v>869</v>
      </c>
      <c r="I79" s="38" t="s">
        <v>870</v>
      </c>
      <c r="J79" s="38" t="s">
        <v>871</v>
      </c>
      <c r="K79" s="38" t="s">
        <v>872</v>
      </c>
      <c r="L79" s="38" t="s">
        <v>873</v>
      </c>
      <c r="M79" s="38" t="s">
        <v>874</v>
      </c>
      <c r="N79" s="38" t="s">
        <v>875</v>
      </c>
      <c r="O79" s="38" t="s">
        <v>876</v>
      </c>
      <c r="P79" s="38" t="s">
        <v>877</v>
      </c>
      <c r="Q79" s="38" t="s">
        <v>878</v>
      </c>
      <c r="R79" s="38" t="s">
        <v>879</v>
      </c>
      <c r="T79" s="95" t="s">
        <v>1001</v>
      </c>
      <c r="U79" s="38" t="s">
        <v>864</v>
      </c>
      <c r="V79" s="38" t="s">
        <v>865</v>
      </c>
      <c r="W79" s="38" t="s">
        <v>866</v>
      </c>
      <c r="X79" s="38" t="s">
        <v>867</v>
      </c>
      <c r="Y79" s="38" t="s">
        <v>868</v>
      </c>
      <c r="Z79" s="38" t="s">
        <v>869</v>
      </c>
      <c r="AA79" s="38" t="s">
        <v>870</v>
      </c>
      <c r="AB79" s="38" t="s">
        <v>871</v>
      </c>
      <c r="AC79" s="38" t="s">
        <v>872</v>
      </c>
      <c r="AD79" s="38" t="s">
        <v>873</v>
      </c>
      <c r="AE79" s="38" t="s">
        <v>874</v>
      </c>
      <c r="AF79" s="38" t="s">
        <v>875</v>
      </c>
      <c r="AG79" s="38" t="s">
        <v>876</v>
      </c>
      <c r="AH79" s="38" t="s">
        <v>877</v>
      </c>
      <c r="AI79" s="38" t="s">
        <v>878</v>
      </c>
      <c r="AJ79" s="38" t="s">
        <v>879</v>
      </c>
    </row>
    <row r="80" spans="2:36" x14ac:dyDescent="0.15">
      <c r="B80" s="96" t="s">
        <v>997</v>
      </c>
      <c r="C80" s="94">
        <f>SUMIFS('caseload data'!E:E,'caseload data'!$D:$D,"PO",'caseload data'!$C:$C,'custody caseload'!$B$78,'caseload data'!$B:$B,"custody")</f>
        <v>0</v>
      </c>
      <c r="D80" s="94">
        <f>SUMIFS('caseload data'!F:F,'caseload data'!$D:$D,"PO",'caseload data'!$C:$C,'custody caseload'!$B$78,'caseload data'!$B:$B,"custody")</f>
        <v>0</v>
      </c>
      <c r="E80" s="94">
        <f>SUMIFS('caseload data'!G:G,'caseload data'!$D:$D,"PO",'caseload data'!$C:$C,'custody caseload'!$B$78,'caseload data'!$B:$B,"custody")</f>
        <v>0</v>
      </c>
      <c r="F80" s="94">
        <f>SUMIFS('caseload data'!H:H,'caseload data'!$D:$D,"PO",'caseload data'!$C:$C,'custody caseload'!$B$78,'caseload data'!$B:$B,"custody")</f>
        <v>0</v>
      </c>
      <c r="G80" s="94">
        <f>SUMIFS('caseload data'!I:I,'caseload data'!$D:$D,"PO",'caseload data'!$C:$C,'custody caseload'!$B$78,'caseload data'!$B:$B,"custody")</f>
        <v>0</v>
      </c>
      <c r="H80" s="94">
        <f>SUMIFS('caseload data'!J:J,'caseload data'!$D:$D,"PO",'caseload data'!$C:$C,'custody caseload'!$B$78,'caseload data'!$B:$B,"custody")</f>
        <v>0</v>
      </c>
      <c r="I80" s="94">
        <f>SUMIFS('caseload data'!K:K,'caseload data'!$D:$D,"PO",'caseload data'!$C:$C,'custody caseload'!$B$78,'caseload data'!$B:$B,"custody")</f>
        <v>0</v>
      </c>
      <c r="J80" s="94">
        <f>SUMIFS('caseload data'!L:L,'caseload data'!$D:$D,"PO",'caseload data'!$C:$C,'custody caseload'!$B$78,'caseload data'!$B:$B,"custody")</f>
        <v>0</v>
      </c>
      <c r="K80" s="94">
        <f>SUMIFS('caseload data'!M:M,'caseload data'!$D:$D,"PO",'caseload data'!$C:$C,'custody caseload'!$B$78,'caseload data'!$B:$B,"custody")</f>
        <v>0</v>
      </c>
      <c r="L80" s="94">
        <f>SUMIFS('caseload data'!N:N,'caseload data'!$D:$D,"PO",'caseload data'!$C:$C,'custody caseload'!$B$78,'caseload data'!$B:$B,"custody")</f>
        <v>0</v>
      </c>
      <c r="M80" s="94">
        <f>SUMIFS('caseload data'!O:O,'caseload data'!$D:$D,"PO",'caseload data'!$C:$C,'custody caseload'!$B$78,'caseload data'!$B:$B,"custody")</f>
        <v>0</v>
      </c>
      <c r="N80" s="94">
        <f>SUMIFS('caseload data'!P:P,'caseload data'!$D:$D,"PO",'caseload data'!$C:$C,'custody caseload'!$B$78,'caseload data'!$B:$B,"custody")</f>
        <v>0</v>
      </c>
      <c r="O80" s="94">
        <f>SUMIFS('caseload data'!Q:Q,'caseload data'!$D:$D,"PO",'caseload data'!$C:$C,'custody caseload'!$B$78,'caseload data'!$B:$B,"custody")</f>
        <v>0</v>
      </c>
      <c r="P80" s="94">
        <f>SUMIFS('caseload data'!R:R,'caseload data'!$D:$D,"PO",'caseload data'!$C:$C,'custody caseload'!$B$78,'caseload data'!$B:$B,"custody")</f>
        <v>0</v>
      </c>
      <c r="Q80" s="94">
        <f>SUMIFS('caseload data'!S:S,'caseload data'!$D:$D,"PO",'caseload data'!$C:$C,'custody caseload'!$B$78,'caseload data'!$B:$B,"custody")</f>
        <v>0</v>
      </c>
      <c r="R80" s="94">
        <f>SUMIFS('caseload data'!T:T,'caseload data'!$D:$D,"PO",'caseload data'!$C:$C,'custody caseload'!$B$78,'caseload data'!$B:$B,"custody")</f>
        <v>0</v>
      </c>
      <c r="T80" s="96" t="s">
        <v>997</v>
      </c>
      <c r="U80" s="94">
        <f>SUMIFS('caseload data'!E:E,'caseload data'!$D:$D,"PO",'caseload data'!$C:$C,'custody caseload'!$T$78,'caseload data'!$B:$B,"custody")</f>
        <v>0</v>
      </c>
      <c r="V80" s="94">
        <f>SUMIFS('caseload data'!F:F,'caseload data'!$D:$D,"PO",'caseload data'!$C:$C,'custody caseload'!$T$78,'caseload data'!$B:$B,"custody")</f>
        <v>0</v>
      </c>
      <c r="W80" s="94">
        <f>SUMIFS('caseload data'!G:G,'caseload data'!$D:$D,"PO",'caseload data'!$C:$C,'custody caseload'!$T$78,'caseload data'!$B:$B,"custody")</f>
        <v>0</v>
      </c>
      <c r="X80" s="94">
        <f>SUMIFS('caseload data'!H:H,'caseload data'!$D:$D,"PO",'caseload data'!$C:$C,'custody caseload'!$T$78,'caseload data'!$B:$B,"custody")</f>
        <v>0</v>
      </c>
      <c r="Y80" s="94">
        <f>SUMIFS('caseload data'!I:I,'caseload data'!$D:$D,"PO",'caseload data'!$C:$C,'custody caseload'!$T$78,'caseload data'!$B:$B,"custody")</f>
        <v>0</v>
      </c>
      <c r="Z80" s="94">
        <f>SUMIFS('caseload data'!J:J,'caseload data'!$D:$D,"PO",'caseload data'!$C:$C,'custody caseload'!$T$78,'caseload data'!$B:$B,"custody")</f>
        <v>0</v>
      </c>
      <c r="AA80" s="94">
        <f>SUMIFS('caseload data'!K:K,'caseload data'!$D:$D,"PO",'caseload data'!$C:$C,'custody caseload'!$T$78,'caseload data'!$B:$B,"custody")</f>
        <v>0</v>
      </c>
      <c r="AB80" s="94">
        <f>SUMIFS('caseload data'!L:L,'caseload data'!$D:$D,"PO",'caseload data'!$C:$C,'custody caseload'!$T$78,'caseload data'!$B:$B,"custody")</f>
        <v>0</v>
      </c>
      <c r="AC80" s="94">
        <f>SUMIFS('caseload data'!M:M,'caseload data'!$D:$D,"PO",'caseload data'!$C:$C,'custody caseload'!$T$78,'caseload data'!$B:$B,"custody")</f>
        <v>0</v>
      </c>
      <c r="AD80" s="94">
        <f>SUMIFS('caseload data'!N:N,'caseload data'!$D:$D,"PO",'caseload data'!$C:$C,'custody caseload'!$T$78,'caseload data'!$B:$B,"custody")</f>
        <v>0</v>
      </c>
      <c r="AE80" s="94">
        <f>SUMIFS('caseload data'!O:O,'caseload data'!$D:$D,"PO",'caseload data'!$C:$C,'custody caseload'!$T$78,'caseload data'!$B:$B,"custody")</f>
        <v>0</v>
      </c>
      <c r="AF80" s="94">
        <f>SUMIFS('caseload data'!P:P,'caseload data'!$D:$D,"PO",'caseload data'!$C:$C,'custody caseload'!$T$78,'caseload data'!$B:$B,"custody")</f>
        <v>0</v>
      </c>
      <c r="AG80" s="94">
        <f>SUMIFS('caseload data'!Q:Q,'caseload data'!$D:$D,"PO",'caseload data'!$C:$C,'custody caseload'!$T$78,'caseload data'!$B:$B,"custody")</f>
        <v>0</v>
      </c>
      <c r="AH80" s="94">
        <f>SUMIFS('caseload data'!R:R,'caseload data'!$D:$D,"PO",'caseload data'!$C:$C,'custody caseload'!$T$78,'caseload data'!$B:$B,"custody")</f>
        <v>0</v>
      </c>
      <c r="AI80" s="94">
        <f>SUMIFS('caseload data'!S:S,'caseload data'!$D:$D,"PO",'caseload data'!$C:$C,'custody caseload'!$T$78,'caseload data'!$B:$B,"custody")</f>
        <v>0</v>
      </c>
      <c r="AJ80" s="94">
        <f>SUMIFS('caseload data'!T:T,'caseload data'!$D:$D,"PO",'caseload data'!$C:$C,'custody caseload'!$T$78,'caseload data'!$B:$B,"custody")</f>
        <v>0</v>
      </c>
    </row>
    <row r="81" spans="2:36" ht="15" x14ac:dyDescent="0.2">
      <c r="B81" s="97" t="s">
        <v>1002</v>
      </c>
      <c r="C81" s="145">
        <f>SUMIFS('caseload data'!E:E,'caseload data'!$D:$D,"PSO",'caseload data'!$C:$C,'custody caseload'!$B$78,'caseload data'!$B:$B,"custody")</f>
        <v>0</v>
      </c>
      <c r="D81" s="145">
        <f>SUMIFS('caseload data'!F:F,'caseload data'!$D:$D,"PSO",'caseload data'!$C:$C,'custody caseload'!$B$78,'caseload data'!$B:$B,"custody")</f>
        <v>0</v>
      </c>
      <c r="E81" s="145">
        <f>SUMIFS('caseload data'!G:G,'caseload data'!$D:$D,"PSO",'caseload data'!$C:$C,'custody caseload'!$B$78,'caseload data'!$B:$B,"custody")</f>
        <v>0</v>
      </c>
      <c r="F81" s="145">
        <f>SUMIFS('caseload data'!H:H,'caseload data'!$D:$D,"PSO",'caseload data'!$C:$C,'custody caseload'!$B$78,'caseload data'!$B:$B,"custody")</f>
        <v>0</v>
      </c>
      <c r="G81" s="145">
        <f>SUMIFS('caseload data'!I:I,'caseload data'!$D:$D,"PSO",'caseload data'!$C:$C,'custody caseload'!$B$78,'caseload data'!$B:$B,"custody")</f>
        <v>0</v>
      </c>
      <c r="H81" s="145">
        <f>SUMIFS('caseload data'!J:J,'caseload data'!$D:$D,"PSO",'caseload data'!$C:$C,'custody caseload'!$B$78,'caseload data'!$B:$B,"custody")</f>
        <v>0</v>
      </c>
      <c r="I81" s="145">
        <f>SUMIFS('caseload data'!K:K,'caseload data'!$D:$D,"PSO",'caseload data'!$C:$C,'custody caseload'!$B$78,'caseload data'!$B:$B,"custody")</f>
        <v>0</v>
      </c>
      <c r="J81" s="145">
        <f>SUMIFS('caseload data'!L:L,'caseload data'!$D:$D,"PSO",'caseload data'!$C:$C,'custody caseload'!$B$78,'caseload data'!$B:$B,"custody")</f>
        <v>0</v>
      </c>
      <c r="K81" s="94">
        <f>SUMIFS('caseload data'!M:M,'caseload data'!$D:$D,"PSO",'caseload data'!$C:$C,'custody caseload'!$B$78,'caseload data'!$B:$B,"custody")</f>
        <v>0</v>
      </c>
      <c r="L81" s="94">
        <f>SUMIFS('caseload data'!N:N,'caseload data'!$D:$D,"PSO",'caseload data'!$C:$C,'custody caseload'!$B$78,'caseload data'!$B:$B,"custody")</f>
        <v>0</v>
      </c>
      <c r="M81" s="94">
        <f>SUMIFS('caseload data'!O:O,'caseload data'!$D:$D,"PSO",'caseload data'!$C:$C,'custody caseload'!$B$78,'caseload data'!$B:$B,"custody")</f>
        <v>0</v>
      </c>
      <c r="N81" s="94">
        <f>SUMIFS('caseload data'!P:P,'caseload data'!$D:$D,"PSO",'caseload data'!$C:$C,'custody caseload'!$B$78,'caseload data'!$B:$B,"custody")</f>
        <v>0</v>
      </c>
      <c r="O81" s="94">
        <f>SUMIFS('caseload data'!Q:Q,'caseload data'!$D:$D,"PSO",'caseload data'!$C:$C,'custody caseload'!$B$78,'caseload data'!$B:$B,"custody")</f>
        <v>0</v>
      </c>
      <c r="P81" s="94">
        <f>SUMIFS('caseload data'!R:R,'caseload data'!$D:$D,"PSO",'caseload data'!$C:$C,'custody caseload'!$B$78,'caseload data'!$B:$B,"custody")</f>
        <v>0</v>
      </c>
      <c r="Q81" s="94">
        <f>SUMIFS('caseload data'!S:S,'caseload data'!$D:$D,"PSO",'caseload data'!$C:$C,'custody caseload'!$B$78,'caseload data'!$B:$B,"custody")</f>
        <v>0</v>
      </c>
      <c r="R81" s="94">
        <f>SUMIFS('caseload data'!T:T,'caseload data'!$D:$D,"PSO",'caseload data'!$C:$C,'custody caseload'!$B$78,'caseload data'!$B:$B,"custody")</f>
        <v>0</v>
      </c>
      <c r="T81" s="97" t="s">
        <v>1002</v>
      </c>
      <c r="U81" s="145">
        <f>SUMIFS('caseload data'!E:E,'caseload data'!$D:$D,"PSO",'caseload data'!$C:$C,'custody caseload'!$T$78,'caseload data'!$B:$B,"custody")</f>
        <v>0</v>
      </c>
      <c r="V81" s="145">
        <f>SUMIFS('caseload data'!F:F,'caseload data'!$D:$D,"PSO",'caseload data'!$C:$C,'custody caseload'!$T$78,'caseload data'!$B:$B,"custody")</f>
        <v>0</v>
      </c>
      <c r="W81" s="145">
        <f>SUMIFS('caseload data'!G:G,'caseload data'!$D:$D,"PSO",'caseload data'!$C:$C,'custody caseload'!$T$78,'caseload data'!$B:$B,"custody")</f>
        <v>0</v>
      </c>
      <c r="X81" s="145">
        <f>SUMIFS('caseload data'!H:H,'caseload data'!$D:$D,"PSO",'caseload data'!$C:$C,'custody caseload'!$T$78,'caseload data'!$B:$B,"custody")</f>
        <v>0</v>
      </c>
      <c r="Y81" s="145">
        <f>SUMIFS('caseload data'!I:I,'caseload data'!$D:$D,"PSO",'caseload data'!$C:$C,'custody caseload'!$T$78,'caseload data'!$B:$B,"custody")</f>
        <v>0</v>
      </c>
      <c r="Z81" s="145">
        <f>SUMIFS('caseload data'!J:J,'caseload data'!$D:$D,"PSO",'caseload data'!$C:$C,'custody caseload'!$T$78,'caseload data'!$B:$B,"custody")</f>
        <v>0</v>
      </c>
      <c r="AA81" s="145">
        <f>SUMIFS('caseload data'!K:K,'caseload data'!$D:$D,"PSO",'caseload data'!$C:$C,'custody caseload'!$T$78,'caseload data'!$B:$B,"custody")</f>
        <v>0</v>
      </c>
      <c r="AB81" s="145">
        <f>SUMIFS('caseload data'!L:L,'caseload data'!$D:$D,"PSO",'caseload data'!$C:$C,'custody caseload'!$T$78,'caseload data'!$B:$B,"custody")</f>
        <v>0</v>
      </c>
      <c r="AC81" s="94">
        <f>SUMIFS('caseload data'!M:M,'caseload data'!$D:$D,"PSO",'caseload data'!$C:$C,'custody caseload'!$T$78,'caseload data'!$B:$B,"custody")</f>
        <v>0</v>
      </c>
      <c r="AD81" s="94">
        <f>SUMIFS('caseload data'!N:N,'caseload data'!$D:$D,"PSO",'caseload data'!$C:$C,'custody caseload'!$T$78,'caseload data'!$B:$B,"custody")</f>
        <v>0</v>
      </c>
      <c r="AE81" s="94">
        <f>SUMIFS('caseload data'!O:O,'caseload data'!$D:$D,"PSO",'caseload data'!$C:$C,'custody caseload'!$T$78,'caseload data'!$B:$B,"custody")</f>
        <v>0</v>
      </c>
      <c r="AF81" s="94">
        <f>SUMIFS('caseload data'!P:P,'caseload data'!$D:$D,"PSO",'caseload data'!$C:$C,'custody caseload'!$T$78,'caseload data'!$B:$B,"custody")</f>
        <v>0</v>
      </c>
      <c r="AG81" s="94">
        <f>SUMIFS('caseload data'!Q:Q,'caseload data'!$D:$D,"PSO",'caseload data'!$C:$C,'custody caseload'!$T$78,'caseload data'!$B:$B,"custody")</f>
        <v>0</v>
      </c>
      <c r="AH81" s="94">
        <f>SUMIFS('caseload data'!R:R,'caseload data'!$D:$D,"PSO",'caseload data'!$C:$C,'custody caseload'!$T$78,'caseload data'!$B:$B,"custody")</f>
        <v>0</v>
      </c>
      <c r="AI81" s="94">
        <f>SUMIFS('caseload data'!S:S,'caseload data'!$D:$D,"PSO",'caseload data'!$C:$C,'custody caseload'!$T$78,'caseload data'!$B:$B,"custody")</f>
        <v>0</v>
      </c>
      <c r="AJ81" s="94">
        <f>SUMIFS('caseload data'!T:T,'caseload data'!$D:$D,"PSO",'caseload data'!$C:$C,'custody caseload'!$T$78,'caseload data'!$B:$B,"custody")</f>
        <v>0</v>
      </c>
    </row>
    <row r="82" spans="2:36" ht="15" x14ac:dyDescent="0.2">
      <c r="B82" s="97" t="s">
        <v>1003</v>
      </c>
      <c r="C82" s="145">
        <f>SUMIFS('caseload data'!E:E,'caseload data'!$D:$D,"TPO",'caseload data'!$C:$C,'custody caseload'!$B$78,'caseload data'!$B:$B,"custody")</f>
        <v>0</v>
      </c>
      <c r="D82" s="145">
        <f>SUMIFS('caseload data'!F:F,'caseload data'!$D:$D,"TPO",'caseload data'!$C:$C,'custody caseload'!$B$78,'caseload data'!$B:$B,"custody")</f>
        <v>0</v>
      </c>
      <c r="E82" s="145">
        <f>SUMIFS('caseload data'!G:G,'caseload data'!$D:$D,"TPO",'caseload data'!$C:$C,'custody caseload'!$B$78,'caseload data'!$B:$B,"custody")</f>
        <v>0</v>
      </c>
      <c r="F82" s="145">
        <f>SUMIFS('caseload data'!H:H,'caseload data'!$D:$D,"TPO",'caseload data'!$C:$C,'custody caseload'!$B$78,'caseload data'!$B:$B,"custody")</f>
        <v>0</v>
      </c>
      <c r="G82" s="145">
        <f>SUMIFS('caseload data'!I:I,'caseload data'!$D:$D,"TPO",'caseload data'!$C:$C,'custody caseload'!$B$78,'caseload data'!$B:$B,"custody")</f>
        <v>0</v>
      </c>
      <c r="H82" s="145">
        <f>SUMIFS('caseload data'!J:J,'caseload data'!$D:$D,"TPO",'caseload data'!$C:$C,'custody caseload'!$B$78,'caseload data'!$B:$B,"custody")</f>
        <v>0</v>
      </c>
      <c r="I82" s="145">
        <f>SUMIFS('caseload data'!K:K,'caseload data'!$D:$D,"TPO",'caseload data'!$C:$C,'custody caseload'!$B$78,'caseload data'!$B:$B,"custody")</f>
        <v>0</v>
      </c>
      <c r="J82" s="145">
        <f>SUMIFS('caseload data'!L:L,'caseload data'!$D:$D,"TPO",'caseload data'!$C:$C,'custody caseload'!$B$78,'caseload data'!$B:$B,"custody")</f>
        <v>0</v>
      </c>
      <c r="K82" s="94">
        <f>SUMIFS('caseload data'!M:M,'caseload data'!$D:$D,"TPO",'caseload data'!$C:$C,'custody caseload'!$B$78,'caseload data'!$B:$B,"custody")</f>
        <v>0</v>
      </c>
      <c r="L82" s="94">
        <f>SUMIFS('caseload data'!N:N,'caseload data'!$D:$D,"TPO",'caseload data'!$C:$C,'custody caseload'!$B$78,'caseload data'!$B:$B,"custody")</f>
        <v>0</v>
      </c>
      <c r="M82" s="94">
        <f>SUMIFS('caseload data'!O:O,'caseload data'!$D:$D,"TPO",'caseload data'!$C:$C,'custody caseload'!$B$78,'caseload data'!$B:$B,"custody")</f>
        <v>0</v>
      </c>
      <c r="N82" s="94">
        <f>SUMIFS('caseload data'!P:P,'caseload data'!$D:$D,"TPO",'caseload data'!$C:$C,'custody caseload'!$B$78,'caseload data'!$B:$B,"custody")</f>
        <v>0</v>
      </c>
      <c r="O82" s="94">
        <f>SUMIFS('caseload data'!Q:Q,'caseload data'!$D:$D,"TPO",'caseload data'!$C:$C,'custody caseload'!$B$78,'caseload data'!$B:$B,"custody")</f>
        <v>0</v>
      </c>
      <c r="P82" s="94">
        <f>SUMIFS('caseload data'!R:R,'caseload data'!$D:$D,"TPO",'caseload data'!$C:$C,'custody caseload'!$B$78,'caseload data'!$B:$B,"custody")</f>
        <v>0</v>
      </c>
      <c r="Q82" s="94">
        <f>SUMIFS('caseload data'!S:S,'caseload data'!$D:$D,"TPO",'caseload data'!$C:$C,'custody caseload'!$B$78,'caseload data'!$B:$B,"custody")</f>
        <v>0</v>
      </c>
      <c r="R82" s="94">
        <f>SUMIFS('caseload data'!T:T,'caseload data'!$D:$D,"TPO",'caseload data'!$C:$C,'custody caseload'!$B$78,'caseload data'!$B:$B,"custody")</f>
        <v>0</v>
      </c>
      <c r="T82" s="97" t="s">
        <v>1003</v>
      </c>
      <c r="U82" s="145">
        <f>SUMIFS('caseload data'!E:E,'caseload data'!$D:$D,"TPO",'caseload data'!$C:$C,'custody caseload'!$T$78,'caseload data'!$B:$B,"custody")</f>
        <v>0</v>
      </c>
      <c r="V82" s="145">
        <f>SUMIFS('caseload data'!F:F,'caseload data'!$D:$D,"TPO",'caseload data'!$C:$C,'custody caseload'!$T$78,'caseload data'!$B:$B,"custody")</f>
        <v>0</v>
      </c>
      <c r="W82" s="145">
        <f>SUMIFS('caseload data'!G:G,'caseload data'!$D:$D,"TPO",'caseload data'!$C:$C,'custody caseload'!$T$78,'caseload data'!$B:$B,"custody")</f>
        <v>0</v>
      </c>
      <c r="X82" s="145">
        <f>SUMIFS('caseload data'!H:H,'caseload data'!$D:$D,"TPO",'caseload data'!$C:$C,'custody caseload'!$T$78,'caseload data'!$B:$B,"custody")</f>
        <v>0</v>
      </c>
      <c r="Y82" s="145">
        <f>SUMIFS('caseload data'!I:I,'caseload data'!$D:$D,"TPO",'caseload data'!$C:$C,'custody caseload'!$T$78,'caseload data'!$B:$B,"custody")</f>
        <v>0</v>
      </c>
      <c r="Z82" s="145">
        <f>SUMIFS('caseload data'!J:J,'caseload data'!$D:$D,"TPO",'caseload data'!$C:$C,'custody caseload'!$T$78,'caseload data'!$B:$B,"custody")</f>
        <v>0</v>
      </c>
      <c r="AA82" s="145">
        <f>SUMIFS('caseload data'!K:K,'caseload data'!$D:$D,"TPO",'caseload data'!$C:$C,'custody caseload'!$T$78,'caseload data'!$B:$B,"custody")</f>
        <v>0</v>
      </c>
      <c r="AB82" s="145">
        <f>SUMIFS('caseload data'!L:L,'caseload data'!$D:$D,"TPO",'caseload data'!$C:$C,'custody caseload'!$T$78,'caseload data'!$B:$B,"custody")</f>
        <v>0</v>
      </c>
      <c r="AC82" s="94">
        <f>SUMIFS('caseload data'!M:M,'caseload data'!$D:$D,"TPO",'caseload data'!$C:$C,'custody caseload'!$T$78,'caseload data'!$B:$B,"custody")</f>
        <v>0</v>
      </c>
      <c r="AD82" s="94">
        <f>SUMIFS('caseload data'!N:N,'caseload data'!$D:$D,"TPO",'caseload data'!$C:$C,'custody caseload'!$T$78,'caseload data'!$B:$B,"custody")</f>
        <v>0</v>
      </c>
      <c r="AE82" s="94">
        <f>SUMIFS('caseload data'!O:O,'caseload data'!$D:$D,"TPO",'caseload data'!$C:$C,'custody caseload'!$T$78,'caseload data'!$B:$B,"custody")</f>
        <v>0</v>
      </c>
      <c r="AF82" s="94">
        <f>SUMIFS('caseload data'!P:P,'caseload data'!$D:$D,"TPO",'caseload data'!$C:$C,'custody caseload'!$T$78,'caseload data'!$B:$B,"custody")</f>
        <v>0</v>
      </c>
      <c r="AG82" s="94">
        <f>SUMIFS('caseload data'!Q:Q,'caseload data'!$D:$D,"TPO",'caseload data'!$C:$C,'custody caseload'!$T$78,'caseload data'!$B:$B,"custody")</f>
        <v>0</v>
      </c>
      <c r="AH82" s="94">
        <f>SUMIFS('caseload data'!R:R,'caseload data'!$D:$D,"TPO",'caseload data'!$C:$C,'custody caseload'!$T$78,'caseload data'!$B:$B,"custody")</f>
        <v>0</v>
      </c>
      <c r="AI82" s="94">
        <f>SUMIFS('caseload data'!S:S,'caseload data'!$D:$D,"TPO",'caseload data'!$C:$C,'custody caseload'!$T$78,'caseload data'!$B:$B,"custody")</f>
        <v>0</v>
      </c>
      <c r="AJ82" s="94">
        <f>SUMIFS('caseload data'!T:T,'caseload data'!$D:$D,"TPO",'caseload data'!$C:$C,'custody caseload'!$T$78,'caseload data'!$B:$B,"custody")</f>
        <v>0</v>
      </c>
    </row>
    <row r="83" spans="2:36" x14ac:dyDescent="0.15">
      <c r="B83" s="98" t="s">
        <v>1004</v>
      </c>
      <c r="C83" s="94">
        <f>SUMIFS('caseload data'!E:E,'caseload data'!$D:$D,"SPO",'caseload data'!$C:$C,'custody caseload'!$B$78,'caseload data'!$B:$B,"custody")</f>
        <v>0</v>
      </c>
      <c r="D83" s="94">
        <f>SUMIFS('caseload data'!F:F,'caseload data'!$D:$D,"SPO",'caseload data'!$C:$C,'custody caseload'!$B$78,'caseload data'!$B:$B,"custody")</f>
        <v>0</v>
      </c>
      <c r="E83" s="94">
        <f>SUMIFS('caseload data'!G:G,'caseload data'!$D:$D,"SPO",'caseload data'!$C:$C,'custody caseload'!$B$78,'caseload data'!$B:$B,"custody")</f>
        <v>0</v>
      </c>
      <c r="F83" s="94">
        <f>SUMIFS('caseload data'!H:H,'caseload data'!$D:$D,"SPO",'caseload data'!$C:$C,'custody caseload'!$B$78,'caseload data'!$B:$B,"custody")</f>
        <v>0</v>
      </c>
      <c r="G83" s="94">
        <f>SUMIFS('caseload data'!I:I,'caseload data'!$D:$D,"SPO",'caseload data'!$C:$C,'custody caseload'!$B$78,'caseload data'!$B:$B,"custody")</f>
        <v>0</v>
      </c>
      <c r="H83" s="94">
        <f>SUMIFS('caseload data'!J:J,'caseload data'!$D:$D,"SPO",'caseload data'!$C:$C,'custody caseload'!$B$78,'caseload data'!$B:$B,"custody")</f>
        <v>0</v>
      </c>
      <c r="I83" s="94">
        <f>SUMIFS('caseload data'!K:K,'caseload data'!$D:$D,"SPO",'caseload data'!$C:$C,'custody caseload'!$B$78,'caseload data'!$B:$B,"custody")</f>
        <v>0</v>
      </c>
      <c r="J83" s="94">
        <f>SUMIFS('caseload data'!L:L,'caseload data'!$D:$D,"SPO",'caseload data'!$C:$C,'custody caseload'!$B$78,'caseload data'!$B:$B,"custody")</f>
        <v>0</v>
      </c>
      <c r="K83" s="94">
        <f>SUMIFS('caseload data'!M:M,'caseload data'!$D:$D,"SPO",'caseload data'!$C:$C,'custody caseload'!$B$78,'caseload data'!$B:$B,"custody")</f>
        <v>0</v>
      </c>
      <c r="L83" s="94">
        <f>SUMIFS('caseload data'!N:N,'caseload data'!$D:$D,"SPO",'caseload data'!$C:$C,'custody caseload'!$B$78,'caseload data'!$B:$B,"custody")</f>
        <v>0</v>
      </c>
      <c r="M83" s="94">
        <f>SUMIFS('caseload data'!O:O,'caseload data'!$D:$D,"SPO",'caseload data'!$C:$C,'custody caseload'!$B$78,'caseload data'!$B:$B,"custody")</f>
        <v>0</v>
      </c>
      <c r="N83" s="94">
        <f>SUMIFS('caseload data'!P:P,'caseload data'!$D:$D,"SPO",'caseload data'!$C:$C,'custody caseload'!$B$78,'caseload data'!$B:$B,"custody")</f>
        <v>0</v>
      </c>
      <c r="O83" s="94">
        <f>SUMIFS('caseload data'!Q:Q,'caseload data'!$D:$D,"SPO",'caseload data'!$C:$C,'custody caseload'!$B$78,'caseload data'!$B:$B,"custody")</f>
        <v>0</v>
      </c>
      <c r="P83" s="94">
        <f>SUMIFS('caseload data'!R:R,'caseload data'!$D:$D,"SPO",'caseload data'!$C:$C,'custody caseload'!$B$78,'caseload data'!$B:$B,"custody")</f>
        <v>0</v>
      </c>
      <c r="Q83" s="94">
        <f>SUMIFS('caseload data'!S:S,'caseload data'!$D:$D,"SPO",'caseload data'!$C:$C,'custody caseload'!$B$78,'caseload data'!$B:$B,"custody")</f>
        <v>0</v>
      </c>
      <c r="R83" s="94">
        <f>SUMIFS('caseload data'!T:T,'caseload data'!$D:$D,"SPO",'caseload data'!$C:$C,'custody caseload'!$B$78,'caseload data'!$B:$B,"custody")</f>
        <v>0</v>
      </c>
      <c r="T83" s="98" t="s">
        <v>1004</v>
      </c>
      <c r="U83" s="94">
        <f>SUMIFS('caseload data'!E:E,'caseload data'!$D:$D,"SPO",'caseload data'!$C:$C,'custody caseload'!$T$78,'caseload data'!$B:$B,"custody")</f>
        <v>0</v>
      </c>
      <c r="V83" s="94">
        <f>SUMIFS('caseload data'!F:F,'caseload data'!$D:$D,"SPO",'caseload data'!$C:$C,'custody caseload'!$T$78,'caseload data'!$B:$B,"custody")</f>
        <v>0</v>
      </c>
      <c r="W83" s="94">
        <f>SUMIFS('caseload data'!G:G,'caseload data'!$D:$D,"SPO",'caseload data'!$C:$C,'custody caseload'!$T$78,'caseload data'!$B:$B,"custody")</f>
        <v>0</v>
      </c>
      <c r="X83" s="94">
        <f>SUMIFS('caseload data'!H:H,'caseload data'!$D:$D,"SPO",'caseload data'!$C:$C,'custody caseload'!$T$78,'caseload data'!$B:$B,"custody")</f>
        <v>0</v>
      </c>
      <c r="Y83" s="94">
        <f>SUMIFS('caseload data'!I:I,'caseload data'!$D:$D,"SPO",'caseload data'!$C:$C,'custody caseload'!$T$78,'caseload data'!$B:$B,"custody")</f>
        <v>0</v>
      </c>
      <c r="Z83" s="94">
        <f>SUMIFS('caseload data'!J:J,'caseload data'!$D:$D,"SPO",'caseload data'!$C:$C,'custody caseload'!$T$78,'caseload data'!$B:$B,"custody")</f>
        <v>0</v>
      </c>
      <c r="AA83" s="94">
        <f>SUMIFS('caseload data'!K:K,'caseload data'!$D:$D,"SPO",'caseload data'!$C:$C,'custody caseload'!$T$78,'caseload data'!$B:$B,"custody")</f>
        <v>0</v>
      </c>
      <c r="AB83" s="94">
        <f>SUMIFS('caseload data'!L:L,'caseload data'!$D:$D,"SPO",'caseload data'!$C:$C,'custody caseload'!$T$78,'caseload data'!$B:$B,"custody")</f>
        <v>0</v>
      </c>
      <c r="AC83" s="94">
        <f>SUMIFS('caseload data'!M:M,'caseload data'!$D:$D,"SPO",'caseload data'!$C:$C,'custody caseload'!$T$78,'caseload data'!$B:$B,"custody")</f>
        <v>0</v>
      </c>
      <c r="AD83" s="94">
        <f>SUMIFS('caseload data'!N:N,'caseload data'!$D:$D,"SPO",'caseload data'!$C:$C,'custody caseload'!$T$78,'caseload data'!$B:$B,"custody")</f>
        <v>0</v>
      </c>
      <c r="AE83" s="94">
        <f>SUMIFS('caseload data'!O:O,'caseload data'!$D:$D,"SPO",'caseload data'!$C:$C,'custody caseload'!$T$78,'caseload data'!$B:$B,"custody")</f>
        <v>0</v>
      </c>
      <c r="AF83" s="94">
        <f>SUMIFS('caseload data'!P:P,'caseload data'!$D:$D,"SPO",'caseload data'!$C:$C,'custody caseload'!$T$78,'caseload data'!$B:$B,"custody")</f>
        <v>0</v>
      </c>
      <c r="AG83" s="94">
        <f>SUMIFS('caseload data'!Q:Q,'caseload data'!$D:$D,"SPO",'caseload data'!$C:$C,'custody caseload'!$T$78,'caseload data'!$B:$B,"custody")</f>
        <v>0</v>
      </c>
      <c r="AH83" s="94">
        <f>SUMIFS('caseload data'!R:R,'caseload data'!$D:$D,"SPO",'caseload data'!$C:$C,'custody caseload'!$T$78,'caseload data'!$B:$B,"custody")</f>
        <v>0</v>
      </c>
      <c r="AI83" s="94">
        <f>SUMIFS('caseload data'!S:S,'caseload data'!$D:$D,"SPO",'caseload data'!$C:$C,'custody caseload'!$T$78,'caseload data'!$B:$B,"custody")</f>
        <v>0</v>
      </c>
      <c r="AJ83" s="94">
        <f>SUMIFS('caseload data'!T:T,'caseload data'!$D:$D,"SPO",'caseload data'!$C:$C,'custody caseload'!$T$78,'caseload data'!$B:$B,"custody")</f>
        <v>0</v>
      </c>
    </row>
    <row r="85" spans="2:36" ht="21.75" customHeight="1" x14ac:dyDescent="0.15">
      <c r="B85" s="142">
        <f>HLOOKUP($B$5,Region_Table,24,0)</f>
        <v>0</v>
      </c>
      <c r="C85" s="525" t="s">
        <v>1126</v>
      </c>
      <c r="D85" s="526"/>
      <c r="E85" s="526"/>
      <c r="F85" s="526"/>
      <c r="G85" s="526"/>
      <c r="H85" s="526"/>
      <c r="I85" s="526"/>
      <c r="J85" s="526"/>
      <c r="K85" s="526"/>
      <c r="L85" s="526"/>
      <c r="M85" s="535"/>
      <c r="N85" s="535"/>
      <c r="O85" s="536"/>
      <c r="P85" s="512">
        <f>SUMIFS('caseload data'!V:V,'caseload data'!B:B,"custody",'caseload data'!$C:$C,'custody caseload'!B85)</f>
        <v>0</v>
      </c>
      <c r="Q85" s="529"/>
      <c r="R85" s="530"/>
      <c r="T85" s="142">
        <f>HLOOKUP($B$5,Region_Table,25,0)</f>
        <v>0</v>
      </c>
      <c r="U85" s="525" t="s">
        <v>1126</v>
      </c>
      <c r="V85" s="526"/>
      <c r="W85" s="526"/>
      <c r="X85" s="526"/>
      <c r="Y85" s="526"/>
      <c r="Z85" s="526"/>
      <c r="AA85" s="526"/>
      <c r="AB85" s="526"/>
      <c r="AC85" s="526"/>
      <c r="AD85" s="526"/>
      <c r="AE85" s="535"/>
      <c r="AF85" s="535"/>
      <c r="AG85" s="536"/>
      <c r="AH85" s="512">
        <f>SUMIFS('caseload data'!V:V,'caseload data'!B:B,"custody",'caseload data'!$C:$C,'custody caseload'!T85)</f>
        <v>0</v>
      </c>
      <c r="AI85" s="529"/>
      <c r="AJ85" s="530"/>
    </row>
    <row r="86" spans="2:36" x14ac:dyDescent="0.15">
      <c r="B86" s="95" t="s">
        <v>1001</v>
      </c>
      <c r="C86" s="38" t="s">
        <v>864</v>
      </c>
      <c r="D86" s="38" t="s">
        <v>865</v>
      </c>
      <c r="E86" s="38" t="s">
        <v>866</v>
      </c>
      <c r="F86" s="38" t="s">
        <v>867</v>
      </c>
      <c r="G86" s="38" t="s">
        <v>868</v>
      </c>
      <c r="H86" s="38" t="s">
        <v>869</v>
      </c>
      <c r="I86" s="38" t="s">
        <v>870</v>
      </c>
      <c r="J86" s="38" t="s">
        <v>871</v>
      </c>
      <c r="K86" s="38" t="s">
        <v>872</v>
      </c>
      <c r="L86" s="38" t="s">
        <v>873</v>
      </c>
      <c r="M86" s="38" t="s">
        <v>874</v>
      </c>
      <c r="N86" s="38" t="s">
        <v>875</v>
      </c>
      <c r="O86" s="38" t="s">
        <v>876</v>
      </c>
      <c r="P86" s="38" t="s">
        <v>877</v>
      </c>
      <c r="Q86" s="38" t="s">
        <v>878</v>
      </c>
      <c r="R86" s="38" t="s">
        <v>879</v>
      </c>
      <c r="T86" s="95" t="s">
        <v>1001</v>
      </c>
      <c r="U86" s="38" t="s">
        <v>864</v>
      </c>
      <c r="V86" s="38" t="s">
        <v>865</v>
      </c>
      <c r="W86" s="38" t="s">
        <v>866</v>
      </c>
      <c r="X86" s="38" t="s">
        <v>867</v>
      </c>
      <c r="Y86" s="38" t="s">
        <v>868</v>
      </c>
      <c r="Z86" s="38" t="s">
        <v>869</v>
      </c>
      <c r="AA86" s="38" t="s">
        <v>870</v>
      </c>
      <c r="AB86" s="38" t="s">
        <v>871</v>
      </c>
      <c r="AC86" s="38" t="s">
        <v>872</v>
      </c>
      <c r="AD86" s="38" t="s">
        <v>873</v>
      </c>
      <c r="AE86" s="38" t="s">
        <v>874</v>
      </c>
      <c r="AF86" s="38" t="s">
        <v>875</v>
      </c>
      <c r="AG86" s="38" t="s">
        <v>876</v>
      </c>
      <c r="AH86" s="38" t="s">
        <v>877</v>
      </c>
      <c r="AI86" s="38" t="s">
        <v>878</v>
      </c>
      <c r="AJ86" s="38" t="s">
        <v>879</v>
      </c>
    </row>
    <row r="87" spans="2:36" x14ac:dyDescent="0.15">
      <c r="B87" s="96" t="s">
        <v>997</v>
      </c>
      <c r="C87" s="94">
        <f>SUMIFS('caseload data'!E:E,'caseload data'!$D:$D,"PO",'caseload data'!$C:$C,'custody caseload'!$B$85,'caseload data'!$B:$B,"custody")</f>
        <v>0</v>
      </c>
      <c r="D87" s="94">
        <f>SUMIFS('caseload data'!F:F,'caseload data'!$D:$D,"PO",'caseload data'!$C:$C,'custody caseload'!$B$85,'caseload data'!$B:$B,"custody")</f>
        <v>0</v>
      </c>
      <c r="E87" s="94">
        <f>SUMIFS('caseload data'!G:G,'caseload data'!$D:$D,"PO",'caseload data'!$C:$C,'custody caseload'!$B$85,'caseload data'!$B:$B,"custody")</f>
        <v>0</v>
      </c>
      <c r="F87" s="94">
        <f>SUMIFS('caseload data'!H:H,'caseload data'!$D:$D,"PO",'caseload data'!$C:$C,'custody caseload'!$B$85,'caseload data'!$B:$B,"custody")</f>
        <v>0</v>
      </c>
      <c r="G87" s="94">
        <f>SUMIFS('caseload data'!I:I,'caseload data'!$D:$D,"PO",'caseload data'!$C:$C,'custody caseload'!$B$85,'caseload data'!$B:$B,"custody")</f>
        <v>0</v>
      </c>
      <c r="H87" s="94">
        <f>SUMIFS('caseload data'!J:J,'caseload data'!$D:$D,"PO",'caseload data'!$C:$C,'custody caseload'!$B$85,'caseload data'!$B:$B,"custody")</f>
        <v>0</v>
      </c>
      <c r="I87" s="94">
        <f>SUMIFS('caseload data'!K:K,'caseload data'!$D:$D,"PO",'caseload data'!$C:$C,'custody caseload'!$B$85,'caseload data'!$B:$B,"custody")</f>
        <v>0</v>
      </c>
      <c r="J87" s="94">
        <f>SUMIFS('caseload data'!L:L,'caseload data'!$D:$D,"PO",'caseload data'!$C:$C,'custody caseload'!$B$85,'caseload data'!$B:$B,"custody")</f>
        <v>0</v>
      </c>
      <c r="K87" s="94">
        <f>SUMIFS('caseload data'!M:M,'caseload data'!$D:$D,"PO",'caseload data'!$C:$C,'custody caseload'!$B$85,'caseload data'!$B:$B,"custody")</f>
        <v>0</v>
      </c>
      <c r="L87" s="94">
        <f>SUMIFS('caseload data'!N:N,'caseload data'!$D:$D,"PO",'caseload data'!$C:$C,'custody caseload'!$B$85,'caseload data'!$B:$B,"custody")</f>
        <v>0</v>
      </c>
      <c r="M87" s="94">
        <f>SUMIFS('caseload data'!O:O,'caseload data'!$D:$D,"PO",'caseload data'!$C:$C,'custody caseload'!$B$85,'caseload data'!$B:$B,"custody")</f>
        <v>0</v>
      </c>
      <c r="N87" s="94">
        <f>SUMIFS('caseload data'!P:P,'caseload data'!$D:$D,"PO",'caseload data'!$C:$C,'custody caseload'!$B$85,'caseload data'!$B:$B,"custody")</f>
        <v>0</v>
      </c>
      <c r="O87" s="94">
        <f>SUMIFS('caseload data'!Q:Q,'caseload data'!$D:$D,"PO",'caseload data'!$C:$C,'custody caseload'!$B$85,'caseload data'!$B:$B,"custody")</f>
        <v>0</v>
      </c>
      <c r="P87" s="94">
        <f>SUMIFS('caseload data'!R:R,'caseload data'!$D:$D,"PO",'caseload data'!$C:$C,'custody caseload'!$B$85,'caseload data'!$B:$B,"custody")</f>
        <v>0</v>
      </c>
      <c r="Q87" s="94">
        <f>SUMIFS('caseload data'!S:S,'caseload data'!$D:$D,"PO",'caseload data'!$C:$C,'custody caseload'!$B$85,'caseload data'!$B:$B,"custody")</f>
        <v>0</v>
      </c>
      <c r="R87" s="94">
        <f>SUMIFS('caseload data'!T:T,'caseload data'!$D:$D,"PO",'caseload data'!$C:$C,'custody caseload'!$B$85,'caseload data'!$B:$B,"custody")</f>
        <v>0</v>
      </c>
      <c r="T87" s="96" t="s">
        <v>997</v>
      </c>
      <c r="U87" s="94">
        <f>SUMIFS('caseload data'!E:E,'caseload data'!$D:$D,"PO",'caseload data'!$C:$C,'custody caseload'!$T$85,'caseload data'!$B:$B,"custody")</f>
        <v>0</v>
      </c>
      <c r="V87" s="94">
        <f>SUMIFS('caseload data'!F:F,'caseload data'!$D:$D,"PO",'caseload data'!$C:$C,'custody caseload'!$T$85,'caseload data'!$B:$B,"custody")</f>
        <v>0</v>
      </c>
      <c r="W87" s="94">
        <f>SUMIFS('caseload data'!G:G,'caseload data'!$D:$D,"PO",'caseload data'!$C:$C,'custody caseload'!$T$85,'caseload data'!$B:$B,"custody")</f>
        <v>0</v>
      </c>
      <c r="X87" s="94">
        <f>SUMIFS('caseload data'!H:H,'caseload data'!$D:$D,"PO",'caseload data'!$C:$C,'custody caseload'!$T$85,'caseload data'!$B:$B,"custody")</f>
        <v>0</v>
      </c>
      <c r="Y87" s="94">
        <f>SUMIFS('caseload data'!I:I,'caseload data'!$D:$D,"PO",'caseload data'!$C:$C,'custody caseload'!$T$85,'caseload data'!$B:$B,"custody")</f>
        <v>0</v>
      </c>
      <c r="Z87" s="94">
        <f>SUMIFS('caseload data'!J:J,'caseload data'!$D:$D,"PO",'caseload data'!$C:$C,'custody caseload'!$T$85,'caseload data'!$B:$B,"custody")</f>
        <v>0</v>
      </c>
      <c r="AA87" s="94">
        <f>SUMIFS('caseload data'!K:K,'caseload data'!$D:$D,"PO",'caseload data'!$C:$C,'custody caseload'!$T$85,'caseload data'!$B:$B,"custody")</f>
        <v>0</v>
      </c>
      <c r="AB87" s="94">
        <f>SUMIFS('caseload data'!L:L,'caseload data'!$D:$D,"PO",'caseload data'!$C:$C,'custody caseload'!$T$85,'caseload data'!$B:$B,"custody")</f>
        <v>0</v>
      </c>
      <c r="AC87" s="94">
        <f>SUMIFS('caseload data'!M:M,'caseload data'!$D:$D,"PO",'caseload data'!$C:$C,'custody caseload'!$T$85,'caseload data'!$B:$B,"custody")</f>
        <v>0</v>
      </c>
      <c r="AD87" s="94">
        <f>SUMIFS('caseload data'!N:N,'caseload data'!$D:$D,"PO",'caseload data'!$C:$C,'custody caseload'!$T$85,'caseload data'!$B:$B,"custody")</f>
        <v>0</v>
      </c>
      <c r="AE87" s="94">
        <f>SUMIFS('caseload data'!O:O,'caseload data'!$D:$D,"PO",'caseload data'!$C:$C,'custody caseload'!$T$85,'caseload data'!$B:$B,"custody")</f>
        <v>0</v>
      </c>
      <c r="AF87" s="94">
        <f>SUMIFS('caseload data'!P:P,'caseload data'!$D:$D,"PO",'caseload data'!$C:$C,'custody caseload'!$T$85,'caseload data'!$B:$B,"custody")</f>
        <v>0</v>
      </c>
      <c r="AG87" s="94">
        <f>SUMIFS('caseload data'!Q:Q,'caseload data'!$D:$D,"PO",'caseload data'!$C:$C,'custody caseload'!$T$85,'caseload data'!$B:$B,"custody")</f>
        <v>0</v>
      </c>
      <c r="AH87" s="94">
        <f>SUMIFS('caseload data'!R:R,'caseload data'!$D:$D,"PO",'caseload data'!$C:$C,'custody caseload'!$T$85,'caseload data'!$B:$B,"custody")</f>
        <v>0</v>
      </c>
      <c r="AI87" s="94">
        <f>SUMIFS('caseload data'!S:S,'caseload data'!$D:$D,"PO",'caseload data'!$C:$C,'custody caseload'!$T$85,'caseload data'!$B:$B,"custody")</f>
        <v>0</v>
      </c>
      <c r="AJ87" s="94">
        <f>SUMIFS('caseload data'!T:T,'caseload data'!$D:$D,"PO",'caseload data'!$C:$C,'custody caseload'!$T$85,'caseload data'!$B:$B,"custody")</f>
        <v>0</v>
      </c>
    </row>
    <row r="88" spans="2:36" ht="15" x14ac:dyDescent="0.2">
      <c r="B88" s="97" t="s">
        <v>1002</v>
      </c>
      <c r="C88" s="145">
        <f>SUMIFS('caseload data'!E:E,'caseload data'!$D:$D,"PSO",'caseload data'!$C:$C,'custody caseload'!$B$85,'caseload data'!$B:$B,"custody")</f>
        <v>0</v>
      </c>
      <c r="D88" s="145">
        <f>SUMIFS('caseload data'!F:F,'caseload data'!$D:$D,"PSO",'caseload data'!$C:$C,'custody caseload'!$B$85,'caseload data'!$B:$B,"custody")</f>
        <v>0</v>
      </c>
      <c r="E88" s="145">
        <f>SUMIFS('caseload data'!G:G,'caseload data'!$D:$D,"PSO",'caseload data'!$C:$C,'custody caseload'!$B$85,'caseload data'!$B:$B,"custody")</f>
        <v>0</v>
      </c>
      <c r="F88" s="145">
        <f>SUMIFS('caseload data'!H:H,'caseload data'!$D:$D,"PSO",'caseload data'!$C:$C,'custody caseload'!$B$85,'caseload data'!$B:$B,"custody")</f>
        <v>0</v>
      </c>
      <c r="G88" s="145">
        <f>SUMIFS('caseload data'!I:I,'caseload data'!$D:$D,"PSO",'caseload data'!$C:$C,'custody caseload'!$B$85,'caseload data'!$B:$B,"custody")</f>
        <v>0</v>
      </c>
      <c r="H88" s="145">
        <f>SUMIFS('caseload data'!J:J,'caseload data'!$D:$D,"PSO",'caseload data'!$C:$C,'custody caseload'!$B$85,'caseload data'!$B:$B,"custody")</f>
        <v>0</v>
      </c>
      <c r="I88" s="145">
        <f>SUMIFS('caseload data'!K:K,'caseload data'!$D:$D,"PSO",'caseload data'!$C:$C,'custody caseload'!$B$85,'caseload data'!$B:$B,"custody")</f>
        <v>0</v>
      </c>
      <c r="J88" s="145">
        <f>SUMIFS('caseload data'!L:L,'caseload data'!$D:$D,"PSO",'caseload data'!$C:$C,'custody caseload'!$B$85,'caseload data'!$B:$B,"custody")</f>
        <v>0</v>
      </c>
      <c r="K88" s="94">
        <f>SUMIFS('caseload data'!M:M,'caseload data'!$D:$D,"PSO",'caseload data'!$C:$C,'custody caseload'!$B$85,'caseload data'!$B:$B,"custody")</f>
        <v>0</v>
      </c>
      <c r="L88" s="94">
        <f>SUMIFS('caseload data'!N:N,'caseload data'!$D:$D,"PSO",'caseload data'!$C:$C,'custody caseload'!$B$85,'caseload data'!$B:$B,"custody")</f>
        <v>0</v>
      </c>
      <c r="M88" s="94">
        <f>SUMIFS('caseload data'!O:O,'caseload data'!$D:$D,"PSO",'caseload data'!$C:$C,'custody caseload'!$B$85,'caseload data'!$B:$B,"custody")</f>
        <v>0</v>
      </c>
      <c r="N88" s="94">
        <f>SUMIFS('caseload data'!P:P,'caseload data'!$D:$D,"PSO",'caseload data'!$C:$C,'custody caseload'!$B$85,'caseload data'!$B:$B,"custody")</f>
        <v>0</v>
      </c>
      <c r="O88" s="94">
        <f>SUMIFS('caseload data'!Q:Q,'caseload data'!$D:$D,"PSO",'caseload data'!$C:$C,'custody caseload'!$B$85,'caseload data'!$B:$B,"custody")</f>
        <v>0</v>
      </c>
      <c r="P88" s="94">
        <f>SUMIFS('caseload data'!R:R,'caseload data'!$D:$D,"PSO",'caseload data'!$C:$C,'custody caseload'!$B$85,'caseload data'!$B:$B,"custody")</f>
        <v>0</v>
      </c>
      <c r="Q88" s="94">
        <f>SUMIFS('caseload data'!S:S,'caseload data'!$D:$D,"PSO",'caseload data'!$C:$C,'custody caseload'!$B$85,'caseload data'!$B:$B,"custody")</f>
        <v>0</v>
      </c>
      <c r="R88" s="94">
        <f>SUMIFS('caseload data'!T:T,'caseload data'!$D:$D,"PSO",'caseload data'!$C:$C,'custody caseload'!$B$85,'caseload data'!$B:$B,"custody")</f>
        <v>0</v>
      </c>
      <c r="T88" s="97" t="s">
        <v>1002</v>
      </c>
      <c r="U88" s="145">
        <f>SUMIFS('caseload data'!E:E,'caseload data'!$D:$D,"PSO",'caseload data'!$C:$C,'custody caseload'!$T$85,'caseload data'!$B:$B,"custody")</f>
        <v>0</v>
      </c>
      <c r="V88" s="145">
        <f>SUMIFS('caseload data'!F:F,'caseload data'!$D:$D,"PSO",'caseload data'!$C:$C,'custody caseload'!$T$85,'caseload data'!$B:$B,"custody")</f>
        <v>0</v>
      </c>
      <c r="W88" s="145">
        <f>SUMIFS('caseload data'!G:G,'caseload data'!$D:$D,"PSO",'caseload data'!$C:$C,'custody caseload'!$T$85,'caseload data'!$B:$B,"custody")</f>
        <v>0</v>
      </c>
      <c r="X88" s="145">
        <f>SUMIFS('caseload data'!H:H,'caseload data'!$D:$D,"PSO",'caseload data'!$C:$C,'custody caseload'!$T$85,'caseload data'!$B:$B,"custody")</f>
        <v>0</v>
      </c>
      <c r="Y88" s="145">
        <f>SUMIFS('caseload data'!I:I,'caseload data'!$D:$D,"PSO",'caseload data'!$C:$C,'custody caseload'!$T$85,'caseload data'!$B:$B,"custody")</f>
        <v>0</v>
      </c>
      <c r="Z88" s="145">
        <f>SUMIFS('caseload data'!J:J,'caseload data'!$D:$D,"PSO",'caseload data'!$C:$C,'custody caseload'!$T$85,'caseload data'!$B:$B,"custody")</f>
        <v>0</v>
      </c>
      <c r="AA88" s="145">
        <f>SUMIFS('caseload data'!K:K,'caseload data'!$D:$D,"PSO",'caseload data'!$C:$C,'custody caseload'!$T$85,'caseload data'!$B:$B,"custody")</f>
        <v>0</v>
      </c>
      <c r="AB88" s="145">
        <f>SUMIFS('caseload data'!L:L,'caseload data'!$D:$D,"PSO",'caseload data'!$C:$C,'custody caseload'!$T$85,'caseload data'!$B:$B,"custody")</f>
        <v>0</v>
      </c>
      <c r="AC88" s="94">
        <f>SUMIFS('caseload data'!M:M,'caseload data'!$D:$D,"PSO",'caseload data'!$C:$C,'custody caseload'!$T$85,'caseload data'!$B:$B,"custody")</f>
        <v>0</v>
      </c>
      <c r="AD88" s="94">
        <f>SUMIFS('caseload data'!N:N,'caseload data'!$D:$D,"PSO",'caseload data'!$C:$C,'custody caseload'!$T$85,'caseload data'!$B:$B,"custody")</f>
        <v>0</v>
      </c>
      <c r="AE88" s="94">
        <f>SUMIFS('caseload data'!O:O,'caseload data'!$D:$D,"PSO",'caseload data'!$C:$C,'custody caseload'!$T$85,'caseload data'!$B:$B,"custody")</f>
        <v>0</v>
      </c>
      <c r="AF88" s="94">
        <f>SUMIFS('caseload data'!P:P,'caseload data'!$D:$D,"PSO",'caseload data'!$C:$C,'custody caseload'!$T$85,'caseload data'!$B:$B,"custody")</f>
        <v>0</v>
      </c>
      <c r="AG88" s="94">
        <f>SUMIFS('caseload data'!Q:Q,'caseload data'!$D:$D,"PSO",'caseload data'!$C:$C,'custody caseload'!$T$85,'caseload data'!$B:$B,"custody")</f>
        <v>0</v>
      </c>
      <c r="AH88" s="94">
        <f>SUMIFS('caseload data'!R:R,'caseload data'!$D:$D,"PSO",'caseload data'!$C:$C,'custody caseload'!$T$85,'caseload data'!$B:$B,"custody")</f>
        <v>0</v>
      </c>
      <c r="AI88" s="94">
        <f>SUMIFS('caseload data'!S:S,'caseload data'!$D:$D,"PSO",'caseload data'!$C:$C,'custody caseload'!$T$85,'caseload data'!$B:$B,"custody")</f>
        <v>0</v>
      </c>
      <c r="AJ88" s="94">
        <f>SUMIFS('caseload data'!T:T,'caseload data'!$D:$D,"PSO",'caseload data'!$C:$C,'custody caseload'!$T$85,'caseload data'!$B:$B,"custody")</f>
        <v>0</v>
      </c>
    </row>
    <row r="89" spans="2:36" ht="15" x14ac:dyDescent="0.2">
      <c r="B89" s="97" t="s">
        <v>1003</v>
      </c>
      <c r="C89" s="145">
        <f>SUMIFS('caseload data'!E:E,'caseload data'!$D:$D,"TPO",'caseload data'!$C:$C,'custody caseload'!$B$85,'caseload data'!$B:$B,"custody")</f>
        <v>0</v>
      </c>
      <c r="D89" s="145">
        <f>SUMIFS('caseload data'!F:F,'caseload data'!$D:$D,"TPO",'caseload data'!$C:$C,'custody caseload'!$B$85,'caseload data'!$B:$B,"custody")</f>
        <v>0</v>
      </c>
      <c r="E89" s="145">
        <f>SUMIFS('caseload data'!G:G,'caseload data'!$D:$D,"TPO",'caseload data'!$C:$C,'custody caseload'!$B$85,'caseload data'!$B:$B,"custody")</f>
        <v>0</v>
      </c>
      <c r="F89" s="145">
        <f>SUMIFS('caseload data'!H:H,'caseload data'!$D:$D,"TPO",'caseload data'!$C:$C,'custody caseload'!$B$85,'caseload data'!$B:$B,"custody")</f>
        <v>0</v>
      </c>
      <c r="G89" s="145">
        <f>SUMIFS('caseload data'!I:I,'caseload data'!$D:$D,"TPO",'caseload data'!$C:$C,'custody caseload'!$B$85,'caseload data'!$B:$B,"custody")</f>
        <v>0</v>
      </c>
      <c r="H89" s="145">
        <f>SUMIFS('caseload data'!J:J,'caseload data'!$D:$D,"TPO",'caseload data'!$C:$C,'custody caseload'!$B$85,'caseload data'!$B:$B,"custody")</f>
        <v>0</v>
      </c>
      <c r="I89" s="145">
        <f>SUMIFS('caseload data'!K:K,'caseload data'!$D:$D,"TPO",'caseload data'!$C:$C,'custody caseload'!$B$85,'caseload data'!$B:$B,"custody")</f>
        <v>0</v>
      </c>
      <c r="J89" s="145">
        <f>SUMIFS('caseload data'!L:L,'caseload data'!$D:$D,"TPO",'caseload data'!$C:$C,'custody caseload'!$B$85,'caseload data'!$B:$B,"custody")</f>
        <v>0</v>
      </c>
      <c r="K89" s="94">
        <f>SUMIFS('caseload data'!M:M,'caseload data'!$D:$D,"TPO",'caseload data'!$C:$C,'custody caseload'!$B$85,'caseload data'!$B:$B,"custody")</f>
        <v>0</v>
      </c>
      <c r="L89" s="94">
        <f>SUMIFS('caseload data'!N:N,'caseload data'!$D:$D,"TPO",'caseload data'!$C:$C,'custody caseload'!$B$85,'caseload data'!$B:$B,"custody")</f>
        <v>0</v>
      </c>
      <c r="M89" s="94">
        <f>SUMIFS('caseload data'!O:O,'caseload data'!$D:$D,"TPO",'caseload data'!$C:$C,'custody caseload'!$B$85,'caseload data'!$B:$B,"custody")</f>
        <v>0</v>
      </c>
      <c r="N89" s="94">
        <f>SUMIFS('caseload data'!P:P,'caseload data'!$D:$D,"TPO",'caseload data'!$C:$C,'custody caseload'!$B$85,'caseload data'!$B:$B,"custody")</f>
        <v>0</v>
      </c>
      <c r="O89" s="94">
        <f>SUMIFS('caseload data'!Q:Q,'caseload data'!$D:$D,"TPO",'caseload data'!$C:$C,'custody caseload'!$B$85,'caseload data'!$B:$B,"custody")</f>
        <v>0</v>
      </c>
      <c r="P89" s="94">
        <f>SUMIFS('caseload data'!R:R,'caseload data'!$D:$D,"TPO",'caseload data'!$C:$C,'custody caseload'!$B$85,'caseload data'!$B:$B,"custody")</f>
        <v>0</v>
      </c>
      <c r="Q89" s="94">
        <f>SUMIFS('caseload data'!S:S,'caseload data'!$D:$D,"TPO",'caseload data'!$C:$C,'custody caseload'!$B$85,'caseload data'!$B:$B,"custody")</f>
        <v>0</v>
      </c>
      <c r="R89" s="94">
        <f>SUMIFS('caseload data'!T:T,'caseload data'!$D:$D,"TPO",'caseload data'!$C:$C,'custody caseload'!$B$85,'caseload data'!$B:$B,"custody")</f>
        <v>0</v>
      </c>
      <c r="T89" s="97" t="s">
        <v>1003</v>
      </c>
      <c r="U89" s="145">
        <f>SUMIFS('caseload data'!E:E,'caseload data'!$D:$D,"TPO",'caseload data'!$C:$C,'custody caseload'!$T$85,'caseload data'!$B:$B,"custody")</f>
        <v>0</v>
      </c>
      <c r="V89" s="145">
        <f>SUMIFS('caseload data'!F:F,'caseload data'!$D:$D,"TPO",'caseload data'!$C:$C,'custody caseload'!$T$85,'caseload data'!$B:$B,"custody")</f>
        <v>0</v>
      </c>
      <c r="W89" s="145">
        <f>SUMIFS('caseload data'!G:G,'caseload data'!$D:$D,"TPO",'caseload data'!$C:$C,'custody caseload'!$T$85,'caseload data'!$B:$B,"custody")</f>
        <v>0</v>
      </c>
      <c r="X89" s="145">
        <f>SUMIFS('caseload data'!H:H,'caseload data'!$D:$D,"TPO",'caseload data'!$C:$C,'custody caseload'!$T$85,'caseload data'!$B:$B,"custody")</f>
        <v>0</v>
      </c>
      <c r="Y89" s="145">
        <f>SUMIFS('caseload data'!I:I,'caseload data'!$D:$D,"TPO",'caseload data'!$C:$C,'custody caseload'!$T$85,'caseload data'!$B:$B,"custody")</f>
        <v>0</v>
      </c>
      <c r="Z89" s="145">
        <f>SUMIFS('caseload data'!J:J,'caseload data'!$D:$D,"TPO",'caseload data'!$C:$C,'custody caseload'!$T$85,'caseload data'!$B:$B,"custody")</f>
        <v>0</v>
      </c>
      <c r="AA89" s="145">
        <f>SUMIFS('caseload data'!K:K,'caseload data'!$D:$D,"TPO",'caseload data'!$C:$C,'custody caseload'!$T$85,'caseload data'!$B:$B,"custody")</f>
        <v>0</v>
      </c>
      <c r="AB89" s="145">
        <f>SUMIFS('caseload data'!L:L,'caseload data'!$D:$D,"TPO",'caseload data'!$C:$C,'custody caseload'!$T$85,'caseload data'!$B:$B,"custody")</f>
        <v>0</v>
      </c>
      <c r="AC89" s="94">
        <f>SUMIFS('caseload data'!M:M,'caseload data'!$D:$D,"TPO",'caseload data'!$C:$C,'custody caseload'!$T$85,'caseload data'!$B:$B,"custody")</f>
        <v>0</v>
      </c>
      <c r="AD89" s="94">
        <f>SUMIFS('caseload data'!N:N,'caseload data'!$D:$D,"TPO",'caseload data'!$C:$C,'custody caseload'!$T$85,'caseload data'!$B:$B,"custody")</f>
        <v>0</v>
      </c>
      <c r="AE89" s="94">
        <f>SUMIFS('caseload data'!O:O,'caseload data'!$D:$D,"TPO",'caseload data'!$C:$C,'custody caseload'!$T$85,'caseload data'!$B:$B,"custody")</f>
        <v>0</v>
      </c>
      <c r="AF89" s="94">
        <f>SUMIFS('caseload data'!P:P,'caseload data'!$D:$D,"TPO",'caseload data'!$C:$C,'custody caseload'!$T$85,'caseload data'!$B:$B,"custody")</f>
        <v>0</v>
      </c>
      <c r="AG89" s="94">
        <f>SUMIFS('caseload data'!Q:Q,'caseload data'!$D:$D,"TPO",'caseload data'!$C:$C,'custody caseload'!$T$85,'caseload data'!$B:$B,"custody")</f>
        <v>0</v>
      </c>
      <c r="AH89" s="94">
        <f>SUMIFS('caseload data'!R:R,'caseload data'!$D:$D,"TPO",'caseload data'!$C:$C,'custody caseload'!$T$85,'caseload data'!$B:$B,"custody")</f>
        <v>0</v>
      </c>
      <c r="AI89" s="94">
        <f>SUMIFS('caseload data'!S:S,'caseload data'!$D:$D,"TPO",'caseload data'!$C:$C,'custody caseload'!$T$85,'caseload data'!$B:$B,"custody")</f>
        <v>0</v>
      </c>
      <c r="AJ89" s="94">
        <f>SUMIFS('caseload data'!T:T,'caseload data'!$D:$D,"TPO",'caseload data'!$C:$C,'custody caseload'!$T$85,'caseload data'!$B:$B,"custody")</f>
        <v>0</v>
      </c>
    </row>
    <row r="90" spans="2:36" x14ac:dyDescent="0.15">
      <c r="B90" s="98" t="s">
        <v>1004</v>
      </c>
      <c r="C90" s="94">
        <f>SUMIFS('caseload data'!E:E,'caseload data'!$D:$D,"SPO",'caseload data'!$C:$C,'custody caseload'!$B$85,'caseload data'!$B:$B,"custody")</f>
        <v>0</v>
      </c>
      <c r="D90" s="94">
        <f>SUMIFS('caseload data'!F:F,'caseload data'!$D:$D,"SPO",'caseload data'!$C:$C,'custody caseload'!$B$85,'caseload data'!$B:$B,"custody")</f>
        <v>0</v>
      </c>
      <c r="E90" s="94">
        <f>SUMIFS('caseload data'!G:G,'caseload data'!$D:$D,"SPO",'caseload data'!$C:$C,'custody caseload'!$B$85,'caseload data'!$B:$B,"custody")</f>
        <v>0</v>
      </c>
      <c r="F90" s="94">
        <f>SUMIFS('caseload data'!H:H,'caseload data'!$D:$D,"SPO",'caseload data'!$C:$C,'custody caseload'!$B$85,'caseload data'!$B:$B,"custody")</f>
        <v>0</v>
      </c>
      <c r="G90" s="94">
        <f>SUMIFS('caseload data'!I:I,'caseload data'!$D:$D,"SPO",'caseload data'!$C:$C,'custody caseload'!$B$85,'caseload data'!$B:$B,"custody")</f>
        <v>0</v>
      </c>
      <c r="H90" s="94">
        <f>SUMIFS('caseload data'!J:J,'caseload data'!$D:$D,"SPO",'caseload data'!$C:$C,'custody caseload'!$B$85,'caseload data'!$B:$B,"custody")</f>
        <v>0</v>
      </c>
      <c r="I90" s="94">
        <f>SUMIFS('caseload data'!K:K,'caseload data'!$D:$D,"SPO",'caseload data'!$C:$C,'custody caseload'!$B$85,'caseload data'!$B:$B,"custody")</f>
        <v>0</v>
      </c>
      <c r="J90" s="94">
        <f>SUMIFS('caseload data'!L:L,'caseload data'!$D:$D,"SPO",'caseload data'!$C:$C,'custody caseload'!$B$85,'caseload data'!$B:$B,"custody")</f>
        <v>0</v>
      </c>
      <c r="K90" s="94">
        <f>SUMIFS('caseload data'!M:M,'caseload data'!$D:$D,"SPO",'caseload data'!$C:$C,'custody caseload'!$B$85,'caseload data'!$B:$B,"custody")</f>
        <v>0</v>
      </c>
      <c r="L90" s="94">
        <f>SUMIFS('caseload data'!N:N,'caseload data'!$D:$D,"SPO",'caseload data'!$C:$C,'custody caseload'!$B$85,'caseload data'!$B:$B,"custody")</f>
        <v>0</v>
      </c>
      <c r="M90" s="94">
        <f>SUMIFS('caseload data'!O:O,'caseload data'!$D:$D,"SPO",'caseload data'!$C:$C,'custody caseload'!$B$85,'caseload data'!$B:$B,"custody")</f>
        <v>0</v>
      </c>
      <c r="N90" s="94">
        <f>SUMIFS('caseload data'!P:P,'caseload data'!$D:$D,"SPO",'caseload data'!$C:$C,'custody caseload'!$B$85,'caseload data'!$B:$B,"custody")</f>
        <v>0</v>
      </c>
      <c r="O90" s="94">
        <f>SUMIFS('caseload data'!Q:Q,'caseload data'!$D:$D,"SPO",'caseload data'!$C:$C,'custody caseload'!$B$85,'caseload data'!$B:$B,"custody")</f>
        <v>0</v>
      </c>
      <c r="P90" s="94">
        <f>SUMIFS('caseload data'!R:R,'caseload data'!$D:$D,"SPO",'caseload data'!$C:$C,'custody caseload'!$B$85,'caseload data'!$B:$B,"custody")</f>
        <v>0</v>
      </c>
      <c r="Q90" s="94">
        <f>SUMIFS('caseload data'!S:S,'caseload data'!$D:$D,"SPO",'caseload data'!$C:$C,'custody caseload'!$B$85,'caseload data'!$B:$B,"custody")</f>
        <v>0</v>
      </c>
      <c r="R90" s="94">
        <f>SUMIFS('caseload data'!T:T,'caseload data'!$D:$D,"SPO",'caseload data'!$C:$C,'custody caseload'!$B$85,'caseload data'!$B:$B,"custody")</f>
        <v>0</v>
      </c>
      <c r="T90" s="98" t="s">
        <v>1004</v>
      </c>
      <c r="U90" s="94">
        <f>SUMIFS('caseload data'!E:E,'caseload data'!$D:$D,"SPO",'caseload data'!$C:$C,'custody caseload'!$T$85,'caseload data'!$B:$B,"custody")</f>
        <v>0</v>
      </c>
      <c r="V90" s="94">
        <f>SUMIFS('caseload data'!F:F,'caseload data'!$D:$D,"SPO",'caseload data'!$C:$C,'custody caseload'!$T$85,'caseload data'!$B:$B,"custody")</f>
        <v>0</v>
      </c>
      <c r="W90" s="94">
        <f>SUMIFS('caseload data'!G:G,'caseload data'!$D:$D,"SPO",'caseload data'!$C:$C,'custody caseload'!$T$85,'caseload data'!$B:$B,"custody")</f>
        <v>0</v>
      </c>
      <c r="X90" s="94">
        <f>SUMIFS('caseload data'!H:H,'caseload data'!$D:$D,"SPO",'caseload data'!$C:$C,'custody caseload'!$T$85,'caseload data'!$B:$B,"custody")</f>
        <v>0</v>
      </c>
      <c r="Y90" s="94">
        <f>SUMIFS('caseload data'!I:I,'caseload data'!$D:$D,"SPO",'caseload data'!$C:$C,'custody caseload'!$T$85,'caseload data'!$B:$B,"custody")</f>
        <v>0</v>
      </c>
      <c r="Z90" s="94">
        <f>SUMIFS('caseload data'!J:J,'caseload data'!$D:$D,"SPO",'caseload data'!$C:$C,'custody caseload'!$T$85,'caseload data'!$B:$B,"custody")</f>
        <v>0</v>
      </c>
      <c r="AA90" s="94">
        <f>SUMIFS('caseload data'!K:K,'caseload data'!$D:$D,"SPO",'caseload data'!$C:$C,'custody caseload'!$T$85,'caseload data'!$B:$B,"custody")</f>
        <v>0</v>
      </c>
      <c r="AB90" s="94">
        <f>SUMIFS('caseload data'!L:L,'caseload data'!$D:$D,"SPO",'caseload data'!$C:$C,'custody caseload'!$T$85,'caseload data'!$B:$B,"custody")</f>
        <v>0</v>
      </c>
      <c r="AC90" s="94">
        <f>SUMIFS('caseload data'!M:M,'caseload data'!$D:$D,"SPO",'caseload data'!$C:$C,'custody caseload'!$T$85,'caseload data'!$B:$B,"custody")</f>
        <v>0</v>
      </c>
      <c r="AD90" s="94">
        <f>SUMIFS('caseload data'!N:N,'caseload data'!$D:$D,"SPO",'caseload data'!$C:$C,'custody caseload'!$T$85,'caseload data'!$B:$B,"custody")</f>
        <v>0</v>
      </c>
      <c r="AE90" s="94">
        <f>SUMIFS('caseload data'!O:O,'caseload data'!$D:$D,"SPO",'caseload data'!$C:$C,'custody caseload'!$T$85,'caseload data'!$B:$B,"custody")</f>
        <v>0</v>
      </c>
      <c r="AF90" s="94">
        <f>SUMIFS('caseload data'!P:P,'caseload data'!$D:$D,"SPO",'caseload data'!$C:$C,'custody caseload'!$T$85,'caseload data'!$B:$B,"custody")</f>
        <v>0</v>
      </c>
      <c r="AG90" s="94">
        <f>SUMIFS('caseload data'!Q:Q,'caseload data'!$D:$D,"SPO",'caseload data'!$C:$C,'custody caseload'!$T$85,'caseload data'!$B:$B,"custody")</f>
        <v>0</v>
      </c>
      <c r="AH90" s="94">
        <f>SUMIFS('caseload data'!R:R,'caseload data'!$D:$D,"SPO",'caseload data'!$C:$C,'custody caseload'!$T$85,'caseload data'!$B:$B,"custody")</f>
        <v>0</v>
      </c>
      <c r="AI90" s="94">
        <f>SUMIFS('caseload data'!S:S,'caseload data'!$D:$D,"SPO",'caseload data'!$C:$C,'custody caseload'!$T$85,'caseload data'!$B:$B,"custody")</f>
        <v>0</v>
      </c>
      <c r="AJ90" s="94">
        <f>SUMIFS('caseload data'!T:T,'caseload data'!$D:$D,"SPO",'caseload data'!$C:$C,'custody caseload'!$T$85,'caseload data'!$B:$B,"custody")</f>
        <v>0</v>
      </c>
    </row>
    <row r="92" spans="2:36" ht="21" customHeight="1" x14ac:dyDescent="0.15">
      <c r="B92" s="142">
        <f>HLOOKUP($B$5,Region_Table,26,0)</f>
        <v>0</v>
      </c>
      <c r="C92" s="525" t="s">
        <v>1126</v>
      </c>
      <c r="D92" s="526"/>
      <c r="E92" s="526"/>
      <c r="F92" s="526"/>
      <c r="G92" s="526"/>
      <c r="H92" s="526"/>
      <c r="I92" s="526"/>
      <c r="J92" s="526"/>
      <c r="K92" s="526"/>
      <c r="L92" s="526"/>
      <c r="M92" s="535"/>
      <c r="N92" s="535"/>
      <c r="O92" s="536"/>
      <c r="P92" s="512">
        <f>SUMIFS('caseload data'!V:V,'caseload data'!B:B,"custody",'caseload data'!$C:$C,'custody caseload'!B92)</f>
        <v>0</v>
      </c>
      <c r="Q92" s="529"/>
      <c r="R92" s="530"/>
      <c r="T92" s="142">
        <f>HLOOKUP($B$5,Region_Table,27,0)</f>
        <v>0</v>
      </c>
      <c r="U92" s="525" t="s">
        <v>1126</v>
      </c>
      <c r="V92" s="526"/>
      <c r="W92" s="526"/>
      <c r="X92" s="526"/>
      <c r="Y92" s="526"/>
      <c r="Z92" s="526"/>
      <c r="AA92" s="526"/>
      <c r="AB92" s="526"/>
      <c r="AC92" s="526"/>
      <c r="AD92" s="526"/>
      <c r="AE92" s="535"/>
      <c r="AF92" s="535"/>
      <c r="AG92" s="536"/>
      <c r="AH92" s="512">
        <f>SUMIFS('caseload data'!V:V,'caseload data'!B:B,"custody",'caseload data'!$C:$C,'custody caseload'!T92)</f>
        <v>0</v>
      </c>
      <c r="AI92" s="529"/>
      <c r="AJ92" s="530"/>
    </row>
    <row r="93" spans="2:36" x14ac:dyDescent="0.15">
      <c r="B93" s="95" t="s">
        <v>1001</v>
      </c>
      <c r="C93" s="38" t="s">
        <v>864</v>
      </c>
      <c r="D93" s="38" t="s">
        <v>865</v>
      </c>
      <c r="E93" s="38" t="s">
        <v>866</v>
      </c>
      <c r="F93" s="38" t="s">
        <v>867</v>
      </c>
      <c r="G93" s="38" t="s">
        <v>868</v>
      </c>
      <c r="H93" s="38" t="s">
        <v>869</v>
      </c>
      <c r="I93" s="38" t="s">
        <v>870</v>
      </c>
      <c r="J93" s="38" t="s">
        <v>871</v>
      </c>
      <c r="K93" s="38" t="s">
        <v>872</v>
      </c>
      <c r="L93" s="38" t="s">
        <v>873</v>
      </c>
      <c r="M93" s="38" t="s">
        <v>874</v>
      </c>
      <c r="N93" s="38" t="s">
        <v>875</v>
      </c>
      <c r="O93" s="38" t="s">
        <v>876</v>
      </c>
      <c r="P93" s="38" t="s">
        <v>877</v>
      </c>
      <c r="Q93" s="38" t="s">
        <v>878</v>
      </c>
      <c r="R93" s="38" t="s">
        <v>879</v>
      </c>
      <c r="T93" s="95" t="s">
        <v>1001</v>
      </c>
      <c r="U93" s="38" t="s">
        <v>864</v>
      </c>
      <c r="V93" s="38" t="s">
        <v>865</v>
      </c>
      <c r="W93" s="38" t="s">
        <v>866</v>
      </c>
      <c r="X93" s="38" t="s">
        <v>867</v>
      </c>
      <c r="Y93" s="38" t="s">
        <v>868</v>
      </c>
      <c r="Z93" s="38" t="s">
        <v>869</v>
      </c>
      <c r="AA93" s="38" t="s">
        <v>870</v>
      </c>
      <c r="AB93" s="38" t="s">
        <v>871</v>
      </c>
      <c r="AC93" s="38" t="s">
        <v>872</v>
      </c>
      <c r="AD93" s="38" t="s">
        <v>873</v>
      </c>
      <c r="AE93" s="38" t="s">
        <v>874</v>
      </c>
      <c r="AF93" s="38" t="s">
        <v>875</v>
      </c>
      <c r="AG93" s="38" t="s">
        <v>876</v>
      </c>
      <c r="AH93" s="38" t="s">
        <v>877</v>
      </c>
      <c r="AI93" s="38" t="s">
        <v>878</v>
      </c>
      <c r="AJ93" s="38" t="s">
        <v>879</v>
      </c>
    </row>
    <row r="94" spans="2:36" x14ac:dyDescent="0.15">
      <c r="B94" s="96" t="s">
        <v>997</v>
      </c>
      <c r="C94" s="94">
        <f>SUMIFS('caseload data'!E:E,'caseload data'!$D:$D,"PO",'caseload data'!$C:$C,'custody caseload'!$B$92,'caseload data'!$B:$B,"custody")</f>
        <v>0</v>
      </c>
      <c r="D94" s="94">
        <f>SUMIFS('caseload data'!F:F,'caseload data'!$D:$D,"PO",'caseload data'!$C:$C,'custody caseload'!$B$92,'caseload data'!$B:$B,"custody")</f>
        <v>0</v>
      </c>
      <c r="E94" s="94">
        <f>SUMIFS('caseload data'!G:G,'caseload data'!$D:$D,"PO",'caseload data'!$C:$C,'custody caseload'!$B$92,'caseload data'!$B:$B,"custody")</f>
        <v>0</v>
      </c>
      <c r="F94" s="94">
        <f>SUMIFS('caseload data'!H:H,'caseload data'!$D:$D,"PO",'caseload data'!$C:$C,'custody caseload'!$B$92,'caseload data'!$B:$B,"custody")</f>
        <v>0</v>
      </c>
      <c r="G94" s="94">
        <f>SUMIFS('caseload data'!I:I,'caseload data'!$D:$D,"PO",'caseload data'!$C:$C,'custody caseload'!$B$92,'caseload data'!$B:$B,"custody")</f>
        <v>0</v>
      </c>
      <c r="H94" s="94">
        <f>SUMIFS('caseload data'!J:J,'caseload data'!$D:$D,"PO",'caseload data'!$C:$C,'custody caseload'!$B$92,'caseload data'!$B:$B,"custody")</f>
        <v>0</v>
      </c>
      <c r="I94" s="94">
        <f>SUMIFS('caseload data'!K:K,'caseload data'!$D:$D,"PO",'caseload data'!$C:$C,'custody caseload'!$B$92,'caseload data'!$B:$B,"custody")</f>
        <v>0</v>
      </c>
      <c r="J94" s="94">
        <f>SUMIFS('caseload data'!L:L,'caseload data'!$D:$D,"PO",'caseload data'!$C:$C,'custody caseload'!$B$92,'caseload data'!$B:$B,"custody")</f>
        <v>0</v>
      </c>
      <c r="K94" s="94">
        <f>SUMIFS('caseload data'!M:M,'caseload data'!$D:$D,"PO",'caseload data'!$C:$C,'custody caseload'!$B$92,'caseload data'!$B:$B,"custody")</f>
        <v>0</v>
      </c>
      <c r="L94" s="94">
        <f>SUMIFS('caseload data'!N:N,'caseload data'!$D:$D,"PO",'caseload data'!$C:$C,'custody caseload'!$B$92,'caseload data'!$B:$B,"custody")</f>
        <v>0</v>
      </c>
      <c r="M94" s="94">
        <f>SUMIFS('caseload data'!O:O,'caseload data'!$D:$D,"PO",'caseload data'!$C:$C,'custody caseload'!$B$92,'caseload data'!$B:$B,"custody")</f>
        <v>0</v>
      </c>
      <c r="N94" s="94">
        <f>SUMIFS('caseload data'!P:P,'caseload data'!$D:$D,"PO",'caseload data'!$C:$C,'custody caseload'!$B$92,'caseload data'!$B:$B,"custody")</f>
        <v>0</v>
      </c>
      <c r="O94" s="94">
        <f>SUMIFS('caseload data'!Q:Q,'caseload data'!$D:$D,"PO",'caseload data'!$C:$C,'custody caseload'!$B$92,'caseload data'!$B:$B,"custody")</f>
        <v>0</v>
      </c>
      <c r="P94" s="94">
        <f>SUMIFS('caseload data'!R:R,'caseload data'!$D:$D,"PO",'caseload data'!$C:$C,'custody caseload'!$B$92,'caseload data'!$B:$B,"custody")</f>
        <v>0</v>
      </c>
      <c r="Q94" s="94">
        <f>SUMIFS('caseload data'!S:S,'caseload data'!$D:$D,"PO",'caseload data'!$C:$C,'custody caseload'!$B$92,'caseload data'!$B:$B,"custody")</f>
        <v>0</v>
      </c>
      <c r="R94" s="94">
        <f>SUMIFS('caseload data'!T:T,'caseload data'!$D:$D,"PO",'caseload data'!$C:$C,'custody caseload'!$B$92,'caseload data'!$B:$B,"custody")</f>
        <v>0</v>
      </c>
      <c r="T94" s="96" t="s">
        <v>997</v>
      </c>
      <c r="U94" s="94">
        <f>SUMIFS('caseload data'!E:E,'caseload data'!$D:$D,"PO",'caseload data'!$C:$C,'custody caseload'!$T$92,'caseload data'!$B:$B,"custody")</f>
        <v>0</v>
      </c>
      <c r="V94" s="94">
        <f>SUMIFS('caseload data'!F:F,'caseload data'!$D:$D,"PO",'caseload data'!$C:$C,'custody caseload'!$T$92,'caseload data'!$B:$B,"custody")</f>
        <v>0</v>
      </c>
      <c r="W94" s="94">
        <f>SUMIFS('caseload data'!G:G,'caseload data'!$D:$D,"PO",'caseload data'!$C:$C,'custody caseload'!$T$92,'caseload data'!$B:$B,"custody")</f>
        <v>0</v>
      </c>
      <c r="X94" s="94">
        <f>SUMIFS('caseload data'!H:H,'caseload data'!$D:$D,"PO",'caseload data'!$C:$C,'custody caseload'!$T$92,'caseload data'!$B:$B,"custody")</f>
        <v>0</v>
      </c>
      <c r="Y94" s="94">
        <f>SUMIFS('caseload data'!I:I,'caseload data'!$D:$D,"PO",'caseload data'!$C:$C,'custody caseload'!$T$92,'caseload data'!$B:$B,"custody")</f>
        <v>0</v>
      </c>
      <c r="Z94" s="94">
        <f>SUMIFS('caseload data'!J:J,'caseload data'!$D:$D,"PO",'caseload data'!$C:$C,'custody caseload'!$T$92,'caseload data'!$B:$B,"custody")</f>
        <v>0</v>
      </c>
      <c r="AA94" s="94">
        <f>SUMIFS('caseload data'!K:K,'caseload data'!$D:$D,"PO",'caseload data'!$C:$C,'custody caseload'!$T$92,'caseload data'!$B:$B,"custody")</f>
        <v>0</v>
      </c>
      <c r="AB94" s="94">
        <f>SUMIFS('caseload data'!L:L,'caseload data'!$D:$D,"PO",'caseload data'!$C:$C,'custody caseload'!$T$92,'caseload data'!$B:$B,"custody")</f>
        <v>0</v>
      </c>
      <c r="AC94" s="94">
        <f>SUMIFS('caseload data'!M:M,'caseload data'!$D:$D,"PO",'caseload data'!$C:$C,'custody caseload'!$T$92,'caseload data'!$B:$B,"custody")</f>
        <v>0</v>
      </c>
      <c r="AD94" s="94">
        <f>SUMIFS('caseload data'!N:N,'caseload data'!$D:$D,"PO",'caseload data'!$C:$C,'custody caseload'!$T$92,'caseload data'!$B:$B,"custody")</f>
        <v>0</v>
      </c>
      <c r="AE94" s="94">
        <f>SUMIFS('caseload data'!O:O,'caseload data'!$D:$D,"PO",'caseload data'!$C:$C,'custody caseload'!$T$92,'caseload data'!$B:$B,"custody")</f>
        <v>0</v>
      </c>
      <c r="AF94" s="94">
        <f>SUMIFS('caseload data'!P:P,'caseload data'!$D:$D,"PO",'caseload data'!$C:$C,'custody caseload'!$T$92,'caseload data'!$B:$B,"custody")</f>
        <v>0</v>
      </c>
      <c r="AG94" s="94">
        <f>SUMIFS('caseload data'!Q:Q,'caseload data'!$D:$D,"PO",'caseload data'!$C:$C,'custody caseload'!$T$92,'caseload data'!$B:$B,"custody")</f>
        <v>0</v>
      </c>
      <c r="AH94" s="94">
        <f>SUMIFS('caseload data'!R:R,'caseload data'!$D:$D,"PO",'caseload data'!$C:$C,'custody caseload'!$T$92,'caseload data'!$B:$B,"custody")</f>
        <v>0</v>
      </c>
      <c r="AI94" s="94">
        <f>SUMIFS('caseload data'!S:S,'caseload data'!$D:$D,"PO",'caseload data'!$C:$C,'custody caseload'!$T$92,'caseload data'!$B:$B,"custody")</f>
        <v>0</v>
      </c>
      <c r="AJ94" s="94">
        <f>SUMIFS('caseload data'!T:T,'caseload data'!$D:$D,"PO",'caseload data'!$C:$C,'custody caseload'!$T$92,'caseload data'!$B:$B,"custody")</f>
        <v>0</v>
      </c>
    </row>
    <row r="95" spans="2:36" ht="15" x14ac:dyDescent="0.2">
      <c r="B95" s="97" t="s">
        <v>1002</v>
      </c>
      <c r="C95" s="145">
        <f>SUMIFS('caseload data'!E:E,'caseload data'!$D:$D,"PSO",'caseload data'!$C:$C,'custody caseload'!$B$92,'caseload data'!$B:$B,"custody")</f>
        <v>0</v>
      </c>
      <c r="D95" s="145">
        <f>SUMIFS('caseload data'!F:F,'caseload data'!$D:$D,"PSO",'caseload data'!$C:$C,'custody caseload'!$B$92,'caseload data'!$B:$B,"custody")</f>
        <v>0</v>
      </c>
      <c r="E95" s="145">
        <f>SUMIFS('caseload data'!G:G,'caseload data'!$D:$D,"PSO",'caseload data'!$C:$C,'custody caseload'!$B$92,'caseload data'!$B:$B,"custody")</f>
        <v>0</v>
      </c>
      <c r="F95" s="145">
        <f>SUMIFS('caseload data'!H:H,'caseload data'!$D:$D,"PSO",'caseload data'!$C:$C,'custody caseload'!$B$92,'caseload data'!$B:$B,"custody")</f>
        <v>0</v>
      </c>
      <c r="G95" s="145">
        <f>SUMIFS('caseload data'!I:I,'caseload data'!$D:$D,"PSO",'caseload data'!$C:$C,'custody caseload'!$B$92,'caseload data'!$B:$B,"custody")</f>
        <v>0</v>
      </c>
      <c r="H95" s="145">
        <f>SUMIFS('caseload data'!J:J,'caseload data'!$D:$D,"PSO",'caseload data'!$C:$C,'custody caseload'!$B$92,'caseload data'!$B:$B,"custody")</f>
        <v>0</v>
      </c>
      <c r="I95" s="145">
        <f>SUMIFS('caseload data'!K:K,'caseload data'!$D:$D,"PSO",'caseload data'!$C:$C,'custody caseload'!$B$92,'caseload data'!$B:$B,"custody")</f>
        <v>0</v>
      </c>
      <c r="J95" s="145">
        <f>SUMIFS('caseload data'!L:L,'caseload data'!$D:$D,"PSO",'caseload data'!$C:$C,'custody caseload'!$B$92,'caseload data'!$B:$B,"custody")</f>
        <v>0</v>
      </c>
      <c r="K95" s="94">
        <f>SUMIFS('caseload data'!M:M,'caseload data'!$D:$D,"PSO",'caseload data'!$C:$C,'custody caseload'!$B$92,'caseload data'!$B:$B,"custody")</f>
        <v>0</v>
      </c>
      <c r="L95" s="94">
        <f>SUMIFS('caseload data'!N:N,'caseload data'!$D:$D,"PSO",'caseload data'!$C:$C,'custody caseload'!$B$92,'caseload data'!$B:$B,"custody")</f>
        <v>0</v>
      </c>
      <c r="M95" s="94">
        <f>SUMIFS('caseload data'!O:O,'caseload data'!$D:$D,"PSO",'caseload data'!$C:$C,'custody caseload'!$B$92,'caseload data'!$B:$B,"custody")</f>
        <v>0</v>
      </c>
      <c r="N95" s="94">
        <f>SUMIFS('caseload data'!P:P,'caseload data'!$D:$D,"PSO",'caseload data'!$C:$C,'custody caseload'!$B$92,'caseload data'!$B:$B,"custody")</f>
        <v>0</v>
      </c>
      <c r="O95" s="94">
        <f>SUMIFS('caseload data'!Q:Q,'caseload data'!$D:$D,"PSO",'caseload data'!$C:$C,'custody caseload'!$B$92,'caseload data'!$B:$B,"custody")</f>
        <v>0</v>
      </c>
      <c r="P95" s="94">
        <f>SUMIFS('caseload data'!R:R,'caseload data'!$D:$D,"PSO",'caseload data'!$C:$C,'custody caseload'!$B$92,'caseload data'!$B:$B,"custody")</f>
        <v>0</v>
      </c>
      <c r="Q95" s="94">
        <f>SUMIFS('caseload data'!S:S,'caseload data'!$D:$D,"PSO",'caseload data'!$C:$C,'custody caseload'!$B$92,'caseload data'!$B:$B,"custody")</f>
        <v>0</v>
      </c>
      <c r="R95" s="94">
        <f>SUMIFS('caseload data'!T:T,'caseload data'!$D:$D,"PSO",'caseload data'!$C:$C,'custody caseload'!$B$92,'caseload data'!$B:$B,"custody")</f>
        <v>0</v>
      </c>
      <c r="T95" s="97" t="s">
        <v>1002</v>
      </c>
      <c r="U95" s="145">
        <f>SUMIFS('caseload data'!E:E,'caseload data'!$D:$D,"PSO",'caseload data'!$C:$C,'custody caseload'!$T$92,'caseload data'!$B:$B,"custody")</f>
        <v>0</v>
      </c>
      <c r="V95" s="145">
        <f>SUMIFS('caseload data'!F:F,'caseload data'!$D:$D,"PSO",'caseload data'!$C:$C,'custody caseload'!$T$92,'caseload data'!$B:$B,"custody")</f>
        <v>0</v>
      </c>
      <c r="W95" s="145">
        <f>SUMIFS('caseload data'!G:G,'caseload data'!$D:$D,"PSO",'caseload data'!$C:$C,'custody caseload'!$T$92,'caseload data'!$B:$B,"custody")</f>
        <v>0</v>
      </c>
      <c r="X95" s="145">
        <f>SUMIFS('caseload data'!H:H,'caseload data'!$D:$D,"PSO",'caseload data'!$C:$C,'custody caseload'!$T$92,'caseload data'!$B:$B,"custody")</f>
        <v>0</v>
      </c>
      <c r="Y95" s="145">
        <f>SUMIFS('caseload data'!I:I,'caseload data'!$D:$D,"PSO",'caseload data'!$C:$C,'custody caseload'!$T$92,'caseload data'!$B:$B,"custody")</f>
        <v>0</v>
      </c>
      <c r="Z95" s="145">
        <f>SUMIFS('caseload data'!J:J,'caseload data'!$D:$D,"PSO",'caseload data'!$C:$C,'custody caseload'!$T$92,'caseload data'!$B:$B,"custody")</f>
        <v>0</v>
      </c>
      <c r="AA95" s="145">
        <f>SUMIFS('caseload data'!K:K,'caseload data'!$D:$D,"PSO",'caseload data'!$C:$C,'custody caseload'!$T$92,'caseload data'!$B:$B,"custody")</f>
        <v>0</v>
      </c>
      <c r="AB95" s="145">
        <f>SUMIFS('caseload data'!L:L,'caseload data'!$D:$D,"PSO",'caseload data'!$C:$C,'custody caseload'!$T$92,'caseload data'!$B:$B,"custody")</f>
        <v>0</v>
      </c>
      <c r="AC95" s="94">
        <f>SUMIFS('caseload data'!M:M,'caseload data'!$D:$D,"PSO",'caseload data'!$C:$C,'custody caseload'!$T$92,'caseload data'!$B:$B,"custody")</f>
        <v>0</v>
      </c>
      <c r="AD95" s="94">
        <f>SUMIFS('caseload data'!N:N,'caseload data'!$D:$D,"PSO",'caseload data'!$C:$C,'custody caseload'!$T$92,'caseload data'!$B:$B,"custody")</f>
        <v>0</v>
      </c>
      <c r="AE95" s="94">
        <f>SUMIFS('caseload data'!O:O,'caseload data'!$D:$D,"PSO",'caseload data'!$C:$C,'custody caseload'!$T$92,'caseload data'!$B:$B,"custody")</f>
        <v>0</v>
      </c>
      <c r="AF95" s="94">
        <f>SUMIFS('caseload data'!P:P,'caseload data'!$D:$D,"PSO",'caseload data'!$C:$C,'custody caseload'!$T$92,'caseload data'!$B:$B,"custody")</f>
        <v>0</v>
      </c>
      <c r="AG95" s="94">
        <f>SUMIFS('caseload data'!Q:Q,'caseload data'!$D:$D,"PSO",'caseload data'!$C:$C,'custody caseload'!$T$92,'caseload data'!$B:$B,"custody")</f>
        <v>0</v>
      </c>
      <c r="AH95" s="94">
        <f>SUMIFS('caseload data'!R:R,'caseload data'!$D:$D,"PSO",'caseload data'!$C:$C,'custody caseload'!$T$92,'caseload data'!$B:$B,"custody")</f>
        <v>0</v>
      </c>
      <c r="AI95" s="94">
        <f>SUMIFS('caseload data'!S:S,'caseload data'!$D:$D,"PSO",'caseload data'!$C:$C,'custody caseload'!$T$92,'caseload data'!$B:$B,"custody")</f>
        <v>0</v>
      </c>
      <c r="AJ95" s="94">
        <f>SUMIFS('caseload data'!T:T,'caseload data'!$D:$D,"PSO",'caseload data'!$C:$C,'custody caseload'!$T$92,'caseload data'!$B:$B,"custody")</f>
        <v>0</v>
      </c>
    </row>
    <row r="96" spans="2:36" ht="15" x14ac:dyDescent="0.2">
      <c r="B96" s="97" t="s">
        <v>1003</v>
      </c>
      <c r="C96" s="145">
        <f>SUMIFS('caseload data'!E:E,'caseload data'!$D:$D,"TPO",'caseload data'!$C:$C,'custody caseload'!$B$92,'caseload data'!$B:$B,"custody")</f>
        <v>0</v>
      </c>
      <c r="D96" s="145">
        <f>SUMIFS('caseload data'!F:F,'caseload data'!$D:$D,"TPO",'caseload data'!$C:$C,'custody caseload'!$B$92,'caseload data'!$B:$B,"custody")</f>
        <v>0</v>
      </c>
      <c r="E96" s="145">
        <f>SUMIFS('caseload data'!G:G,'caseload data'!$D:$D,"TPO",'caseload data'!$C:$C,'custody caseload'!$B$92,'caseload data'!$B:$B,"custody")</f>
        <v>0</v>
      </c>
      <c r="F96" s="145">
        <f>SUMIFS('caseload data'!H:H,'caseload data'!$D:$D,"TPO",'caseload data'!$C:$C,'custody caseload'!$B$92,'caseload data'!$B:$B,"custody")</f>
        <v>0</v>
      </c>
      <c r="G96" s="145">
        <f>SUMIFS('caseload data'!I:I,'caseload data'!$D:$D,"TPO",'caseload data'!$C:$C,'custody caseload'!$B$92,'caseload data'!$B:$B,"custody")</f>
        <v>0</v>
      </c>
      <c r="H96" s="145">
        <f>SUMIFS('caseload data'!J:J,'caseload data'!$D:$D,"TPO",'caseload data'!$C:$C,'custody caseload'!$B$92,'caseload data'!$B:$B,"custody")</f>
        <v>0</v>
      </c>
      <c r="I96" s="145">
        <f>SUMIFS('caseload data'!K:K,'caseload data'!$D:$D,"TPO",'caseload data'!$C:$C,'custody caseload'!$B$92,'caseload data'!$B:$B,"custody")</f>
        <v>0</v>
      </c>
      <c r="J96" s="145">
        <f>SUMIFS('caseload data'!L:L,'caseload data'!$D:$D,"TPO",'caseload data'!$C:$C,'custody caseload'!$B$92,'caseload data'!$B:$B,"custody")</f>
        <v>0</v>
      </c>
      <c r="K96" s="94">
        <f>SUMIFS('caseload data'!M:M,'caseload data'!$D:$D,"TPO",'caseload data'!$C:$C,'custody caseload'!$B$92,'caseload data'!$B:$B,"custody")</f>
        <v>0</v>
      </c>
      <c r="L96" s="94">
        <f>SUMIFS('caseload data'!N:N,'caseload data'!$D:$D,"TPO",'caseload data'!$C:$C,'custody caseload'!$B$92,'caseload data'!$B:$B,"custody")</f>
        <v>0</v>
      </c>
      <c r="M96" s="94">
        <f>SUMIFS('caseload data'!O:O,'caseload data'!$D:$D,"TPO",'caseload data'!$C:$C,'custody caseload'!$B$92,'caseload data'!$B:$B,"custody")</f>
        <v>0</v>
      </c>
      <c r="N96" s="94">
        <f>SUMIFS('caseload data'!P:P,'caseload data'!$D:$D,"TPO",'caseload data'!$C:$C,'custody caseload'!$B$92,'caseload data'!$B:$B,"custody")</f>
        <v>0</v>
      </c>
      <c r="O96" s="94">
        <f>SUMIFS('caseload data'!Q:Q,'caseload data'!$D:$D,"TPO",'caseload data'!$C:$C,'custody caseload'!$B$92,'caseload data'!$B:$B,"custody")</f>
        <v>0</v>
      </c>
      <c r="P96" s="94">
        <f>SUMIFS('caseload data'!R:R,'caseload data'!$D:$D,"TPO",'caseload data'!$C:$C,'custody caseload'!$B$92,'caseload data'!$B:$B,"custody")</f>
        <v>0</v>
      </c>
      <c r="Q96" s="94">
        <f>SUMIFS('caseload data'!S:S,'caseload data'!$D:$D,"TPO",'caseload data'!$C:$C,'custody caseload'!$B$92,'caseload data'!$B:$B,"custody")</f>
        <v>0</v>
      </c>
      <c r="R96" s="94">
        <f>SUMIFS('caseload data'!T:T,'caseload data'!$D:$D,"TPO",'caseload data'!$C:$C,'custody caseload'!$B$92,'caseload data'!$B:$B,"custody")</f>
        <v>0</v>
      </c>
      <c r="T96" s="97" t="s">
        <v>1003</v>
      </c>
      <c r="U96" s="145">
        <f>SUMIFS('caseload data'!E:E,'caseload data'!$D:$D,"TPO",'caseload data'!$C:$C,'custody caseload'!$T$92,'caseload data'!$B:$B,"custody")</f>
        <v>0</v>
      </c>
      <c r="V96" s="145">
        <f>SUMIFS('caseload data'!F:F,'caseload data'!$D:$D,"TPO",'caseload data'!$C:$C,'custody caseload'!$T$92,'caseload data'!$B:$B,"custody")</f>
        <v>0</v>
      </c>
      <c r="W96" s="145">
        <f>SUMIFS('caseload data'!G:G,'caseload data'!$D:$D,"TPO",'caseload data'!$C:$C,'custody caseload'!$T$92,'caseload data'!$B:$B,"custody")</f>
        <v>0</v>
      </c>
      <c r="X96" s="145">
        <f>SUMIFS('caseload data'!H:H,'caseload data'!$D:$D,"TPO",'caseload data'!$C:$C,'custody caseload'!$T$92,'caseload data'!$B:$B,"custody")</f>
        <v>0</v>
      </c>
      <c r="Y96" s="145">
        <f>SUMIFS('caseload data'!I:I,'caseload data'!$D:$D,"TPO",'caseload data'!$C:$C,'custody caseload'!$T$92,'caseload data'!$B:$B,"custody")</f>
        <v>0</v>
      </c>
      <c r="Z96" s="145">
        <f>SUMIFS('caseload data'!J:J,'caseload data'!$D:$D,"TPO",'caseload data'!$C:$C,'custody caseload'!$T$92,'caseload data'!$B:$B,"custody")</f>
        <v>0</v>
      </c>
      <c r="AA96" s="145">
        <f>SUMIFS('caseload data'!K:K,'caseload data'!$D:$D,"TPO",'caseload data'!$C:$C,'custody caseload'!$T$92,'caseload data'!$B:$B,"custody")</f>
        <v>0</v>
      </c>
      <c r="AB96" s="145">
        <f>SUMIFS('caseload data'!L:L,'caseload data'!$D:$D,"TPO",'caseload data'!$C:$C,'custody caseload'!$T$92,'caseload data'!$B:$B,"custody")</f>
        <v>0</v>
      </c>
      <c r="AC96" s="94">
        <f>SUMIFS('caseload data'!M:M,'caseload data'!$D:$D,"TPO",'caseload data'!$C:$C,'custody caseload'!$T$92,'caseload data'!$B:$B,"custody")</f>
        <v>0</v>
      </c>
      <c r="AD96" s="94">
        <f>SUMIFS('caseload data'!N:N,'caseload data'!$D:$D,"TPO",'caseload data'!$C:$C,'custody caseload'!$T$92,'caseload data'!$B:$B,"custody")</f>
        <v>0</v>
      </c>
      <c r="AE96" s="94">
        <f>SUMIFS('caseload data'!O:O,'caseload data'!$D:$D,"TPO",'caseload data'!$C:$C,'custody caseload'!$T$92,'caseload data'!$B:$B,"custody")</f>
        <v>0</v>
      </c>
      <c r="AF96" s="94">
        <f>SUMIFS('caseload data'!P:P,'caseload data'!$D:$D,"TPO",'caseload data'!$C:$C,'custody caseload'!$T$92,'caseload data'!$B:$B,"custody")</f>
        <v>0</v>
      </c>
      <c r="AG96" s="94">
        <f>SUMIFS('caseload data'!Q:Q,'caseload data'!$D:$D,"TPO",'caseload data'!$C:$C,'custody caseload'!$T$92,'caseload data'!$B:$B,"custody")</f>
        <v>0</v>
      </c>
      <c r="AH96" s="94">
        <f>SUMIFS('caseload data'!R:R,'caseload data'!$D:$D,"TPO",'caseload data'!$C:$C,'custody caseload'!$T$92,'caseload data'!$B:$B,"custody")</f>
        <v>0</v>
      </c>
      <c r="AI96" s="94">
        <f>SUMIFS('caseload data'!S:S,'caseload data'!$D:$D,"TPO",'caseload data'!$C:$C,'custody caseload'!$T$92,'caseload data'!$B:$B,"custody")</f>
        <v>0</v>
      </c>
      <c r="AJ96" s="94">
        <f>SUMIFS('caseload data'!T:T,'caseload data'!$D:$D,"TPO",'caseload data'!$C:$C,'custody caseload'!$T$92,'caseload data'!$B:$B,"custody")</f>
        <v>0</v>
      </c>
    </row>
    <row r="97" spans="2:36" x14ac:dyDescent="0.15">
      <c r="B97" s="98" t="s">
        <v>1004</v>
      </c>
      <c r="C97" s="94">
        <f>SUMIFS('caseload data'!E:E,'caseload data'!$D:$D,"SPO",'caseload data'!$C:$C,'custody caseload'!$B$92,'caseload data'!$B:$B,"custody")</f>
        <v>0</v>
      </c>
      <c r="D97" s="94">
        <f>SUMIFS('caseload data'!F:F,'caseload data'!$D:$D,"SPO",'caseload data'!$C:$C,'custody caseload'!$B$92,'caseload data'!$B:$B,"custody")</f>
        <v>0</v>
      </c>
      <c r="E97" s="94">
        <f>SUMIFS('caseload data'!G:G,'caseload data'!$D:$D,"SPO",'caseload data'!$C:$C,'custody caseload'!$B$92,'caseload data'!$B:$B,"custody")</f>
        <v>0</v>
      </c>
      <c r="F97" s="94">
        <f>SUMIFS('caseload data'!H:H,'caseload data'!$D:$D,"SPO",'caseload data'!$C:$C,'custody caseload'!$B$92,'caseload data'!$B:$B,"custody")</f>
        <v>0</v>
      </c>
      <c r="G97" s="94">
        <f>SUMIFS('caseload data'!I:I,'caseload data'!$D:$D,"SPO",'caseload data'!$C:$C,'custody caseload'!$B$92,'caseload data'!$B:$B,"custody")</f>
        <v>0</v>
      </c>
      <c r="H97" s="94">
        <f>SUMIFS('caseload data'!J:J,'caseload data'!$D:$D,"SPO",'caseload data'!$C:$C,'custody caseload'!$B$92,'caseload data'!$B:$B,"custody")</f>
        <v>0</v>
      </c>
      <c r="I97" s="94">
        <f>SUMIFS('caseload data'!K:K,'caseload data'!$D:$D,"SPO",'caseload data'!$C:$C,'custody caseload'!$B$92,'caseload data'!$B:$B,"custody")</f>
        <v>0</v>
      </c>
      <c r="J97" s="94">
        <f>SUMIFS('caseload data'!L:L,'caseload data'!$D:$D,"SPO",'caseload data'!$C:$C,'custody caseload'!$B$92,'caseload data'!$B:$B,"custody")</f>
        <v>0</v>
      </c>
      <c r="K97" s="94">
        <f>SUMIFS('caseload data'!M:M,'caseload data'!$D:$D,"SPO",'caseload data'!$C:$C,'custody caseload'!$B$92,'caseload data'!$B:$B,"custody")</f>
        <v>0</v>
      </c>
      <c r="L97" s="94">
        <f>SUMIFS('caseload data'!N:N,'caseload data'!$D:$D,"SPO",'caseload data'!$C:$C,'custody caseload'!$B$92,'caseload data'!$B:$B,"custody")</f>
        <v>0</v>
      </c>
      <c r="M97" s="94">
        <f>SUMIFS('caseload data'!O:O,'caseload data'!$D:$D,"SPO",'caseload data'!$C:$C,'custody caseload'!$B$92,'caseload data'!$B:$B,"custody")</f>
        <v>0</v>
      </c>
      <c r="N97" s="94">
        <f>SUMIFS('caseload data'!P:P,'caseload data'!$D:$D,"SPO",'caseload data'!$C:$C,'custody caseload'!$B$92,'caseload data'!$B:$B,"custody")</f>
        <v>0</v>
      </c>
      <c r="O97" s="94">
        <f>SUMIFS('caseload data'!Q:Q,'caseload data'!$D:$D,"SPO",'caseload data'!$C:$C,'custody caseload'!$B$92,'caseload data'!$B:$B,"custody")</f>
        <v>0</v>
      </c>
      <c r="P97" s="94">
        <f>SUMIFS('caseload data'!R:R,'caseload data'!$D:$D,"SPO",'caseload data'!$C:$C,'custody caseload'!$B$92,'caseload data'!$B:$B,"custody")</f>
        <v>0</v>
      </c>
      <c r="Q97" s="94">
        <f>SUMIFS('caseload data'!S:S,'caseload data'!$D:$D,"SPO",'caseload data'!$C:$C,'custody caseload'!$B$92,'caseload data'!$B:$B,"custody")</f>
        <v>0</v>
      </c>
      <c r="R97" s="94">
        <f>SUMIFS('caseload data'!T:T,'caseload data'!$D:$D,"SPO",'caseload data'!$C:$C,'custody caseload'!$B$92,'caseload data'!$B:$B,"custody")</f>
        <v>0</v>
      </c>
      <c r="T97" s="98" t="s">
        <v>1004</v>
      </c>
      <c r="U97" s="94">
        <f>SUMIFS('caseload data'!E:E,'caseload data'!$D:$D,"SPO",'caseload data'!$C:$C,'custody caseload'!$T$92,'caseload data'!$B:$B,"custody")</f>
        <v>0</v>
      </c>
      <c r="V97" s="94">
        <f>SUMIFS('caseload data'!F:F,'caseload data'!$D:$D,"SPO",'caseload data'!$C:$C,'custody caseload'!$T$92,'caseload data'!$B:$B,"custody")</f>
        <v>0</v>
      </c>
      <c r="W97" s="94">
        <f>SUMIFS('caseload data'!G:G,'caseload data'!$D:$D,"SPO",'caseload data'!$C:$C,'custody caseload'!$T$92,'caseload data'!$B:$B,"custody")</f>
        <v>0</v>
      </c>
      <c r="X97" s="94">
        <f>SUMIFS('caseload data'!H:H,'caseload data'!$D:$D,"SPO",'caseload data'!$C:$C,'custody caseload'!$T$92,'caseload data'!$B:$B,"custody")</f>
        <v>0</v>
      </c>
      <c r="Y97" s="94">
        <f>SUMIFS('caseload data'!I:I,'caseload data'!$D:$D,"SPO",'caseload data'!$C:$C,'custody caseload'!$T$92,'caseload data'!$B:$B,"custody")</f>
        <v>0</v>
      </c>
      <c r="Z97" s="94">
        <f>SUMIFS('caseload data'!J:J,'caseload data'!$D:$D,"SPO",'caseload data'!$C:$C,'custody caseload'!$T$92,'caseload data'!$B:$B,"custody")</f>
        <v>0</v>
      </c>
      <c r="AA97" s="94">
        <f>SUMIFS('caseload data'!K:K,'caseload data'!$D:$D,"SPO",'caseload data'!$C:$C,'custody caseload'!$T$92,'caseload data'!$B:$B,"custody")</f>
        <v>0</v>
      </c>
      <c r="AB97" s="94">
        <f>SUMIFS('caseload data'!L:L,'caseload data'!$D:$D,"SPO",'caseload data'!$C:$C,'custody caseload'!$T$92,'caseload data'!$B:$B,"custody")</f>
        <v>0</v>
      </c>
      <c r="AC97" s="94">
        <f>SUMIFS('caseload data'!M:M,'caseload data'!$D:$D,"SPO",'caseload data'!$C:$C,'custody caseload'!$T$92,'caseload data'!$B:$B,"custody")</f>
        <v>0</v>
      </c>
      <c r="AD97" s="94">
        <f>SUMIFS('caseload data'!N:N,'caseload data'!$D:$D,"SPO",'caseload data'!$C:$C,'custody caseload'!$T$92,'caseload data'!$B:$B,"custody")</f>
        <v>0</v>
      </c>
      <c r="AE97" s="94">
        <f>SUMIFS('caseload data'!O:O,'caseload data'!$D:$D,"SPO",'caseload data'!$C:$C,'custody caseload'!$T$92,'caseload data'!$B:$B,"custody")</f>
        <v>0</v>
      </c>
      <c r="AF97" s="94">
        <f>SUMIFS('caseload data'!P:P,'caseload data'!$D:$D,"SPO",'caseload data'!$C:$C,'custody caseload'!$T$92,'caseload data'!$B:$B,"custody")</f>
        <v>0</v>
      </c>
      <c r="AG97" s="94">
        <f>SUMIFS('caseload data'!Q:Q,'caseload data'!$D:$D,"SPO",'caseload data'!$C:$C,'custody caseload'!$T$92,'caseload data'!$B:$B,"custody")</f>
        <v>0</v>
      </c>
      <c r="AH97" s="94">
        <f>SUMIFS('caseload data'!R:R,'caseload data'!$D:$D,"SPO",'caseload data'!$C:$C,'custody caseload'!$T$92,'caseload data'!$B:$B,"custody")</f>
        <v>0</v>
      </c>
      <c r="AI97" s="94">
        <f>SUMIFS('caseload data'!S:S,'caseload data'!$D:$D,"SPO",'caseload data'!$C:$C,'custody caseload'!$T$92,'caseload data'!$B:$B,"custody")</f>
        <v>0</v>
      </c>
      <c r="AJ97" s="94">
        <f>SUMIFS('caseload data'!T:T,'caseload data'!$D:$D,"SPO",'caseload data'!$C:$C,'custody caseload'!$T$92,'caseload data'!$B:$B,"custody")</f>
        <v>0</v>
      </c>
    </row>
    <row r="99" spans="2:36" ht="21.75" customHeight="1" x14ac:dyDescent="0.15">
      <c r="B99" s="142">
        <f>HLOOKUP($B$5,Region_Table,28,0)</f>
        <v>0</v>
      </c>
      <c r="C99" s="525" t="s">
        <v>1126</v>
      </c>
      <c r="D99" s="526"/>
      <c r="E99" s="526"/>
      <c r="F99" s="526"/>
      <c r="G99" s="526"/>
      <c r="H99" s="526"/>
      <c r="I99" s="526"/>
      <c r="J99" s="526"/>
      <c r="K99" s="526"/>
      <c r="L99" s="526"/>
      <c r="M99" s="535"/>
      <c r="N99" s="535"/>
      <c r="O99" s="536"/>
      <c r="P99" s="512">
        <f>SUMIFS('caseload data'!V:V,'caseload data'!B:B,"custody",'caseload data'!$C:$C,'custody caseload'!B99)</f>
        <v>0</v>
      </c>
      <c r="Q99" s="529"/>
      <c r="R99" s="530"/>
      <c r="T99" s="142">
        <f>HLOOKUP($B$5,Region_Table,29,0)</f>
        <v>0</v>
      </c>
      <c r="U99" s="525" t="s">
        <v>1126</v>
      </c>
      <c r="V99" s="526"/>
      <c r="W99" s="526"/>
      <c r="X99" s="526"/>
      <c r="Y99" s="526"/>
      <c r="Z99" s="526"/>
      <c r="AA99" s="526"/>
      <c r="AB99" s="526"/>
      <c r="AC99" s="526"/>
      <c r="AD99" s="526"/>
      <c r="AE99" s="535"/>
      <c r="AF99" s="535"/>
      <c r="AG99" s="536"/>
      <c r="AH99" s="512">
        <f>SUMIFS('caseload data'!V:V,'caseload data'!B:B,"custody",'caseload data'!$C:$C,'custody caseload'!T99)</f>
        <v>0</v>
      </c>
      <c r="AI99" s="529"/>
      <c r="AJ99" s="530"/>
    </row>
    <row r="100" spans="2:36" x14ac:dyDescent="0.15">
      <c r="B100" s="95" t="s">
        <v>1001</v>
      </c>
      <c r="C100" s="38" t="s">
        <v>864</v>
      </c>
      <c r="D100" s="38" t="s">
        <v>865</v>
      </c>
      <c r="E100" s="38" t="s">
        <v>866</v>
      </c>
      <c r="F100" s="38" t="s">
        <v>867</v>
      </c>
      <c r="G100" s="38" t="s">
        <v>868</v>
      </c>
      <c r="H100" s="38" t="s">
        <v>869</v>
      </c>
      <c r="I100" s="38" t="s">
        <v>870</v>
      </c>
      <c r="J100" s="38" t="s">
        <v>871</v>
      </c>
      <c r="K100" s="38" t="s">
        <v>872</v>
      </c>
      <c r="L100" s="38" t="s">
        <v>873</v>
      </c>
      <c r="M100" s="38" t="s">
        <v>874</v>
      </c>
      <c r="N100" s="38" t="s">
        <v>875</v>
      </c>
      <c r="O100" s="38" t="s">
        <v>876</v>
      </c>
      <c r="P100" s="38" t="s">
        <v>877</v>
      </c>
      <c r="Q100" s="38" t="s">
        <v>878</v>
      </c>
      <c r="R100" s="38" t="s">
        <v>879</v>
      </c>
      <c r="T100" s="95" t="s">
        <v>1001</v>
      </c>
      <c r="U100" s="38" t="s">
        <v>864</v>
      </c>
      <c r="V100" s="38" t="s">
        <v>865</v>
      </c>
      <c r="W100" s="38" t="s">
        <v>866</v>
      </c>
      <c r="X100" s="38" t="s">
        <v>867</v>
      </c>
      <c r="Y100" s="38" t="s">
        <v>868</v>
      </c>
      <c r="Z100" s="38" t="s">
        <v>869</v>
      </c>
      <c r="AA100" s="38" t="s">
        <v>870</v>
      </c>
      <c r="AB100" s="38" t="s">
        <v>871</v>
      </c>
      <c r="AC100" s="38" t="s">
        <v>872</v>
      </c>
      <c r="AD100" s="38" t="s">
        <v>873</v>
      </c>
      <c r="AE100" s="38" t="s">
        <v>874</v>
      </c>
      <c r="AF100" s="38" t="s">
        <v>875</v>
      </c>
      <c r="AG100" s="38" t="s">
        <v>876</v>
      </c>
      <c r="AH100" s="38" t="s">
        <v>877</v>
      </c>
      <c r="AI100" s="38" t="s">
        <v>878</v>
      </c>
      <c r="AJ100" s="38" t="s">
        <v>879</v>
      </c>
    </row>
    <row r="101" spans="2:36" x14ac:dyDescent="0.15">
      <c r="B101" s="96" t="s">
        <v>997</v>
      </c>
      <c r="C101" s="94">
        <f>SUMIFS('caseload data'!E:E,'caseload data'!$D:$D,"PO",'caseload data'!$C:$C,'custody caseload'!$B$99,'caseload data'!$B:$B,"custody")</f>
        <v>0</v>
      </c>
      <c r="D101" s="94">
        <f>SUMIFS('caseload data'!F:F,'caseload data'!$D:$D,"PO",'caseload data'!$C:$C,'custody caseload'!$B$99,'caseload data'!$B:$B,"custody")</f>
        <v>0</v>
      </c>
      <c r="E101" s="94">
        <f>SUMIFS('caseload data'!G:G,'caseload data'!$D:$D,"PO",'caseload data'!$C:$C,'custody caseload'!$B$99,'caseload data'!$B:$B,"custody")</f>
        <v>0</v>
      </c>
      <c r="F101" s="94">
        <f>SUMIFS('caseload data'!H:H,'caseload data'!$D:$D,"PO",'caseload data'!$C:$C,'custody caseload'!$B$99,'caseload data'!$B:$B,"custody")</f>
        <v>0</v>
      </c>
      <c r="G101" s="94">
        <f>SUMIFS('caseload data'!I:I,'caseload data'!$D:$D,"PO",'caseload data'!$C:$C,'custody caseload'!$B$99,'caseload data'!$B:$B,"custody")</f>
        <v>0</v>
      </c>
      <c r="H101" s="94">
        <f>SUMIFS('caseload data'!J:J,'caseload data'!$D:$D,"PO",'caseload data'!$C:$C,'custody caseload'!$B$99,'caseload data'!$B:$B,"custody")</f>
        <v>0</v>
      </c>
      <c r="I101" s="94">
        <f>SUMIFS('caseload data'!K:K,'caseload data'!$D:$D,"PO",'caseload data'!$C:$C,'custody caseload'!$B$99,'caseload data'!$B:$B,"custody")</f>
        <v>0</v>
      </c>
      <c r="J101" s="94">
        <f>SUMIFS('caseload data'!L:L,'caseload data'!$D:$D,"PO",'caseload data'!$C:$C,'custody caseload'!$B$99,'caseload data'!$B:$B,"custody")</f>
        <v>0</v>
      </c>
      <c r="K101" s="94">
        <f>SUMIFS('caseload data'!M:M,'caseload data'!$D:$D,"PO",'caseload data'!$C:$C,'custody caseload'!$B$99,'caseload data'!$B:$B,"custody")</f>
        <v>0</v>
      </c>
      <c r="L101" s="94">
        <f>SUMIFS('caseload data'!N:N,'caseload data'!$D:$D,"PO",'caseload data'!$C:$C,'custody caseload'!$B$99,'caseload data'!$B:$B,"custody")</f>
        <v>0</v>
      </c>
      <c r="M101" s="94">
        <f>SUMIFS('caseload data'!O:O,'caseload data'!$D:$D,"PO",'caseload data'!$C:$C,'custody caseload'!$B$99,'caseload data'!$B:$B,"custody")</f>
        <v>0</v>
      </c>
      <c r="N101" s="94">
        <f>SUMIFS('caseload data'!P:P,'caseload data'!$D:$D,"PO",'caseload data'!$C:$C,'custody caseload'!$B$99,'caseload data'!$B:$B,"custody")</f>
        <v>0</v>
      </c>
      <c r="O101" s="94">
        <f>SUMIFS('caseload data'!Q:Q,'caseload data'!$D:$D,"PO",'caseload data'!$C:$C,'custody caseload'!$B$99,'caseload data'!$B:$B,"custody")</f>
        <v>0</v>
      </c>
      <c r="P101" s="94">
        <f>SUMIFS('caseload data'!R:R,'caseload data'!$D:$D,"PO",'caseload data'!$C:$C,'custody caseload'!$B$99,'caseload data'!$B:$B,"custody")</f>
        <v>0</v>
      </c>
      <c r="Q101" s="94">
        <f>SUMIFS('caseload data'!S:S,'caseload data'!$D:$D,"PO",'caseload data'!$C:$C,'custody caseload'!$B$99,'caseload data'!$B:$B,"custody")</f>
        <v>0</v>
      </c>
      <c r="R101" s="94">
        <f>SUMIFS('caseload data'!T:T,'caseload data'!$D:$D,"PO",'caseload data'!$C:$C,'custody caseload'!$B$99,'caseload data'!$B:$B,"custody")</f>
        <v>0</v>
      </c>
      <c r="T101" s="96" t="s">
        <v>997</v>
      </c>
      <c r="U101" s="94">
        <f>SUMIFS('caseload data'!E:E,'caseload data'!$D:$D,"PO",'caseload data'!$C:$C,'custody caseload'!$T$99,'caseload data'!$B:$B,"custody")</f>
        <v>0</v>
      </c>
      <c r="V101" s="94">
        <f>SUMIFS('caseload data'!F:F,'caseload data'!$D:$D,"PO",'caseload data'!$C:$C,'custody caseload'!$T$99,'caseload data'!$B:$B,"custody")</f>
        <v>0</v>
      </c>
      <c r="W101" s="94">
        <f>SUMIFS('caseload data'!G:G,'caseload data'!$D:$D,"PO",'caseload data'!$C:$C,'custody caseload'!$T$99,'caseload data'!$B:$B,"custody")</f>
        <v>0</v>
      </c>
      <c r="X101" s="94">
        <f>SUMIFS('caseload data'!H:H,'caseload data'!$D:$D,"PO",'caseload data'!$C:$C,'custody caseload'!$T$99,'caseload data'!$B:$B,"custody")</f>
        <v>0</v>
      </c>
      <c r="Y101" s="94">
        <f>SUMIFS('caseload data'!I:I,'caseload data'!$D:$D,"PO",'caseload data'!$C:$C,'custody caseload'!$T$99,'caseload data'!$B:$B,"custody")</f>
        <v>0</v>
      </c>
      <c r="Z101" s="94">
        <f>SUMIFS('caseload data'!J:J,'caseload data'!$D:$D,"PO",'caseload data'!$C:$C,'custody caseload'!$T$99,'caseload data'!$B:$B,"custody")</f>
        <v>0</v>
      </c>
      <c r="AA101" s="94">
        <f>SUMIFS('caseload data'!K:K,'caseload data'!$D:$D,"PO",'caseload data'!$C:$C,'custody caseload'!$T$99,'caseload data'!$B:$B,"custody")</f>
        <v>0</v>
      </c>
      <c r="AB101" s="94">
        <f>SUMIFS('caseload data'!L:L,'caseload data'!$D:$D,"PO",'caseload data'!$C:$C,'custody caseload'!$T$99,'caseload data'!$B:$B,"custody")</f>
        <v>0</v>
      </c>
      <c r="AC101" s="94">
        <f>SUMIFS('caseload data'!M:M,'caseload data'!$D:$D,"PO",'caseload data'!$C:$C,'custody caseload'!$T$99,'caseload data'!$B:$B,"custody")</f>
        <v>0</v>
      </c>
      <c r="AD101" s="94">
        <f>SUMIFS('caseload data'!N:N,'caseload data'!$D:$D,"PO",'caseload data'!$C:$C,'custody caseload'!$T$99,'caseload data'!$B:$B,"custody")</f>
        <v>0</v>
      </c>
      <c r="AE101" s="94">
        <f>SUMIFS('caseload data'!O:O,'caseload data'!$D:$D,"PO",'caseload data'!$C:$C,'custody caseload'!$T$99,'caseload data'!$B:$B,"custody")</f>
        <v>0</v>
      </c>
      <c r="AF101" s="94">
        <f>SUMIFS('caseload data'!P:P,'caseload data'!$D:$D,"PO",'caseload data'!$C:$C,'custody caseload'!$T$99,'caseload data'!$B:$B,"custody")</f>
        <v>0</v>
      </c>
      <c r="AG101" s="94">
        <f>SUMIFS('caseload data'!Q:Q,'caseload data'!$D:$D,"PO",'caseload data'!$C:$C,'custody caseload'!$T$99,'caseload data'!$B:$B,"custody")</f>
        <v>0</v>
      </c>
      <c r="AH101" s="94">
        <f>SUMIFS('caseload data'!R:R,'caseload data'!$D:$D,"PO",'caseload data'!$C:$C,'custody caseload'!$T$99,'caseload data'!$B:$B,"custody")</f>
        <v>0</v>
      </c>
      <c r="AI101" s="94">
        <f>SUMIFS('caseload data'!S:S,'caseload data'!$D:$D,"PO",'caseload data'!$C:$C,'custody caseload'!$T$99,'caseload data'!$B:$B,"custody")</f>
        <v>0</v>
      </c>
      <c r="AJ101" s="94">
        <f>SUMIFS('caseload data'!T:T,'caseload data'!$D:$D,"PO",'caseload data'!$C:$C,'custody caseload'!$T$99,'caseload data'!$B:$B,"custody")</f>
        <v>0</v>
      </c>
    </row>
    <row r="102" spans="2:36" ht="15" x14ac:dyDescent="0.2">
      <c r="B102" s="97" t="s">
        <v>1002</v>
      </c>
      <c r="C102" s="145">
        <f>SUMIFS('caseload data'!E:E,'caseload data'!$D:$D,"PSO",'caseload data'!$C:$C,'custody caseload'!$B$99,'caseload data'!$B:$B,"custody")</f>
        <v>0</v>
      </c>
      <c r="D102" s="145">
        <f>SUMIFS('caseload data'!F:F,'caseload data'!$D:$D,"PSO",'caseload data'!$C:$C,'custody caseload'!$B$99,'caseload data'!$B:$B,"custody")</f>
        <v>0</v>
      </c>
      <c r="E102" s="145">
        <f>SUMIFS('caseload data'!G:G,'caseload data'!$D:$D,"PSO",'caseload data'!$C:$C,'custody caseload'!$B$99,'caseload data'!$B:$B,"custody")</f>
        <v>0</v>
      </c>
      <c r="F102" s="145">
        <f>SUMIFS('caseload data'!H:H,'caseload data'!$D:$D,"PSO",'caseload data'!$C:$C,'custody caseload'!$B$99,'caseload data'!$B:$B,"custody")</f>
        <v>0</v>
      </c>
      <c r="G102" s="145">
        <f>SUMIFS('caseload data'!I:I,'caseload data'!$D:$D,"PSO",'caseload data'!$C:$C,'custody caseload'!$B$99,'caseload data'!$B:$B,"custody")</f>
        <v>0</v>
      </c>
      <c r="H102" s="145">
        <f>SUMIFS('caseload data'!J:J,'caseload data'!$D:$D,"PSO",'caseload data'!$C:$C,'custody caseload'!$B$99,'caseload data'!$B:$B,"custody")</f>
        <v>0</v>
      </c>
      <c r="I102" s="145">
        <f>SUMIFS('caseload data'!K:K,'caseload data'!$D:$D,"PSO",'caseload data'!$C:$C,'custody caseload'!$B$99,'caseload data'!$B:$B,"custody")</f>
        <v>0</v>
      </c>
      <c r="J102" s="145">
        <f>SUMIFS('caseload data'!L:L,'caseload data'!$D:$D,"PSO",'caseload data'!$C:$C,'custody caseload'!$B$99,'caseload data'!$B:$B,"custody")</f>
        <v>0</v>
      </c>
      <c r="K102" s="94">
        <f>SUMIFS('caseload data'!M:M,'caseload data'!$D:$D,"PSO",'caseload data'!$C:$C,'custody caseload'!$B$99,'caseload data'!$B:$B,"custody")</f>
        <v>0</v>
      </c>
      <c r="L102" s="94">
        <f>SUMIFS('caseload data'!N:N,'caseload data'!$D:$D,"PSO",'caseload data'!$C:$C,'custody caseload'!$B$99,'caseload data'!$B:$B,"custody")</f>
        <v>0</v>
      </c>
      <c r="M102" s="94">
        <f>SUMIFS('caseload data'!O:O,'caseload data'!$D:$D,"PSO",'caseload data'!$C:$C,'custody caseload'!$B$99,'caseload data'!$B:$B,"custody")</f>
        <v>0</v>
      </c>
      <c r="N102" s="94">
        <f>SUMIFS('caseload data'!P:P,'caseload data'!$D:$D,"PSO",'caseload data'!$C:$C,'custody caseload'!$B$99,'caseload data'!$B:$B,"custody")</f>
        <v>0</v>
      </c>
      <c r="O102" s="94">
        <f>SUMIFS('caseload data'!Q:Q,'caseload data'!$D:$D,"PSO",'caseload data'!$C:$C,'custody caseload'!$B$99,'caseload data'!$B:$B,"custody")</f>
        <v>0</v>
      </c>
      <c r="P102" s="94">
        <f>SUMIFS('caseload data'!R:R,'caseload data'!$D:$D,"PSO",'caseload data'!$C:$C,'custody caseload'!$B$99,'caseload data'!$B:$B,"custody")</f>
        <v>0</v>
      </c>
      <c r="Q102" s="94">
        <f>SUMIFS('caseload data'!S:S,'caseload data'!$D:$D,"PSO",'caseload data'!$C:$C,'custody caseload'!$B$99,'caseload data'!$B:$B,"custody")</f>
        <v>0</v>
      </c>
      <c r="R102" s="94">
        <f>SUMIFS('caseload data'!T:T,'caseload data'!$D:$D,"PSO",'caseload data'!$C:$C,'custody caseload'!$B$99,'caseload data'!$B:$B,"custody")</f>
        <v>0</v>
      </c>
      <c r="T102" s="97" t="s">
        <v>1002</v>
      </c>
      <c r="U102" s="145">
        <f>SUMIFS('caseload data'!E:E,'caseload data'!$D:$D,"PSO",'caseload data'!$C:$C,'custody caseload'!$T$99,'caseload data'!$B:$B,"custody")</f>
        <v>0</v>
      </c>
      <c r="V102" s="145">
        <f>SUMIFS('caseload data'!F:F,'caseload data'!$D:$D,"PSO",'caseload data'!$C:$C,'custody caseload'!$T$99,'caseload data'!$B:$B,"custody")</f>
        <v>0</v>
      </c>
      <c r="W102" s="145">
        <f>SUMIFS('caseload data'!G:G,'caseload data'!$D:$D,"PSO",'caseload data'!$C:$C,'custody caseload'!$T$99,'caseload data'!$B:$B,"custody")</f>
        <v>0</v>
      </c>
      <c r="X102" s="145">
        <f>SUMIFS('caseload data'!H:H,'caseload data'!$D:$D,"PSO",'caseload data'!$C:$C,'custody caseload'!$T$99,'caseload data'!$B:$B,"custody")</f>
        <v>0</v>
      </c>
      <c r="Y102" s="145">
        <f>SUMIFS('caseload data'!I:I,'caseload data'!$D:$D,"PSO",'caseload data'!$C:$C,'custody caseload'!$T$99,'caseload data'!$B:$B,"custody")</f>
        <v>0</v>
      </c>
      <c r="Z102" s="145">
        <f>SUMIFS('caseload data'!J:J,'caseload data'!$D:$D,"PSO",'caseload data'!$C:$C,'custody caseload'!$T$99,'caseload data'!$B:$B,"custody")</f>
        <v>0</v>
      </c>
      <c r="AA102" s="145">
        <f>SUMIFS('caseload data'!K:K,'caseload data'!$D:$D,"PSO",'caseload data'!$C:$C,'custody caseload'!$T$99,'caseload data'!$B:$B,"custody")</f>
        <v>0</v>
      </c>
      <c r="AB102" s="145">
        <f>SUMIFS('caseload data'!L:L,'caseload data'!$D:$D,"PSO",'caseload data'!$C:$C,'custody caseload'!$T$99,'caseload data'!$B:$B,"custody")</f>
        <v>0</v>
      </c>
      <c r="AC102" s="94">
        <f>SUMIFS('caseload data'!M:M,'caseload data'!$D:$D,"PSO",'caseload data'!$C:$C,'custody caseload'!$T$99,'caseload data'!$B:$B,"custody")</f>
        <v>0</v>
      </c>
      <c r="AD102" s="94">
        <f>SUMIFS('caseload data'!N:N,'caseload data'!$D:$D,"PSO",'caseload data'!$C:$C,'custody caseload'!$T$99,'caseload data'!$B:$B,"custody")</f>
        <v>0</v>
      </c>
      <c r="AE102" s="94">
        <f>SUMIFS('caseload data'!O:O,'caseload data'!$D:$D,"PSO",'caseload data'!$C:$C,'custody caseload'!$T$99,'caseload data'!$B:$B,"custody")</f>
        <v>0</v>
      </c>
      <c r="AF102" s="94">
        <f>SUMIFS('caseload data'!P:P,'caseload data'!$D:$D,"PSO",'caseload data'!$C:$C,'custody caseload'!$T$99,'caseload data'!$B:$B,"custody")</f>
        <v>0</v>
      </c>
      <c r="AG102" s="94">
        <f>SUMIFS('caseload data'!Q:Q,'caseload data'!$D:$D,"PSO",'caseload data'!$C:$C,'custody caseload'!$T$99,'caseload data'!$B:$B,"custody")</f>
        <v>0</v>
      </c>
      <c r="AH102" s="94">
        <f>SUMIFS('caseload data'!R:R,'caseload data'!$D:$D,"PSO",'caseload data'!$C:$C,'custody caseload'!$T$99,'caseload data'!$B:$B,"custody")</f>
        <v>0</v>
      </c>
      <c r="AI102" s="94">
        <f>SUMIFS('caseload data'!S:S,'caseload data'!$D:$D,"PSO",'caseload data'!$C:$C,'custody caseload'!$T$99,'caseload data'!$B:$B,"custody")</f>
        <v>0</v>
      </c>
      <c r="AJ102" s="94">
        <f>SUMIFS('caseload data'!T:T,'caseload data'!$D:$D,"PSO",'caseload data'!$C:$C,'custody caseload'!$T$99,'caseload data'!$B:$B,"custody")</f>
        <v>0</v>
      </c>
    </row>
    <row r="103" spans="2:36" ht="15" x14ac:dyDescent="0.2">
      <c r="B103" s="97" t="s">
        <v>1003</v>
      </c>
      <c r="C103" s="145">
        <f>SUMIFS('caseload data'!E:E,'caseload data'!$D:$D,"TPO",'caseload data'!$C:$C,'custody caseload'!$B$99,'caseload data'!$B:$B,"custody")</f>
        <v>0</v>
      </c>
      <c r="D103" s="145">
        <f>SUMIFS('caseload data'!F:F,'caseload data'!$D:$D,"TPO",'caseload data'!$C:$C,'custody caseload'!$B$99,'caseload data'!$B:$B,"custody")</f>
        <v>0</v>
      </c>
      <c r="E103" s="145">
        <f>SUMIFS('caseload data'!G:G,'caseload data'!$D:$D,"TPO",'caseload data'!$C:$C,'custody caseload'!$B$99,'caseload data'!$B:$B,"custody")</f>
        <v>0</v>
      </c>
      <c r="F103" s="145">
        <f>SUMIFS('caseload data'!H:H,'caseload data'!$D:$D,"TPO",'caseload data'!$C:$C,'custody caseload'!$B$99,'caseload data'!$B:$B,"custody")</f>
        <v>0</v>
      </c>
      <c r="G103" s="145">
        <f>SUMIFS('caseload data'!I:I,'caseload data'!$D:$D,"TPO",'caseload data'!$C:$C,'custody caseload'!$B$99,'caseload data'!$B:$B,"custody")</f>
        <v>0</v>
      </c>
      <c r="H103" s="145">
        <f>SUMIFS('caseload data'!J:J,'caseload data'!$D:$D,"TPO",'caseload data'!$C:$C,'custody caseload'!$B$99,'caseload data'!$B:$B,"custody")</f>
        <v>0</v>
      </c>
      <c r="I103" s="145">
        <f>SUMIFS('caseload data'!K:K,'caseload data'!$D:$D,"TPO",'caseload data'!$C:$C,'custody caseload'!$B$99,'caseload data'!$B:$B,"custody")</f>
        <v>0</v>
      </c>
      <c r="J103" s="145">
        <f>SUMIFS('caseload data'!L:L,'caseload data'!$D:$D,"TPO",'caseload data'!$C:$C,'custody caseload'!$B$99,'caseload data'!$B:$B,"custody")</f>
        <v>0</v>
      </c>
      <c r="K103" s="94">
        <f>SUMIFS('caseload data'!M:M,'caseload data'!$D:$D,"TPO",'caseload data'!$C:$C,'custody caseload'!$B$99,'caseload data'!$B:$B,"custody")</f>
        <v>0</v>
      </c>
      <c r="L103" s="94">
        <f>SUMIFS('caseload data'!N:N,'caseload data'!$D:$D,"TPO",'caseload data'!$C:$C,'custody caseload'!$B$99,'caseload data'!$B:$B,"custody")</f>
        <v>0</v>
      </c>
      <c r="M103" s="94">
        <f>SUMIFS('caseload data'!O:O,'caseload data'!$D:$D,"TPO",'caseload data'!$C:$C,'custody caseload'!$B$99,'caseload data'!$B:$B,"custody")</f>
        <v>0</v>
      </c>
      <c r="N103" s="94">
        <f>SUMIFS('caseload data'!P:P,'caseload data'!$D:$D,"TPO",'caseload data'!$C:$C,'custody caseload'!$B$99,'caseload data'!$B:$B,"custody")</f>
        <v>0</v>
      </c>
      <c r="O103" s="94">
        <f>SUMIFS('caseload data'!Q:Q,'caseload data'!$D:$D,"TPO",'caseload data'!$C:$C,'custody caseload'!$B$99,'caseload data'!$B:$B,"custody")</f>
        <v>0</v>
      </c>
      <c r="P103" s="94">
        <f>SUMIFS('caseload data'!R:R,'caseload data'!$D:$D,"TPO",'caseload data'!$C:$C,'custody caseload'!$B$99,'caseload data'!$B:$B,"custody")</f>
        <v>0</v>
      </c>
      <c r="Q103" s="94">
        <f>SUMIFS('caseload data'!S:S,'caseload data'!$D:$D,"TPO",'caseload data'!$C:$C,'custody caseload'!$B$99,'caseload data'!$B:$B,"custody")</f>
        <v>0</v>
      </c>
      <c r="R103" s="94">
        <f>SUMIFS('caseload data'!T:T,'caseload data'!$D:$D,"TPO",'caseload data'!$C:$C,'custody caseload'!$B$99,'caseload data'!$B:$B,"custody")</f>
        <v>0</v>
      </c>
      <c r="T103" s="97" t="s">
        <v>1003</v>
      </c>
      <c r="U103" s="145">
        <f>SUMIFS('caseload data'!E:E,'caseload data'!$D:$D,"TPO",'caseload data'!$C:$C,'custody caseload'!$T$99,'caseload data'!$B:$B,"custody")</f>
        <v>0</v>
      </c>
      <c r="V103" s="145">
        <f>SUMIFS('caseload data'!F:F,'caseload data'!$D:$D,"TPO",'caseload data'!$C:$C,'custody caseload'!$T$99,'caseload data'!$B:$B,"custody")</f>
        <v>0</v>
      </c>
      <c r="W103" s="145">
        <f>SUMIFS('caseload data'!G:G,'caseload data'!$D:$D,"TPO",'caseload data'!$C:$C,'custody caseload'!$T$99,'caseload data'!$B:$B,"custody")</f>
        <v>0</v>
      </c>
      <c r="X103" s="145">
        <f>SUMIFS('caseload data'!H:H,'caseload data'!$D:$D,"TPO",'caseload data'!$C:$C,'custody caseload'!$T$99,'caseload data'!$B:$B,"custody")</f>
        <v>0</v>
      </c>
      <c r="Y103" s="145">
        <f>SUMIFS('caseload data'!I:I,'caseload data'!$D:$D,"TPO",'caseload data'!$C:$C,'custody caseload'!$T$99,'caseload data'!$B:$B,"custody")</f>
        <v>0</v>
      </c>
      <c r="Z103" s="145">
        <f>SUMIFS('caseload data'!J:J,'caseload data'!$D:$D,"TPO",'caseload data'!$C:$C,'custody caseload'!$T$99,'caseload data'!$B:$B,"custody")</f>
        <v>0</v>
      </c>
      <c r="AA103" s="145">
        <f>SUMIFS('caseload data'!K:K,'caseload data'!$D:$D,"TPO",'caseload data'!$C:$C,'custody caseload'!$T$99,'caseload data'!$B:$B,"custody")</f>
        <v>0</v>
      </c>
      <c r="AB103" s="145">
        <f>SUMIFS('caseload data'!L:L,'caseload data'!$D:$D,"TPO",'caseload data'!$C:$C,'custody caseload'!$T$99,'caseload data'!$B:$B,"custody")</f>
        <v>0</v>
      </c>
      <c r="AC103" s="94">
        <f>SUMIFS('caseload data'!M:M,'caseload data'!$D:$D,"TPO",'caseload data'!$C:$C,'custody caseload'!$T$99,'caseload data'!$B:$B,"custody")</f>
        <v>0</v>
      </c>
      <c r="AD103" s="94">
        <f>SUMIFS('caseload data'!N:N,'caseload data'!$D:$D,"TPO",'caseload data'!$C:$C,'custody caseload'!$T$99,'caseload data'!$B:$B,"custody")</f>
        <v>0</v>
      </c>
      <c r="AE103" s="94">
        <f>SUMIFS('caseload data'!O:O,'caseload data'!$D:$D,"TPO",'caseload data'!$C:$C,'custody caseload'!$T$99,'caseload data'!$B:$B,"custody")</f>
        <v>0</v>
      </c>
      <c r="AF103" s="94">
        <f>SUMIFS('caseload data'!P:P,'caseload data'!$D:$D,"TPO",'caseload data'!$C:$C,'custody caseload'!$T$99,'caseload data'!$B:$B,"custody")</f>
        <v>0</v>
      </c>
      <c r="AG103" s="94">
        <f>SUMIFS('caseload data'!Q:Q,'caseload data'!$D:$D,"TPO",'caseload data'!$C:$C,'custody caseload'!$T$99,'caseload data'!$B:$B,"custody")</f>
        <v>0</v>
      </c>
      <c r="AH103" s="94">
        <f>SUMIFS('caseload data'!R:R,'caseload data'!$D:$D,"TPO",'caseload data'!$C:$C,'custody caseload'!$T$99,'caseload data'!$B:$B,"custody")</f>
        <v>0</v>
      </c>
      <c r="AI103" s="94">
        <f>SUMIFS('caseload data'!S:S,'caseload data'!$D:$D,"TPO",'caseload data'!$C:$C,'custody caseload'!$T$99,'caseload data'!$B:$B,"custody")</f>
        <v>0</v>
      </c>
      <c r="AJ103" s="94">
        <f>SUMIFS('caseload data'!T:T,'caseload data'!$D:$D,"TPO",'caseload data'!$C:$C,'custody caseload'!$T$99,'caseload data'!$B:$B,"custody")</f>
        <v>0</v>
      </c>
    </row>
    <row r="104" spans="2:36" x14ac:dyDescent="0.15">
      <c r="B104" s="98" t="s">
        <v>1004</v>
      </c>
      <c r="C104" s="94">
        <f>SUMIFS('caseload data'!E:E,'caseload data'!$D:$D,"SPO",'caseload data'!$C:$C,'custody caseload'!$B$99,'caseload data'!$B:$B,"custody")</f>
        <v>0</v>
      </c>
      <c r="D104" s="94">
        <f>SUMIFS('caseload data'!F:F,'caseload data'!$D:$D,"SPO",'caseload data'!$C:$C,'custody caseload'!$B$99,'caseload data'!$B:$B,"custody")</f>
        <v>0</v>
      </c>
      <c r="E104" s="94">
        <f>SUMIFS('caseload data'!G:G,'caseload data'!$D:$D,"SPO",'caseload data'!$C:$C,'custody caseload'!$B$99,'caseload data'!$B:$B,"custody")</f>
        <v>0</v>
      </c>
      <c r="F104" s="94">
        <f>SUMIFS('caseload data'!H:H,'caseload data'!$D:$D,"SPO",'caseload data'!$C:$C,'custody caseload'!$B$99,'caseload data'!$B:$B,"custody")</f>
        <v>0</v>
      </c>
      <c r="G104" s="94">
        <f>SUMIFS('caseload data'!I:I,'caseload data'!$D:$D,"SPO",'caseload data'!$C:$C,'custody caseload'!$B$99,'caseload data'!$B:$B,"custody")</f>
        <v>0</v>
      </c>
      <c r="H104" s="94">
        <f>SUMIFS('caseload data'!J:J,'caseload data'!$D:$D,"SPO",'caseload data'!$C:$C,'custody caseload'!$B$99,'caseload data'!$B:$B,"custody")</f>
        <v>0</v>
      </c>
      <c r="I104" s="94">
        <f>SUMIFS('caseload data'!K:K,'caseload data'!$D:$D,"SPO",'caseload data'!$C:$C,'custody caseload'!$B$99,'caseload data'!$B:$B,"custody")</f>
        <v>0</v>
      </c>
      <c r="J104" s="94">
        <f>SUMIFS('caseload data'!L:L,'caseload data'!$D:$D,"SPO",'caseload data'!$C:$C,'custody caseload'!$B$99,'caseload data'!$B:$B,"custody")</f>
        <v>0</v>
      </c>
      <c r="K104" s="94">
        <f>SUMIFS('caseload data'!M:M,'caseload data'!$D:$D,"SPO",'caseload data'!$C:$C,'custody caseload'!$B$99,'caseload data'!$B:$B,"custody")</f>
        <v>0</v>
      </c>
      <c r="L104" s="94">
        <f>SUMIFS('caseload data'!N:N,'caseload data'!$D:$D,"SPO",'caseload data'!$C:$C,'custody caseload'!$B$99,'caseload data'!$B:$B,"custody")</f>
        <v>0</v>
      </c>
      <c r="M104" s="94">
        <f>SUMIFS('caseload data'!O:O,'caseload data'!$D:$D,"SPO",'caseload data'!$C:$C,'custody caseload'!$B$99,'caseload data'!$B:$B,"custody")</f>
        <v>0</v>
      </c>
      <c r="N104" s="94">
        <f>SUMIFS('caseload data'!P:P,'caseload data'!$D:$D,"SPO",'caseload data'!$C:$C,'custody caseload'!$B$99,'caseload data'!$B:$B,"custody")</f>
        <v>0</v>
      </c>
      <c r="O104" s="94">
        <f>SUMIFS('caseload data'!Q:Q,'caseload data'!$D:$D,"SPO",'caseload data'!$C:$C,'custody caseload'!$B$99,'caseload data'!$B:$B,"custody")</f>
        <v>0</v>
      </c>
      <c r="P104" s="94">
        <f>SUMIFS('caseload data'!R:R,'caseload data'!$D:$D,"SPO",'caseload data'!$C:$C,'custody caseload'!$B$99,'caseload data'!$B:$B,"custody")</f>
        <v>0</v>
      </c>
      <c r="Q104" s="94">
        <f>SUMIFS('caseload data'!S:S,'caseload data'!$D:$D,"SPO",'caseload data'!$C:$C,'custody caseload'!$B$99,'caseload data'!$B:$B,"custody")</f>
        <v>0</v>
      </c>
      <c r="R104" s="94">
        <f>SUMIFS('caseload data'!T:T,'caseload data'!$D:$D,"SPO",'caseload data'!$C:$C,'custody caseload'!$B$99,'caseload data'!$B:$B,"custody")</f>
        <v>0</v>
      </c>
      <c r="T104" s="98" t="s">
        <v>1004</v>
      </c>
      <c r="U104" s="94">
        <f>SUMIFS('caseload data'!E:E,'caseload data'!$D:$D,"SPO",'caseload data'!$C:$C,'custody caseload'!$T$99,'caseload data'!$B:$B,"custody")</f>
        <v>0</v>
      </c>
      <c r="V104" s="94">
        <f>SUMIFS('caseload data'!F:F,'caseload data'!$D:$D,"SPO",'caseload data'!$C:$C,'custody caseload'!$T$99,'caseload data'!$B:$B,"custody")</f>
        <v>0</v>
      </c>
      <c r="W104" s="94">
        <f>SUMIFS('caseload data'!G:G,'caseload data'!$D:$D,"SPO",'caseload data'!$C:$C,'custody caseload'!$T$99,'caseload data'!$B:$B,"custody")</f>
        <v>0</v>
      </c>
      <c r="X104" s="94">
        <f>SUMIFS('caseload data'!H:H,'caseload data'!$D:$D,"SPO",'caseload data'!$C:$C,'custody caseload'!$T$99,'caseload data'!$B:$B,"custody")</f>
        <v>0</v>
      </c>
      <c r="Y104" s="94">
        <f>SUMIFS('caseload data'!I:I,'caseload data'!$D:$D,"SPO",'caseload data'!$C:$C,'custody caseload'!$T$99,'caseload data'!$B:$B,"custody")</f>
        <v>0</v>
      </c>
      <c r="Z104" s="94">
        <f>SUMIFS('caseload data'!J:J,'caseload data'!$D:$D,"SPO",'caseload data'!$C:$C,'custody caseload'!$T$99,'caseload data'!$B:$B,"custody")</f>
        <v>0</v>
      </c>
      <c r="AA104" s="94">
        <f>SUMIFS('caseload data'!K:K,'caseload data'!$D:$D,"SPO",'caseload data'!$C:$C,'custody caseload'!$T$99,'caseload data'!$B:$B,"custody")</f>
        <v>0</v>
      </c>
      <c r="AB104" s="94">
        <f>SUMIFS('caseload data'!L:L,'caseload data'!$D:$D,"SPO",'caseload data'!$C:$C,'custody caseload'!$T$99,'caseload data'!$B:$B,"custody")</f>
        <v>0</v>
      </c>
      <c r="AC104" s="94">
        <f>SUMIFS('caseload data'!M:M,'caseload data'!$D:$D,"SPO",'caseload data'!$C:$C,'custody caseload'!$T$99,'caseload data'!$B:$B,"custody")</f>
        <v>0</v>
      </c>
      <c r="AD104" s="94">
        <f>SUMIFS('caseload data'!N:N,'caseload data'!$D:$D,"SPO",'caseload data'!$C:$C,'custody caseload'!$T$99,'caseload data'!$B:$B,"custody")</f>
        <v>0</v>
      </c>
      <c r="AE104" s="94">
        <f>SUMIFS('caseload data'!O:O,'caseload data'!$D:$D,"SPO",'caseload data'!$C:$C,'custody caseload'!$T$99,'caseload data'!$B:$B,"custody")</f>
        <v>0</v>
      </c>
      <c r="AF104" s="94">
        <f>SUMIFS('caseload data'!P:P,'caseload data'!$D:$D,"SPO",'caseload data'!$C:$C,'custody caseload'!$T$99,'caseload data'!$B:$B,"custody")</f>
        <v>0</v>
      </c>
      <c r="AG104" s="94">
        <f>SUMIFS('caseload data'!Q:Q,'caseload data'!$D:$D,"SPO",'caseload data'!$C:$C,'custody caseload'!$T$99,'caseload data'!$B:$B,"custody")</f>
        <v>0</v>
      </c>
      <c r="AH104" s="94">
        <f>SUMIFS('caseload data'!R:R,'caseload data'!$D:$D,"SPO",'caseload data'!$C:$C,'custody caseload'!$T$99,'caseload data'!$B:$B,"custody")</f>
        <v>0</v>
      </c>
      <c r="AI104" s="94">
        <f>SUMIFS('caseload data'!S:S,'caseload data'!$D:$D,"SPO",'caseload data'!$C:$C,'custody caseload'!$T$99,'caseload data'!$B:$B,"custody")</f>
        <v>0</v>
      </c>
      <c r="AJ104" s="94">
        <f>SUMIFS('caseload data'!T:T,'caseload data'!$D:$D,"SPO",'caseload data'!$C:$C,'custody caseload'!$T$99,'caseload data'!$B:$B,"custody")</f>
        <v>0</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71:O71"/>
    <mergeCell ref="P71:R71"/>
    <mergeCell ref="C64:O64"/>
    <mergeCell ref="P64:R64"/>
    <mergeCell ref="U64:AG64"/>
    <mergeCell ref="AH64:AJ64"/>
    <mergeCell ref="C57:O57"/>
    <mergeCell ref="P57:R57"/>
    <mergeCell ref="U57:AG57"/>
    <mergeCell ref="AH57:AJ57"/>
    <mergeCell ref="C43:O43"/>
    <mergeCell ref="P43:R43"/>
    <mergeCell ref="U43:AG43"/>
    <mergeCell ref="AH43:AJ43"/>
    <mergeCell ref="C50:O50"/>
    <mergeCell ref="P50:R50"/>
    <mergeCell ref="U50:AG50"/>
    <mergeCell ref="AH50:AJ50"/>
    <mergeCell ref="C29:O29"/>
    <mergeCell ref="P29:R29"/>
    <mergeCell ref="U29:AG29"/>
    <mergeCell ref="AH29:AJ29"/>
    <mergeCell ref="C36:O36"/>
    <mergeCell ref="P36:R36"/>
    <mergeCell ref="U36:AG36"/>
    <mergeCell ref="AH36:AJ36"/>
    <mergeCell ref="C15:O15"/>
    <mergeCell ref="P15:R15"/>
    <mergeCell ref="U15:AG15"/>
    <mergeCell ref="AH15:AJ15"/>
    <mergeCell ref="C22:O22"/>
    <mergeCell ref="P22:R22"/>
    <mergeCell ref="U22:AG22"/>
    <mergeCell ref="AH22:AJ22"/>
    <mergeCell ref="C8:O8"/>
    <mergeCell ref="P8:R8"/>
    <mergeCell ref="U8:AG8"/>
    <mergeCell ref="AH8:AJ8"/>
    <mergeCell ref="A1:AJ1"/>
    <mergeCell ref="B2:AJ2"/>
  </mergeCells>
  <conditionalFormatting sqref="C11:C12">
    <cfRule type="cellIs" dxfId="3081" priority="897" operator="equal">
      <formula>0</formula>
    </cfRule>
    <cfRule type="cellIs" dxfId="3080" priority="898" operator="notEqual">
      <formula>0</formula>
    </cfRule>
  </conditionalFormatting>
  <conditionalFormatting sqref="D11:D12">
    <cfRule type="cellIs" dxfId="3079" priority="895" operator="equal">
      <formula>0</formula>
    </cfRule>
    <cfRule type="cellIs" dxfId="3078" priority="896" operator="notEqual">
      <formula>0</formula>
    </cfRule>
  </conditionalFormatting>
  <conditionalFormatting sqref="E11:E12">
    <cfRule type="cellIs" dxfId="3077" priority="893" operator="equal">
      <formula>0</formula>
    </cfRule>
    <cfRule type="cellIs" dxfId="3076" priority="894" operator="notEqual">
      <formula>0</formula>
    </cfRule>
  </conditionalFormatting>
  <conditionalFormatting sqref="F11:F12">
    <cfRule type="cellIs" dxfId="3075" priority="891" operator="equal">
      <formula>0</formula>
    </cfRule>
    <cfRule type="cellIs" dxfId="3074" priority="892" operator="notEqual">
      <formula>0</formula>
    </cfRule>
  </conditionalFormatting>
  <conditionalFormatting sqref="G11:G12">
    <cfRule type="cellIs" dxfId="3073" priority="887" operator="equal">
      <formula>0</formula>
    </cfRule>
    <cfRule type="cellIs" dxfId="3072" priority="888" operator="notEqual">
      <formula>0</formula>
    </cfRule>
  </conditionalFormatting>
  <conditionalFormatting sqref="H11:H12">
    <cfRule type="cellIs" dxfId="3071" priority="885" operator="equal">
      <formula>0</formula>
    </cfRule>
    <cfRule type="cellIs" dxfId="3070" priority="886" operator="notEqual">
      <formula>0</formula>
    </cfRule>
  </conditionalFormatting>
  <conditionalFormatting sqref="I11:I12">
    <cfRule type="cellIs" dxfId="3069" priority="883" operator="equal">
      <formula>0</formula>
    </cfRule>
    <cfRule type="cellIs" dxfId="3068" priority="884" operator="notEqual">
      <formula>0</formula>
    </cfRule>
  </conditionalFormatting>
  <conditionalFormatting sqref="J11:J12">
    <cfRule type="cellIs" dxfId="3067" priority="881" operator="equal">
      <formula>0</formula>
    </cfRule>
    <cfRule type="cellIs" dxfId="3066" priority="882" operator="notEqual">
      <formula>0</formula>
    </cfRule>
  </conditionalFormatting>
  <conditionalFormatting sqref="O10">
    <cfRule type="cellIs" dxfId="3065" priority="879" operator="equal">
      <formula>0</formula>
    </cfRule>
    <cfRule type="cellIs" dxfId="3064" priority="880" operator="notEqual">
      <formula>0</formula>
    </cfRule>
  </conditionalFormatting>
  <conditionalFormatting sqref="O13">
    <cfRule type="cellIs" dxfId="3063" priority="877" operator="equal">
      <formula>0</formula>
    </cfRule>
    <cfRule type="cellIs" dxfId="3062" priority="878" operator="notEqual">
      <formula>0</formula>
    </cfRule>
  </conditionalFormatting>
  <conditionalFormatting sqref="P10">
    <cfRule type="cellIs" dxfId="3061" priority="875" operator="equal">
      <formula>0</formula>
    </cfRule>
    <cfRule type="cellIs" dxfId="3060" priority="876" operator="notEqual">
      <formula>0</formula>
    </cfRule>
  </conditionalFormatting>
  <conditionalFormatting sqref="P13">
    <cfRule type="cellIs" dxfId="3059" priority="873" operator="equal">
      <formula>0</formula>
    </cfRule>
    <cfRule type="cellIs" dxfId="3058" priority="874" operator="notEqual">
      <formula>0</formula>
    </cfRule>
  </conditionalFormatting>
  <conditionalFormatting sqref="Q10">
    <cfRule type="cellIs" dxfId="3057" priority="871" operator="equal">
      <formula>0</formula>
    </cfRule>
    <cfRule type="cellIs" dxfId="3056" priority="872" operator="notEqual">
      <formula>0</formula>
    </cfRule>
  </conditionalFormatting>
  <conditionalFormatting sqref="Q13">
    <cfRule type="cellIs" dxfId="3055" priority="869" operator="equal">
      <formula>0</formula>
    </cfRule>
    <cfRule type="cellIs" dxfId="3054" priority="870" operator="notEqual">
      <formula>0</formula>
    </cfRule>
  </conditionalFormatting>
  <conditionalFormatting sqref="R10">
    <cfRule type="cellIs" dxfId="3053" priority="867" operator="equal">
      <formula>0</formula>
    </cfRule>
    <cfRule type="cellIs" dxfId="3052" priority="868" operator="notEqual">
      <formula>0</formula>
    </cfRule>
  </conditionalFormatting>
  <conditionalFormatting sqref="R13">
    <cfRule type="cellIs" dxfId="3051" priority="865" operator="equal">
      <formula>0</formula>
    </cfRule>
    <cfRule type="cellIs" dxfId="3050" priority="866" operator="notEqual">
      <formula>0</formula>
    </cfRule>
  </conditionalFormatting>
  <conditionalFormatting sqref="C18:C19">
    <cfRule type="cellIs" dxfId="3049" priority="863" operator="equal">
      <formula>0</formula>
    </cfRule>
    <cfRule type="cellIs" dxfId="3048" priority="864" operator="notEqual">
      <formula>0</formula>
    </cfRule>
  </conditionalFormatting>
  <conditionalFormatting sqref="D18:D19">
    <cfRule type="cellIs" dxfId="3047" priority="861" operator="equal">
      <formula>0</formula>
    </cfRule>
    <cfRule type="cellIs" dxfId="3046" priority="862" operator="notEqual">
      <formula>0</formula>
    </cfRule>
  </conditionalFormatting>
  <conditionalFormatting sqref="E18:E19">
    <cfRule type="cellIs" dxfId="3045" priority="859" operator="equal">
      <formula>0</formula>
    </cfRule>
    <cfRule type="cellIs" dxfId="3044" priority="860" operator="notEqual">
      <formula>0</formula>
    </cfRule>
  </conditionalFormatting>
  <conditionalFormatting sqref="F18:F19">
    <cfRule type="cellIs" dxfId="3043" priority="857" operator="equal">
      <formula>0</formula>
    </cfRule>
    <cfRule type="cellIs" dxfId="3042" priority="858" operator="notEqual">
      <formula>0</formula>
    </cfRule>
  </conditionalFormatting>
  <conditionalFormatting sqref="G18:G19">
    <cfRule type="cellIs" dxfId="3041" priority="855" operator="equal">
      <formula>0</formula>
    </cfRule>
    <cfRule type="cellIs" dxfId="3040" priority="856" operator="notEqual">
      <formula>0</formula>
    </cfRule>
  </conditionalFormatting>
  <conditionalFormatting sqref="H18:H19">
    <cfRule type="cellIs" dxfId="3039" priority="853" operator="equal">
      <formula>0</formula>
    </cfRule>
    <cfRule type="cellIs" dxfId="3038" priority="854" operator="notEqual">
      <formula>0</formula>
    </cfRule>
  </conditionalFormatting>
  <conditionalFormatting sqref="I18:I19">
    <cfRule type="cellIs" dxfId="3037" priority="851" operator="equal">
      <formula>0</formula>
    </cfRule>
    <cfRule type="cellIs" dxfId="3036" priority="852" operator="notEqual">
      <formula>0</formula>
    </cfRule>
  </conditionalFormatting>
  <conditionalFormatting sqref="J18:J19">
    <cfRule type="cellIs" dxfId="3035" priority="849" operator="equal">
      <formula>0</formula>
    </cfRule>
    <cfRule type="cellIs" dxfId="3034" priority="850" operator="notEqual">
      <formula>0</formula>
    </cfRule>
  </conditionalFormatting>
  <conditionalFormatting sqref="O17">
    <cfRule type="cellIs" dxfId="3033" priority="847" operator="equal">
      <formula>0</formula>
    </cfRule>
    <cfRule type="cellIs" dxfId="3032" priority="848" operator="notEqual">
      <formula>0</formula>
    </cfRule>
  </conditionalFormatting>
  <conditionalFormatting sqref="O20">
    <cfRule type="cellIs" dxfId="3031" priority="845" operator="equal">
      <formula>0</formula>
    </cfRule>
    <cfRule type="cellIs" dxfId="3030" priority="846" operator="notEqual">
      <formula>0</formula>
    </cfRule>
  </conditionalFormatting>
  <conditionalFormatting sqref="P17">
    <cfRule type="cellIs" dxfId="3029" priority="843" operator="equal">
      <formula>0</formula>
    </cfRule>
    <cfRule type="cellIs" dxfId="3028" priority="844" operator="notEqual">
      <formula>0</formula>
    </cfRule>
  </conditionalFormatting>
  <conditionalFormatting sqref="P20">
    <cfRule type="cellIs" dxfId="3027" priority="841" operator="equal">
      <formula>0</formula>
    </cfRule>
    <cfRule type="cellIs" dxfId="3026" priority="842" operator="notEqual">
      <formula>0</formula>
    </cfRule>
  </conditionalFormatting>
  <conditionalFormatting sqref="Q17">
    <cfRule type="cellIs" dxfId="3025" priority="839" operator="equal">
      <formula>0</formula>
    </cfRule>
    <cfRule type="cellIs" dxfId="3024" priority="840" operator="notEqual">
      <formula>0</formula>
    </cfRule>
  </conditionalFormatting>
  <conditionalFormatting sqref="Q20">
    <cfRule type="cellIs" dxfId="3023" priority="837" operator="equal">
      <formula>0</formula>
    </cfRule>
    <cfRule type="cellIs" dxfId="3022" priority="838" operator="notEqual">
      <formula>0</formula>
    </cfRule>
  </conditionalFormatting>
  <conditionalFormatting sqref="R17">
    <cfRule type="cellIs" dxfId="3021" priority="835" operator="equal">
      <formula>0</formula>
    </cfRule>
    <cfRule type="cellIs" dxfId="3020" priority="836" operator="notEqual">
      <formula>0</formula>
    </cfRule>
  </conditionalFormatting>
  <conditionalFormatting sqref="R20">
    <cfRule type="cellIs" dxfId="3019" priority="833" operator="equal">
      <formula>0</formula>
    </cfRule>
    <cfRule type="cellIs" dxfId="3018" priority="834" operator="notEqual">
      <formula>0</formula>
    </cfRule>
  </conditionalFormatting>
  <conditionalFormatting sqref="C25:C26">
    <cfRule type="cellIs" dxfId="3017" priority="831" operator="equal">
      <formula>0</formula>
    </cfRule>
    <cfRule type="cellIs" dxfId="3016" priority="832" operator="notEqual">
      <formula>0</formula>
    </cfRule>
  </conditionalFormatting>
  <conditionalFormatting sqref="D25:D26">
    <cfRule type="cellIs" dxfId="3015" priority="829" operator="equal">
      <formula>0</formula>
    </cfRule>
    <cfRule type="cellIs" dxfId="3014" priority="830" operator="notEqual">
      <formula>0</formula>
    </cfRule>
  </conditionalFormatting>
  <conditionalFormatting sqref="E25:E26">
    <cfRule type="cellIs" dxfId="3013" priority="827" operator="equal">
      <formula>0</formula>
    </cfRule>
    <cfRule type="cellIs" dxfId="3012" priority="828" operator="notEqual">
      <formula>0</formula>
    </cfRule>
  </conditionalFormatting>
  <conditionalFormatting sqref="F25:F26">
    <cfRule type="cellIs" dxfId="3011" priority="825" operator="equal">
      <formula>0</formula>
    </cfRule>
    <cfRule type="cellIs" dxfId="3010" priority="826" operator="notEqual">
      <formula>0</formula>
    </cfRule>
  </conditionalFormatting>
  <conditionalFormatting sqref="G25:G26">
    <cfRule type="cellIs" dxfId="3009" priority="823" operator="equal">
      <formula>0</formula>
    </cfRule>
    <cfRule type="cellIs" dxfId="3008" priority="824" operator="notEqual">
      <formula>0</formula>
    </cfRule>
  </conditionalFormatting>
  <conditionalFormatting sqref="H25:H26">
    <cfRule type="cellIs" dxfId="3007" priority="821" operator="equal">
      <formula>0</formula>
    </cfRule>
    <cfRule type="cellIs" dxfId="3006" priority="822" operator="notEqual">
      <formula>0</formula>
    </cfRule>
  </conditionalFormatting>
  <conditionalFormatting sqref="I25:I26">
    <cfRule type="cellIs" dxfId="3005" priority="819" operator="equal">
      <formula>0</formula>
    </cfRule>
    <cfRule type="cellIs" dxfId="3004" priority="820" operator="notEqual">
      <formula>0</formula>
    </cfRule>
  </conditionalFormatting>
  <conditionalFormatting sqref="J25:J26">
    <cfRule type="cellIs" dxfId="3003" priority="817" operator="equal">
      <formula>0</formula>
    </cfRule>
    <cfRule type="cellIs" dxfId="3002" priority="818" operator="notEqual">
      <formula>0</formula>
    </cfRule>
  </conditionalFormatting>
  <conditionalFormatting sqref="O24">
    <cfRule type="cellIs" dxfId="3001" priority="815" operator="equal">
      <formula>0</formula>
    </cfRule>
    <cfRule type="cellIs" dxfId="3000" priority="816" operator="notEqual">
      <formula>0</formula>
    </cfRule>
  </conditionalFormatting>
  <conditionalFormatting sqref="O27">
    <cfRule type="cellIs" dxfId="2999" priority="813" operator="equal">
      <formula>0</formula>
    </cfRule>
    <cfRule type="cellIs" dxfId="2998" priority="814" operator="notEqual">
      <formula>0</formula>
    </cfRule>
  </conditionalFormatting>
  <conditionalFormatting sqref="P24">
    <cfRule type="cellIs" dxfId="2997" priority="811" operator="equal">
      <formula>0</formula>
    </cfRule>
    <cfRule type="cellIs" dxfId="2996" priority="812" operator="notEqual">
      <formula>0</formula>
    </cfRule>
  </conditionalFormatting>
  <conditionalFormatting sqref="P27">
    <cfRule type="cellIs" dxfId="2995" priority="809" operator="equal">
      <formula>0</formula>
    </cfRule>
    <cfRule type="cellIs" dxfId="2994" priority="810" operator="notEqual">
      <formula>0</formula>
    </cfRule>
  </conditionalFormatting>
  <conditionalFormatting sqref="Q24">
    <cfRule type="cellIs" dxfId="2993" priority="807" operator="equal">
      <formula>0</formula>
    </cfRule>
    <cfRule type="cellIs" dxfId="2992" priority="808" operator="notEqual">
      <formula>0</formula>
    </cfRule>
  </conditionalFormatting>
  <conditionalFormatting sqref="Q27">
    <cfRule type="cellIs" dxfId="2991" priority="805" operator="equal">
      <formula>0</formula>
    </cfRule>
    <cfRule type="cellIs" dxfId="2990" priority="806" operator="notEqual">
      <formula>0</formula>
    </cfRule>
  </conditionalFormatting>
  <conditionalFormatting sqref="R24">
    <cfRule type="cellIs" dxfId="2989" priority="803" operator="equal">
      <formula>0</formula>
    </cfRule>
    <cfRule type="cellIs" dxfId="2988" priority="804" operator="notEqual">
      <formula>0</formula>
    </cfRule>
  </conditionalFormatting>
  <conditionalFormatting sqref="R27">
    <cfRule type="cellIs" dxfId="2987" priority="801" operator="equal">
      <formula>0</formula>
    </cfRule>
    <cfRule type="cellIs" dxfId="2986" priority="802" operator="notEqual">
      <formula>0</formula>
    </cfRule>
  </conditionalFormatting>
  <conditionalFormatting sqref="C32:C33">
    <cfRule type="cellIs" dxfId="2985" priority="799" operator="equal">
      <formula>0</formula>
    </cfRule>
    <cfRule type="cellIs" dxfId="2984" priority="800" operator="notEqual">
      <formula>0</formula>
    </cfRule>
  </conditionalFormatting>
  <conditionalFormatting sqref="D32:D33">
    <cfRule type="cellIs" dxfId="2983" priority="797" operator="equal">
      <formula>0</formula>
    </cfRule>
    <cfRule type="cellIs" dxfId="2982" priority="798" operator="notEqual">
      <formula>0</formula>
    </cfRule>
  </conditionalFormatting>
  <conditionalFormatting sqref="E32:E33">
    <cfRule type="cellIs" dxfId="2981" priority="795" operator="equal">
      <formula>0</formula>
    </cfRule>
    <cfRule type="cellIs" dxfId="2980" priority="796" operator="notEqual">
      <formula>0</formula>
    </cfRule>
  </conditionalFormatting>
  <conditionalFormatting sqref="F32:F33">
    <cfRule type="cellIs" dxfId="2979" priority="793" operator="equal">
      <formula>0</formula>
    </cfRule>
    <cfRule type="cellIs" dxfId="2978" priority="794" operator="notEqual">
      <formula>0</formula>
    </cfRule>
  </conditionalFormatting>
  <conditionalFormatting sqref="G32:G33">
    <cfRule type="cellIs" dxfId="2977" priority="791" operator="equal">
      <formula>0</formula>
    </cfRule>
    <cfRule type="cellIs" dxfId="2976" priority="792" operator="notEqual">
      <formula>0</formula>
    </cfRule>
  </conditionalFormatting>
  <conditionalFormatting sqref="H32:H33">
    <cfRule type="cellIs" dxfId="2975" priority="789" operator="equal">
      <formula>0</formula>
    </cfRule>
    <cfRule type="cellIs" dxfId="2974" priority="790" operator="notEqual">
      <formula>0</formula>
    </cfRule>
  </conditionalFormatting>
  <conditionalFormatting sqref="I32:I33">
    <cfRule type="cellIs" dxfId="2973" priority="787" operator="equal">
      <formula>0</formula>
    </cfRule>
    <cfRule type="cellIs" dxfId="2972" priority="788" operator="notEqual">
      <formula>0</formula>
    </cfRule>
  </conditionalFormatting>
  <conditionalFormatting sqref="J32:J33">
    <cfRule type="cellIs" dxfId="2971" priority="785" operator="equal">
      <formula>0</formula>
    </cfRule>
    <cfRule type="cellIs" dxfId="2970" priority="786" operator="notEqual">
      <formula>0</formula>
    </cfRule>
  </conditionalFormatting>
  <conditionalFormatting sqref="O31">
    <cfRule type="cellIs" dxfId="2969" priority="783" operator="equal">
      <formula>0</formula>
    </cfRule>
    <cfRule type="cellIs" dxfId="2968" priority="784" operator="notEqual">
      <formula>0</formula>
    </cfRule>
  </conditionalFormatting>
  <conditionalFormatting sqref="O34">
    <cfRule type="cellIs" dxfId="2967" priority="781" operator="equal">
      <formula>0</formula>
    </cfRule>
    <cfRule type="cellIs" dxfId="2966" priority="782" operator="notEqual">
      <formula>0</formula>
    </cfRule>
  </conditionalFormatting>
  <conditionalFormatting sqref="P31">
    <cfRule type="cellIs" dxfId="2965" priority="779" operator="equal">
      <formula>0</formula>
    </cfRule>
    <cfRule type="cellIs" dxfId="2964" priority="780" operator="notEqual">
      <formula>0</formula>
    </cfRule>
  </conditionalFormatting>
  <conditionalFormatting sqref="P34">
    <cfRule type="cellIs" dxfId="2963" priority="777" operator="equal">
      <formula>0</formula>
    </cfRule>
    <cfRule type="cellIs" dxfId="2962" priority="778" operator="notEqual">
      <formula>0</formula>
    </cfRule>
  </conditionalFormatting>
  <conditionalFormatting sqref="Q31">
    <cfRule type="cellIs" dxfId="2961" priority="775" operator="equal">
      <formula>0</formula>
    </cfRule>
    <cfRule type="cellIs" dxfId="2960" priority="776" operator="notEqual">
      <formula>0</formula>
    </cfRule>
  </conditionalFormatting>
  <conditionalFormatting sqref="Q34">
    <cfRule type="cellIs" dxfId="2959" priority="773" operator="equal">
      <formula>0</formula>
    </cfRule>
    <cfRule type="cellIs" dxfId="2958" priority="774" operator="notEqual">
      <formula>0</formula>
    </cfRule>
  </conditionalFormatting>
  <conditionalFormatting sqref="R31">
    <cfRule type="cellIs" dxfId="2957" priority="771" operator="equal">
      <formula>0</formula>
    </cfRule>
    <cfRule type="cellIs" dxfId="2956" priority="772" operator="notEqual">
      <formula>0</formula>
    </cfRule>
  </conditionalFormatting>
  <conditionalFormatting sqref="R34">
    <cfRule type="cellIs" dxfId="2955" priority="769" operator="equal">
      <formula>0</formula>
    </cfRule>
    <cfRule type="cellIs" dxfId="2954" priority="770" operator="notEqual">
      <formula>0</formula>
    </cfRule>
  </conditionalFormatting>
  <conditionalFormatting sqref="C39:C40">
    <cfRule type="cellIs" dxfId="2953" priority="767" operator="equal">
      <formula>0</formula>
    </cfRule>
    <cfRule type="cellIs" dxfId="2952" priority="768" operator="notEqual">
      <formula>0</formula>
    </cfRule>
  </conditionalFormatting>
  <conditionalFormatting sqref="D39:D40">
    <cfRule type="cellIs" dxfId="2951" priority="765" operator="equal">
      <formula>0</formula>
    </cfRule>
    <cfRule type="cellIs" dxfId="2950" priority="766" operator="notEqual">
      <formula>0</formula>
    </cfRule>
  </conditionalFormatting>
  <conditionalFormatting sqref="E39:E40">
    <cfRule type="cellIs" dxfId="2949" priority="763" operator="equal">
      <formula>0</formula>
    </cfRule>
    <cfRule type="cellIs" dxfId="2948" priority="764" operator="notEqual">
      <formula>0</formula>
    </cfRule>
  </conditionalFormatting>
  <conditionalFormatting sqref="F39:F40">
    <cfRule type="cellIs" dxfId="2947" priority="761" operator="equal">
      <formula>0</formula>
    </cfRule>
    <cfRule type="cellIs" dxfId="2946" priority="762" operator="notEqual">
      <formula>0</formula>
    </cfRule>
  </conditionalFormatting>
  <conditionalFormatting sqref="G39:G40">
    <cfRule type="cellIs" dxfId="2945" priority="759" operator="equal">
      <formula>0</formula>
    </cfRule>
    <cfRule type="cellIs" dxfId="2944" priority="760" operator="notEqual">
      <formula>0</formula>
    </cfRule>
  </conditionalFormatting>
  <conditionalFormatting sqref="H39:H40">
    <cfRule type="cellIs" dxfId="2943" priority="757" operator="equal">
      <formula>0</formula>
    </cfRule>
    <cfRule type="cellIs" dxfId="2942" priority="758" operator="notEqual">
      <formula>0</formula>
    </cfRule>
  </conditionalFormatting>
  <conditionalFormatting sqref="I39:I40">
    <cfRule type="cellIs" dxfId="2941" priority="755" operator="equal">
      <formula>0</formula>
    </cfRule>
    <cfRule type="cellIs" dxfId="2940" priority="756" operator="notEqual">
      <formula>0</formula>
    </cfRule>
  </conditionalFormatting>
  <conditionalFormatting sqref="J39:J40">
    <cfRule type="cellIs" dxfId="2939" priority="753" operator="equal">
      <formula>0</formula>
    </cfRule>
    <cfRule type="cellIs" dxfId="2938" priority="754" operator="notEqual">
      <formula>0</formula>
    </cfRule>
  </conditionalFormatting>
  <conditionalFormatting sqref="O38">
    <cfRule type="cellIs" dxfId="2937" priority="751" operator="equal">
      <formula>0</formula>
    </cfRule>
    <cfRule type="cellIs" dxfId="2936" priority="752" operator="notEqual">
      <formula>0</formula>
    </cfRule>
  </conditionalFormatting>
  <conditionalFormatting sqref="O41">
    <cfRule type="cellIs" dxfId="2935" priority="749" operator="equal">
      <formula>0</formula>
    </cfRule>
    <cfRule type="cellIs" dxfId="2934" priority="750" operator="notEqual">
      <formula>0</formula>
    </cfRule>
  </conditionalFormatting>
  <conditionalFormatting sqref="P38">
    <cfRule type="cellIs" dxfId="2933" priority="747" operator="equal">
      <formula>0</formula>
    </cfRule>
    <cfRule type="cellIs" dxfId="2932" priority="748" operator="notEqual">
      <formula>0</formula>
    </cfRule>
  </conditionalFormatting>
  <conditionalFormatting sqref="P41">
    <cfRule type="cellIs" dxfId="2931" priority="745" operator="equal">
      <formula>0</formula>
    </cfRule>
    <cfRule type="cellIs" dxfId="2930" priority="746" operator="notEqual">
      <formula>0</formula>
    </cfRule>
  </conditionalFormatting>
  <conditionalFormatting sqref="Q38">
    <cfRule type="cellIs" dxfId="2929" priority="743" operator="equal">
      <formula>0</formula>
    </cfRule>
    <cfRule type="cellIs" dxfId="2928" priority="744" operator="notEqual">
      <formula>0</formula>
    </cfRule>
  </conditionalFormatting>
  <conditionalFormatting sqref="Q41">
    <cfRule type="cellIs" dxfId="2927" priority="741" operator="equal">
      <formula>0</formula>
    </cfRule>
    <cfRule type="cellIs" dxfId="2926" priority="742" operator="notEqual">
      <formula>0</formula>
    </cfRule>
  </conditionalFormatting>
  <conditionalFormatting sqref="R38">
    <cfRule type="cellIs" dxfId="2925" priority="739" operator="equal">
      <formula>0</formula>
    </cfRule>
    <cfRule type="cellIs" dxfId="2924" priority="740" operator="notEqual">
      <formula>0</formula>
    </cfRule>
  </conditionalFormatting>
  <conditionalFormatting sqref="R41">
    <cfRule type="cellIs" dxfId="2923" priority="737" operator="equal">
      <formula>0</formula>
    </cfRule>
    <cfRule type="cellIs" dxfId="2922" priority="738" operator="notEqual">
      <formula>0</formula>
    </cfRule>
  </conditionalFormatting>
  <conditionalFormatting sqref="C46:C47">
    <cfRule type="cellIs" dxfId="2921" priority="735" operator="equal">
      <formula>0</formula>
    </cfRule>
    <cfRule type="cellIs" dxfId="2920" priority="736" operator="notEqual">
      <formula>0</formula>
    </cfRule>
  </conditionalFormatting>
  <conditionalFormatting sqref="D46:D47">
    <cfRule type="cellIs" dxfId="2919" priority="733" operator="equal">
      <formula>0</formula>
    </cfRule>
    <cfRule type="cellIs" dxfId="2918" priority="734" operator="notEqual">
      <formula>0</formula>
    </cfRule>
  </conditionalFormatting>
  <conditionalFormatting sqref="E46:E47">
    <cfRule type="cellIs" dxfId="2917" priority="731" operator="equal">
      <formula>0</formula>
    </cfRule>
    <cfRule type="cellIs" dxfId="2916" priority="732" operator="notEqual">
      <formula>0</formula>
    </cfRule>
  </conditionalFormatting>
  <conditionalFormatting sqref="F46:F47">
    <cfRule type="cellIs" dxfId="2915" priority="729" operator="equal">
      <formula>0</formula>
    </cfRule>
    <cfRule type="cellIs" dxfId="2914" priority="730" operator="notEqual">
      <formula>0</formula>
    </cfRule>
  </conditionalFormatting>
  <conditionalFormatting sqref="G46:G47">
    <cfRule type="cellIs" dxfId="2913" priority="727" operator="equal">
      <formula>0</formula>
    </cfRule>
    <cfRule type="cellIs" dxfId="2912" priority="728" operator="notEqual">
      <formula>0</formula>
    </cfRule>
  </conditionalFormatting>
  <conditionalFormatting sqref="H46:H47">
    <cfRule type="cellIs" dxfId="2911" priority="725" operator="equal">
      <formula>0</formula>
    </cfRule>
    <cfRule type="cellIs" dxfId="2910" priority="726" operator="notEqual">
      <formula>0</formula>
    </cfRule>
  </conditionalFormatting>
  <conditionalFormatting sqref="I46:I47">
    <cfRule type="cellIs" dxfId="2909" priority="723" operator="equal">
      <formula>0</formula>
    </cfRule>
    <cfRule type="cellIs" dxfId="2908" priority="724" operator="notEqual">
      <formula>0</formula>
    </cfRule>
  </conditionalFormatting>
  <conditionalFormatting sqref="J46:J47">
    <cfRule type="cellIs" dxfId="2907" priority="721" operator="equal">
      <formula>0</formula>
    </cfRule>
    <cfRule type="cellIs" dxfId="2906" priority="722" operator="notEqual">
      <formula>0</formula>
    </cfRule>
  </conditionalFormatting>
  <conditionalFormatting sqref="O45">
    <cfRule type="cellIs" dxfId="2905" priority="719" operator="equal">
      <formula>0</formula>
    </cfRule>
    <cfRule type="cellIs" dxfId="2904" priority="720" operator="notEqual">
      <formula>0</formula>
    </cfRule>
  </conditionalFormatting>
  <conditionalFormatting sqref="O48">
    <cfRule type="cellIs" dxfId="2903" priority="717" operator="equal">
      <formula>0</formula>
    </cfRule>
    <cfRule type="cellIs" dxfId="2902" priority="718" operator="notEqual">
      <formula>0</formula>
    </cfRule>
  </conditionalFormatting>
  <conditionalFormatting sqref="P45">
    <cfRule type="cellIs" dxfId="2901" priority="715" operator="equal">
      <formula>0</formula>
    </cfRule>
    <cfRule type="cellIs" dxfId="2900" priority="716" operator="notEqual">
      <formula>0</formula>
    </cfRule>
  </conditionalFormatting>
  <conditionalFormatting sqref="P48">
    <cfRule type="cellIs" dxfId="2899" priority="713" operator="equal">
      <formula>0</formula>
    </cfRule>
    <cfRule type="cellIs" dxfId="2898" priority="714" operator="notEqual">
      <formula>0</formula>
    </cfRule>
  </conditionalFormatting>
  <conditionalFormatting sqref="Q45">
    <cfRule type="cellIs" dxfId="2897" priority="711" operator="equal">
      <formula>0</formula>
    </cfRule>
    <cfRule type="cellIs" dxfId="2896" priority="712" operator="notEqual">
      <formula>0</formula>
    </cfRule>
  </conditionalFormatting>
  <conditionalFormatting sqref="Q48">
    <cfRule type="cellIs" dxfId="2895" priority="709" operator="equal">
      <formula>0</formula>
    </cfRule>
    <cfRule type="cellIs" dxfId="2894" priority="710" operator="notEqual">
      <formula>0</formula>
    </cfRule>
  </conditionalFormatting>
  <conditionalFormatting sqref="R45">
    <cfRule type="cellIs" dxfId="2893" priority="707" operator="equal">
      <formula>0</formula>
    </cfRule>
    <cfRule type="cellIs" dxfId="2892" priority="708" operator="notEqual">
      <formula>0</formula>
    </cfRule>
  </conditionalFormatting>
  <conditionalFormatting sqref="R48">
    <cfRule type="cellIs" dxfId="2891" priority="705" operator="equal">
      <formula>0</formula>
    </cfRule>
    <cfRule type="cellIs" dxfId="2890" priority="706" operator="notEqual">
      <formula>0</formula>
    </cfRule>
  </conditionalFormatting>
  <conditionalFormatting sqref="C53:C54">
    <cfRule type="cellIs" dxfId="2889" priority="703" operator="equal">
      <formula>0</formula>
    </cfRule>
    <cfRule type="cellIs" dxfId="2888" priority="704" operator="notEqual">
      <formula>0</formula>
    </cfRule>
  </conditionalFormatting>
  <conditionalFormatting sqref="D53:D54">
    <cfRule type="cellIs" dxfId="2887" priority="701" operator="equal">
      <formula>0</formula>
    </cfRule>
    <cfRule type="cellIs" dxfId="2886" priority="702" operator="notEqual">
      <formula>0</formula>
    </cfRule>
  </conditionalFormatting>
  <conditionalFormatting sqref="E53:E54">
    <cfRule type="cellIs" dxfId="2885" priority="699" operator="equal">
      <formula>0</formula>
    </cfRule>
    <cfRule type="cellIs" dxfId="2884" priority="700" operator="notEqual">
      <formula>0</formula>
    </cfRule>
  </conditionalFormatting>
  <conditionalFormatting sqref="F53:F54">
    <cfRule type="cellIs" dxfId="2883" priority="697" operator="equal">
      <formula>0</formula>
    </cfRule>
    <cfRule type="cellIs" dxfId="2882" priority="698" operator="notEqual">
      <formula>0</formula>
    </cfRule>
  </conditionalFormatting>
  <conditionalFormatting sqref="G53:G54">
    <cfRule type="cellIs" dxfId="2881" priority="695" operator="equal">
      <formula>0</formula>
    </cfRule>
    <cfRule type="cellIs" dxfId="2880" priority="696" operator="notEqual">
      <formula>0</formula>
    </cfRule>
  </conditionalFormatting>
  <conditionalFormatting sqref="H53:H54">
    <cfRule type="cellIs" dxfId="2879" priority="693" operator="equal">
      <formula>0</formula>
    </cfRule>
    <cfRule type="cellIs" dxfId="2878" priority="694" operator="notEqual">
      <formula>0</formula>
    </cfRule>
  </conditionalFormatting>
  <conditionalFormatting sqref="I53:I54">
    <cfRule type="cellIs" dxfId="2877" priority="691" operator="equal">
      <formula>0</formula>
    </cfRule>
    <cfRule type="cellIs" dxfId="2876" priority="692" operator="notEqual">
      <formula>0</formula>
    </cfRule>
  </conditionalFormatting>
  <conditionalFormatting sqref="J53:J54">
    <cfRule type="cellIs" dxfId="2875" priority="689" operator="equal">
      <formula>0</formula>
    </cfRule>
    <cfRule type="cellIs" dxfId="2874" priority="690" operator="notEqual">
      <formula>0</formula>
    </cfRule>
  </conditionalFormatting>
  <conditionalFormatting sqref="O52">
    <cfRule type="cellIs" dxfId="2873" priority="687" operator="equal">
      <formula>0</formula>
    </cfRule>
    <cfRule type="cellIs" dxfId="2872" priority="688" operator="notEqual">
      <formula>0</formula>
    </cfRule>
  </conditionalFormatting>
  <conditionalFormatting sqref="O55">
    <cfRule type="cellIs" dxfId="2871" priority="685" operator="equal">
      <formula>0</formula>
    </cfRule>
    <cfRule type="cellIs" dxfId="2870" priority="686" operator="notEqual">
      <formula>0</formula>
    </cfRule>
  </conditionalFormatting>
  <conditionalFormatting sqref="P52">
    <cfRule type="cellIs" dxfId="2869" priority="683" operator="equal">
      <formula>0</formula>
    </cfRule>
    <cfRule type="cellIs" dxfId="2868" priority="684" operator="notEqual">
      <formula>0</formula>
    </cfRule>
  </conditionalFormatting>
  <conditionalFormatting sqref="P55">
    <cfRule type="cellIs" dxfId="2867" priority="681" operator="equal">
      <formula>0</formula>
    </cfRule>
    <cfRule type="cellIs" dxfId="2866" priority="682" operator="notEqual">
      <formula>0</formula>
    </cfRule>
  </conditionalFormatting>
  <conditionalFormatting sqref="Q52">
    <cfRule type="cellIs" dxfId="2865" priority="679" operator="equal">
      <formula>0</formula>
    </cfRule>
    <cfRule type="cellIs" dxfId="2864" priority="680" operator="notEqual">
      <formula>0</formula>
    </cfRule>
  </conditionalFormatting>
  <conditionalFormatting sqref="Q55">
    <cfRule type="cellIs" dxfId="2863" priority="677" operator="equal">
      <formula>0</formula>
    </cfRule>
    <cfRule type="cellIs" dxfId="2862" priority="678" operator="notEqual">
      <formula>0</formula>
    </cfRule>
  </conditionalFormatting>
  <conditionalFormatting sqref="R52">
    <cfRule type="cellIs" dxfId="2861" priority="675" operator="equal">
      <formula>0</formula>
    </cfRule>
    <cfRule type="cellIs" dxfId="2860" priority="676" operator="notEqual">
      <formula>0</formula>
    </cfRule>
  </conditionalFormatting>
  <conditionalFormatting sqref="R55">
    <cfRule type="cellIs" dxfId="2859" priority="673" operator="equal">
      <formula>0</formula>
    </cfRule>
    <cfRule type="cellIs" dxfId="2858" priority="674" operator="notEqual">
      <formula>0</formula>
    </cfRule>
  </conditionalFormatting>
  <conditionalFormatting sqref="C60:C61">
    <cfRule type="cellIs" dxfId="2857" priority="671" operator="equal">
      <formula>0</formula>
    </cfRule>
    <cfRule type="cellIs" dxfId="2856" priority="672" operator="notEqual">
      <formula>0</formula>
    </cfRule>
  </conditionalFormatting>
  <conditionalFormatting sqref="D60:D61">
    <cfRule type="cellIs" dxfId="2855" priority="669" operator="equal">
      <formula>0</formula>
    </cfRule>
    <cfRule type="cellIs" dxfId="2854" priority="670" operator="notEqual">
      <formula>0</formula>
    </cfRule>
  </conditionalFormatting>
  <conditionalFormatting sqref="E60:E61">
    <cfRule type="cellIs" dxfId="2853" priority="667" operator="equal">
      <formula>0</formula>
    </cfRule>
    <cfRule type="cellIs" dxfId="2852" priority="668" operator="notEqual">
      <formula>0</formula>
    </cfRule>
  </conditionalFormatting>
  <conditionalFormatting sqref="F60:F61">
    <cfRule type="cellIs" dxfId="2851" priority="665" operator="equal">
      <formula>0</formula>
    </cfRule>
    <cfRule type="cellIs" dxfId="2850" priority="666" operator="notEqual">
      <formula>0</formula>
    </cfRule>
  </conditionalFormatting>
  <conditionalFormatting sqref="G60:G61">
    <cfRule type="cellIs" dxfId="2849" priority="663" operator="equal">
      <formula>0</formula>
    </cfRule>
    <cfRule type="cellIs" dxfId="2848" priority="664" operator="notEqual">
      <formula>0</formula>
    </cfRule>
  </conditionalFormatting>
  <conditionalFormatting sqref="H60:H61">
    <cfRule type="cellIs" dxfId="2847" priority="661" operator="equal">
      <formula>0</formula>
    </cfRule>
    <cfRule type="cellIs" dxfId="2846" priority="662" operator="notEqual">
      <formula>0</formula>
    </cfRule>
  </conditionalFormatting>
  <conditionalFormatting sqref="I60:I61">
    <cfRule type="cellIs" dxfId="2845" priority="659" operator="equal">
      <formula>0</formula>
    </cfRule>
    <cfRule type="cellIs" dxfId="2844" priority="660" operator="notEqual">
      <formula>0</formula>
    </cfRule>
  </conditionalFormatting>
  <conditionalFormatting sqref="J60:J61">
    <cfRule type="cellIs" dxfId="2843" priority="657" operator="equal">
      <formula>0</formula>
    </cfRule>
    <cfRule type="cellIs" dxfId="2842" priority="658" operator="notEqual">
      <formula>0</formula>
    </cfRule>
  </conditionalFormatting>
  <conditionalFormatting sqref="O59">
    <cfRule type="cellIs" dxfId="2841" priority="655" operator="equal">
      <formula>0</formula>
    </cfRule>
    <cfRule type="cellIs" dxfId="2840" priority="656" operator="notEqual">
      <formula>0</formula>
    </cfRule>
  </conditionalFormatting>
  <conditionalFormatting sqref="O62">
    <cfRule type="cellIs" dxfId="2839" priority="653" operator="equal">
      <formula>0</formula>
    </cfRule>
    <cfRule type="cellIs" dxfId="2838" priority="654" operator="notEqual">
      <formula>0</formula>
    </cfRule>
  </conditionalFormatting>
  <conditionalFormatting sqref="P59">
    <cfRule type="cellIs" dxfId="2837" priority="651" operator="equal">
      <formula>0</formula>
    </cfRule>
    <cfRule type="cellIs" dxfId="2836" priority="652" operator="notEqual">
      <formula>0</formula>
    </cfRule>
  </conditionalFormatting>
  <conditionalFormatting sqref="P62">
    <cfRule type="cellIs" dxfId="2835" priority="649" operator="equal">
      <formula>0</formula>
    </cfRule>
    <cfRule type="cellIs" dxfId="2834" priority="650" operator="notEqual">
      <formula>0</formula>
    </cfRule>
  </conditionalFormatting>
  <conditionalFormatting sqref="Q59">
    <cfRule type="cellIs" dxfId="2833" priority="647" operator="equal">
      <formula>0</formula>
    </cfRule>
    <cfRule type="cellIs" dxfId="2832" priority="648" operator="notEqual">
      <formula>0</formula>
    </cfRule>
  </conditionalFormatting>
  <conditionalFormatting sqref="Q62">
    <cfRule type="cellIs" dxfId="2831" priority="645" operator="equal">
      <formula>0</formula>
    </cfRule>
    <cfRule type="cellIs" dxfId="2830" priority="646" operator="notEqual">
      <formula>0</formula>
    </cfRule>
  </conditionalFormatting>
  <conditionalFormatting sqref="R59">
    <cfRule type="cellIs" dxfId="2829" priority="643" operator="equal">
      <formula>0</formula>
    </cfRule>
    <cfRule type="cellIs" dxfId="2828" priority="644" operator="notEqual">
      <formula>0</formula>
    </cfRule>
  </conditionalFormatting>
  <conditionalFormatting sqref="R62">
    <cfRule type="cellIs" dxfId="2827" priority="641" operator="equal">
      <formula>0</formula>
    </cfRule>
    <cfRule type="cellIs" dxfId="2826" priority="642" operator="notEqual">
      <formula>0</formula>
    </cfRule>
  </conditionalFormatting>
  <conditionalFormatting sqref="C67:C68">
    <cfRule type="cellIs" dxfId="2825" priority="639" operator="equal">
      <formula>0</formula>
    </cfRule>
    <cfRule type="cellIs" dxfId="2824" priority="640" operator="notEqual">
      <formula>0</formula>
    </cfRule>
  </conditionalFormatting>
  <conditionalFormatting sqref="D67:D68">
    <cfRule type="cellIs" dxfId="2823" priority="637" operator="equal">
      <formula>0</formula>
    </cfRule>
    <cfRule type="cellIs" dxfId="2822" priority="638" operator="notEqual">
      <formula>0</formula>
    </cfRule>
  </conditionalFormatting>
  <conditionalFormatting sqref="E67:E68">
    <cfRule type="cellIs" dxfId="2821" priority="635" operator="equal">
      <formula>0</formula>
    </cfRule>
    <cfRule type="cellIs" dxfId="2820" priority="636" operator="notEqual">
      <formula>0</formula>
    </cfRule>
  </conditionalFormatting>
  <conditionalFormatting sqref="F67:F68">
    <cfRule type="cellIs" dxfId="2819" priority="633" operator="equal">
      <formula>0</formula>
    </cfRule>
    <cfRule type="cellIs" dxfId="2818" priority="634" operator="notEqual">
      <formula>0</formula>
    </cfRule>
  </conditionalFormatting>
  <conditionalFormatting sqref="G67:G68">
    <cfRule type="cellIs" dxfId="2817" priority="631" operator="equal">
      <formula>0</formula>
    </cfRule>
    <cfRule type="cellIs" dxfId="2816" priority="632" operator="notEqual">
      <formula>0</formula>
    </cfRule>
  </conditionalFormatting>
  <conditionalFormatting sqref="H67:H68">
    <cfRule type="cellIs" dxfId="2815" priority="629" operator="equal">
      <formula>0</formula>
    </cfRule>
    <cfRule type="cellIs" dxfId="2814" priority="630" operator="notEqual">
      <formula>0</formula>
    </cfRule>
  </conditionalFormatting>
  <conditionalFormatting sqref="I67:I68">
    <cfRule type="cellIs" dxfId="2813" priority="627" operator="equal">
      <formula>0</formula>
    </cfRule>
    <cfRule type="cellIs" dxfId="2812" priority="628" operator="notEqual">
      <formula>0</formula>
    </cfRule>
  </conditionalFormatting>
  <conditionalFormatting sqref="J67:J68">
    <cfRule type="cellIs" dxfId="2811" priority="625" operator="equal">
      <formula>0</formula>
    </cfRule>
    <cfRule type="cellIs" dxfId="2810" priority="626" operator="notEqual">
      <formula>0</formula>
    </cfRule>
  </conditionalFormatting>
  <conditionalFormatting sqref="O66">
    <cfRule type="cellIs" dxfId="2809" priority="623" operator="equal">
      <formula>0</formula>
    </cfRule>
    <cfRule type="cellIs" dxfId="2808" priority="624" operator="notEqual">
      <formula>0</formula>
    </cfRule>
  </conditionalFormatting>
  <conditionalFormatting sqref="O69">
    <cfRule type="cellIs" dxfId="2807" priority="621" operator="equal">
      <formula>0</formula>
    </cfRule>
    <cfRule type="cellIs" dxfId="2806" priority="622" operator="notEqual">
      <formula>0</formula>
    </cfRule>
  </conditionalFormatting>
  <conditionalFormatting sqref="P66">
    <cfRule type="cellIs" dxfId="2805" priority="619" operator="equal">
      <formula>0</formula>
    </cfRule>
    <cfRule type="cellIs" dxfId="2804" priority="620" operator="notEqual">
      <formula>0</formula>
    </cfRule>
  </conditionalFormatting>
  <conditionalFormatting sqref="P69">
    <cfRule type="cellIs" dxfId="2803" priority="617" operator="equal">
      <formula>0</formula>
    </cfRule>
    <cfRule type="cellIs" dxfId="2802" priority="618" operator="notEqual">
      <formula>0</formula>
    </cfRule>
  </conditionalFormatting>
  <conditionalFormatting sqref="Q66">
    <cfRule type="cellIs" dxfId="2801" priority="615" operator="equal">
      <formula>0</formula>
    </cfRule>
    <cfRule type="cellIs" dxfId="2800" priority="616" operator="notEqual">
      <formula>0</formula>
    </cfRule>
  </conditionalFormatting>
  <conditionalFormatting sqref="Q69">
    <cfRule type="cellIs" dxfId="2799" priority="613" operator="equal">
      <formula>0</formula>
    </cfRule>
    <cfRule type="cellIs" dxfId="2798" priority="614" operator="notEqual">
      <formula>0</formula>
    </cfRule>
  </conditionalFormatting>
  <conditionalFormatting sqref="R66">
    <cfRule type="cellIs" dxfId="2797" priority="611" operator="equal">
      <formula>0</formula>
    </cfRule>
    <cfRule type="cellIs" dxfId="2796" priority="612" operator="notEqual">
      <formula>0</formula>
    </cfRule>
  </conditionalFormatting>
  <conditionalFormatting sqref="R69">
    <cfRule type="cellIs" dxfId="2795" priority="609" operator="equal">
      <formula>0</formula>
    </cfRule>
    <cfRule type="cellIs" dxfId="2794" priority="610" operator="notEqual">
      <formula>0</formula>
    </cfRule>
  </conditionalFormatting>
  <conditionalFormatting sqref="C74:C75">
    <cfRule type="cellIs" dxfId="2793" priority="607" operator="equal">
      <formula>0</formula>
    </cfRule>
    <cfRule type="cellIs" dxfId="2792" priority="608" operator="notEqual">
      <formula>0</formula>
    </cfRule>
  </conditionalFormatting>
  <conditionalFormatting sqref="D74:D75">
    <cfRule type="cellIs" dxfId="2791" priority="605" operator="equal">
      <formula>0</formula>
    </cfRule>
    <cfRule type="cellIs" dxfId="2790" priority="606" operator="notEqual">
      <formula>0</formula>
    </cfRule>
  </conditionalFormatting>
  <conditionalFormatting sqref="E74:E75">
    <cfRule type="cellIs" dxfId="2789" priority="603" operator="equal">
      <formula>0</formula>
    </cfRule>
    <cfRule type="cellIs" dxfId="2788" priority="604" operator="notEqual">
      <formula>0</formula>
    </cfRule>
  </conditionalFormatting>
  <conditionalFormatting sqref="F74:F75">
    <cfRule type="cellIs" dxfId="2787" priority="601" operator="equal">
      <formula>0</formula>
    </cfRule>
    <cfRule type="cellIs" dxfId="2786" priority="602" operator="notEqual">
      <formula>0</formula>
    </cfRule>
  </conditionalFormatting>
  <conditionalFormatting sqref="G74:G75">
    <cfRule type="cellIs" dxfId="2785" priority="599" operator="equal">
      <formula>0</formula>
    </cfRule>
    <cfRule type="cellIs" dxfId="2784" priority="600" operator="notEqual">
      <formula>0</formula>
    </cfRule>
  </conditionalFormatting>
  <conditionalFormatting sqref="H74:H75">
    <cfRule type="cellIs" dxfId="2783" priority="597" operator="equal">
      <formula>0</formula>
    </cfRule>
    <cfRule type="cellIs" dxfId="2782" priority="598" operator="notEqual">
      <formula>0</formula>
    </cfRule>
  </conditionalFormatting>
  <conditionalFormatting sqref="I74:I75">
    <cfRule type="cellIs" dxfId="2781" priority="595" operator="equal">
      <formula>0</formula>
    </cfRule>
    <cfRule type="cellIs" dxfId="2780" priority="596" operator="notEqual">
      <formula>0</formula>
    </cfRule>
  </conditionalFormatting>
  <conditionalFormatting sqref="J74:J75">
    <cfRule type="cellIs" dxfId="2779" priority="593" operator="equal">
      <formula>0</formula>
    </cfRule>
    <cfRule type="cellIs" dxfId="2778" priority="594" operator="notEqual">
      <formula>0</formula>
    </cfRule>
  </conditionalFormatting>
  <conditionalFormatting sqref="O73">
    <cfRule type="cellIs" dxfId="2777" priority="591" operator="equal">
      <formula>0</formula>
    </cfRule>
    <cfRule type="cellIs" dxfId="2776" priority="592" operator="notEqual">
      <formula>0</formula>
    </cfRule>
  </conditionalFormatting>
  <conditionalFormatting sqref="O76">
    <cfRule type="cellIs" dxfId="2775" priority="589" operator="equal">
      <formula>0</formula>
    </cfRule>
    <cfRule type="cellIs" dxfId="2774" priority="590" operator="notEqual">
      <formula>0</formula>
    </cfRule>
  </conditionalFormatting>
  <conditionalFormatting sqref="P73">
    <cfRule type="cellIs" dxfId="2773" priority="587" operator="equal">
      <formula>0</formula>
    </cfRule>
    <cfRule type="cellIs" dxfId="2772" priority="588" operator="notEqual">
      <formula>0</formula>
    </cfRule>
  </conditionalFormatting>
  <conditionalFormatting sqref="P76">
    <cfRule type="cellIs" dxfId="2771" priority="585" operator="equal">
      <formula>0</formula>
    </cfRule>
    <cfRule type="cellIs" dxfId="2770" priority="586" operator="notEqual">
      <formula>0</formula>
    </cfRule>
  </conditionalFormatting>
  <conditionalFormatting sqref="Q73">
    <cfRule type="cellIs" dxfId="2769" priority="583" operator="equal">
      <formula>0</formula>
    </cfRule>
    <cfRule type="cellIs" dxfId="2768" priority="584" operator="notEqual">
      <formula>0</formula>
    </cfRule>
  </conditionalFormatting>
  <conditionalFormatting sqref="Q76">
    <cfRule type="cellIs" dxfId="2767" priority="581" operator="equal">
      <formula>0</formula>
    </cfRule>
    <cfRule type="cellIs" dxfId="2766" priority="582" operator="notEqual">
      <formula>0</formula>
    </cfRule>
  </conditionalFormatting>
  <conditionalFormatting sqref="R73">
    <cfRule type="cellIs" dxfId="2765" priority="579" operator="equal">
      <formula>0</formula>
    </cfRule>
    <cfRule type="cellIs" dxfId="2764" priority="580" operator="notEqual">
      <formula>0</formula>
    </cfRule>
  </conditionalFormatting>
  <conditionalFormatting sqref="R76">
    <cfRule type="cellIs" dxfId="2763" priority="577" operator="equal">
      <formula>0</formula>
    </cfRule>
    <cfRule type="cellIs" dxfId="2762" priority="578" operator="notEqual">
      <formula>0</formula>
    </cfRule>
  </conditionalFormatting>
  <conditionalFormatting sqref="U67:U68">
    <cfRule type="cellIs" dxfId="2761" priority="575" operator="equal">
      <formula>0</formula>
    </cfRule>
    <cfRule type="cellIs" dxfId="2760" priority="576" operator="notEqual">
      <formula>0</formula>
    </cfRule>
  </conditionalFormatting>
  <conditionalFormatting sqref="V67:V68">
    <cfRule type="cellIs" dxfId="2759" priority="573" operator="equal">
      <formula>0</formula>
    </cfRule>
    <cfRule type="cellIs" dxfId="2758" priority="574" operator="notEqual">
      <formula>0</formula>
    </cfRule>
  </conditionalFormatting>
  <conditionalFormatting sqref="W67:W68">
    <cfRule type="cellIs" dxfId="2757" priority="571" operator="equal">
      <formula>0</formula>
    </cfRule>
    <cfRule type="cellIs" dxfId="2756" priority="572" operator="notEqual">
      <formula>0</formula>
    </cfRule>
  </conditionalFormatting>
  <conditionalFormatting sqref="X67:X68">
    <cfRule type="cellIs" dxfId="2755" priority="569" operator="equal">
      <formula>0</formula>
    </cfRule>
    <cfRule type="cellIs" dxfId="2754" priority="570" operator="notEqual">
      <formula>0</formula>
    </cfRule>
  </conditionalFormatting>
  <conditionalFormatting sqref="Y67:Y68">
    <cfRule type="cellIs" dxfId="2753" priority="567" operator="equal">
      <formula>0</formula>
    </cfRule>
    <cfRule type="cellIs" dxfId="2752" priority="568" operator="notEqual">
      <formula>0</formula>
    </cfRule>
  </conditionalFormatting>
  <conditionalFormatting sqref="Z67:Z68">
    <cfRule type="cellIs" dxfId="2751" priority="565" operator="equal">
      <formula>0</formula>
    </cfRule>
    <cfRule type="cellIs" dxfId="2750" priority="566" operator="notEqual">
      <formula>0</formula>
    </cfRule>
  </conditionalFormatting>
  <conditionalFormatting sqref="AA67:AA68">
    <cfRule type="cellIs" dxfId="2749" priority="563" operator="equal">
      <formula>0</formula>
    </cfRule>
    <cfRule type="cellIs" dxfId="2748" priority="564" operator="notEqual">
      <formula>0</formula>
    </cfRule>
  </conditionalFormatting>
  <conditionalFormatting sqref="AB67:AB68">
    <cfRule type="cellIs" dxfId="2747" priority="561" operator="equal">
      <formula>0</formula>
    </cfRule>
    <cfRule type="cellIs" dxfId="2746" priority="562" operator="notEqual">
      <formula>0</formula>
    </cfRule>
  </conditionalFormatting>
  <conditionalFormatting sqref="AG66">
    <cfRule type="cellIs" dxfId="2745" priority="559" operator="equal">
      <formula>0</formula>
    </cfRule>
    <cfRule type="cellIs" dxfId="2744" priority="560" operator="notEqual">
      <formula>0</formula>
    </cfRule>
  </conditionalFormatting>
  <conditionalFormatting sqref="AG69">
    <cfRule type="cellIs" dxfId="2743" priority="557" operator="equal">
      <formula>0</formula>
    </cfRule>
    <cfRule type="cellIs" dxfId="2742" priority="558" operator="notEqual">
      <formula>0</formula>
    </cfRule>
  </conditionalFormatting>
  <conditionalFormatting sqref="AH66">
    <cfRule type="cellIs" dxfId="2741" priority="555" operator="equal">
      <formula>0</formula>
    </cfRule>
    <cfRule type="cellIs" dxfId="2740" priority="556" operator="notEqual">
      <formula>0</formula>
    </cfRule>
  </conditionalFormatting>
  <conditionalFormatting sqref="AH69">
    <cfRule type="cellIs" dxfId="2739" priority="553" operator="equal">
      <formula>0</formula>
    </cfRule>
    <cfRule type="cellIs" dxfId="2738" priority="554" operator="notEqual">
      <formula>0</formula>
    </cfRule>
  </conditionalFormatting>
  <conditionalFormatting sqref="AI66">
    <cfRule type="cellIs" dxfId="2737" priority="551" operator="equal">
      <formula>0</formula>
    </cfRule>
    <cfRule type="cellIs" dxfId="2736" priority="552" operator="notEqual">
      <formula>0</formula>
    </cfRule>
  </conditionalFormatting>
  <conditionalFormatting sqref="AI69">
    <cfRule type="cellIs" dxfId="2735" priority="549" operator="equal">
      <formula>0</formula>
    </cfRule>
    <cfRule type="cellIs" dxfId="2734" priority="550" operator="notEqual">
      <formula>0</formula>
    </cfRule>
  </conditionalFormatting>
  <conditionalFormatting sqref="AJ66">
    <cfRule type="cellIs" dxfId="2733" priority="547" operator="equal">
      <formula>0</formula>
    </cfRule>
    <cfRule type="cellIs" dxfId="2732" priority="548" operator="notEqual">
      <formula>0</formula>
    </cfRule>
  </conditionalFormatting>
  <conditionalFormatting sqref="AJ69">
    <cfRule type="cellIs" dxfId="2731" priority="545" operator="equal">
      <formula>0</formula>
    </cfRule>
    <cfRule type="cellIs" dxfId="2730" priority="546" operator="notEqual">
      <formula>0</formula>
    </cfRule>
  </conditionalFormatting>
  <conditionalFormatting sqref="U60:U61">
    <cfRule type="cellIs" dxfId="2729" priority="543" operator="equal">
      <formula>0</formula>
    </cfRule>
    <cfRule type="cellIs" dxfId="2728" priority="544" operator="notEqual">
      <formula>0</formula>
    </cfRule>
  </conditionalFormatting>
  <conditionalFormatting sqref="V60:V61">
    <cfRule type="cellIs" dxfId="2727" priority="541" operator="equal">
      <formula>0</formula>
    </cfRule>
    <cfRule type="cellIs" dxfId="2726" priority="542" operator="notEqual">
      <formula>0</formula>
    </cfRule>
  </conditionalFormatting>
  <conditionalFormatting sqref="W60:W61">
    <cfRule type="cellIs" dxfId="2725" priority="539" operator="equal">
      <formula>0</formula>
    </cfRule>
    <cfRule type="cellIs" dxfId="2724" priority="540" operator="notEqual">
      <formula>0</formula>
    </cfRule>
  </conditionalFormatting>
  <conditionalFormatting sqref="X60:X61">
    <cfRule type="cellIs" dxfId="2723" priority="537" operator="equal">
      <formula>0</formula>
    </cfRule>
    <cfRule type="cellIs" dxfId="2722" priority="538" operator="notEqual">
      <formula>0</formula>
    </cfRule>
  </conditionalFormatting>
  <conditionalFormatting sqref="Y60:Y61">
    <cfRule type="cellIs" dxfId="2721" priority="535" operator="equal">
      <formula>0</formula>
    </cfRule>
    <cfRule type="cellIs" dxfId="2720" priority="536" operator="notEqual">
      <formula>0</formula>
    </cfRule>
  </conditionalFormatting>
  <conditionalFormatting sqref="Z60:Z61">
    <cfRule type="cellIs" dxfId="2719" priority="533" operator="equal">
      <formula>0</formula>
    </cfRule>
    <cfRule type="cellIs" dxfId="2718" priority="534" operator="notEqual">
      <formula>0</formula>
    </cfRule>
  </conditionalFormatting>
  <conditionalFormatting sqref="AA60:AA61">
    <cfRule type="cellIs" dxfId="2717" priority="531" operator="equal">
      <formula>0</formula>
    </cfRule>
    <cfRule type="cellIs" dxfId="2716" priority="532" operator="notEqual">
      <formula>0</formula>
    </cfRule>
  </conditionalFormatting>
  <conditionalFormatting sqref="AB60:AB61">
    <cfRule type="cellIs" dxfId="2715" priority="529" operator="equal">
      <formula>0</formula>
    </cfRule>
    <cfRule type="cellIs" dxfId="2714" priority="530" operator="notEqual">
      <formula>0</formula>
    </cfRule>
  </conditionalFormatting>
  <conditionalFormatting sqref="AG59">
    <cfRule type="cellIs" dxfId="2713" priority="527" operator="equal">
      <formula>0</formula>
    </cfRule>
    <cfRule type="cellIs" dxfId="2712" priority="528" operator="notEqual">
      <formula>0</formula>
    </cfRule>
  </conditionalFormatting>
  <conditionalFormatting sqref="AG62">
    <cfRule type="cellIs" dxfId="2711" priority="525" operator="equal">
      <formula>0</formula>
    </cfRule>
    <cfRule type="cellIs" dxfId="2710" priority="526" operator="notEqual">
      <formula>0</formula>
    </cfRule>
  </conditionalFormatting>
  <conditionalFormatting sqref="AH59">
    <cfRule type="cellIs" dxfId="2709" priority="523" operator="equal">
      <formula>0</formula>
    </cfRule>
    <cfRule type="cellIs" dxfId="2708" priority="524" operator="notEqual">
      <formula>0</formula>
    </cfRule>
  </conditionalFormatting>
  <conditionalFormatting sqref="AH62">
    <cfRule type="cellIs" dxfId="2707" priority="521" operator="equal">
      <formula>0</formula>
    </cfRule>
    <cfRule type="cellIs" dxfId="2706" priority="522" operator="notEqual">
      <formula>0</formula>
    </cfRule>
  </conditionalFormatting>
  <conditionalFormatting sqref="AI59">
    <cfRule type="cellIs" dxfId="2705" priority="519" operator="equal">
      <formula>0</formula>
    </cfRule>
    <cfRule type="cellIs" dxfId="2704" priority="520" operator="notEqual">
      <formula>0</formula>
    </cfRule>
  </conditionalFormatting>
  <conditionalFormatting sqref="AI62">
    <cfRule type="cellIs" dxfId="2703" priority="517" operator="equal">
      <formula>0</formula>
    </cfRule>
    <cfRule type="cellIs" dxfId="2702" priority="518" operator="notEqual">
      <formula>0</formula>
    </cfRule>
  </conditionalFormatting>
  <conditionalFormatting sqref="AJ59">
    <cfRule type="cellIs" dxfId="2701" priority="515" operator="equal">
      <formula>0</formula>
    </cfRule>
    <cfRule type="cellIs" dxfId="2700" priority="516" operator="notEqual">
      <formula>0</formula>
    </cfRule>
  </conditionalFormatting>
  <conditionalFormatting sqref="AJ62">
    <cfRule type="cellIs" dxfId="2699" priority="513" operator="equal">
      <formula>0</formula>
    </cfRule>
    <cfRule type="cellIs" dxfId="2698" priority="514" operator="notEqual">
      <formula>0</formula>
    </cfRule>
  </conditionalFormatting>
  <conditionalFormatting sqref="U53:U54">
    <cfRule type="cellIs" dxfId="2697" priority="511" operator="equal">
      <formula>0</formula>
    </cfRule>
    <cfRule type="cellIs" dxfId="2696" priority="512" operator="notEqual">
      <formula>0</formula>
    </cfRule>
  </conditionalFormatting>
  <conditionalFormatting sqref="V53:V54">
    <cfRule type="cellIs" dxfId="2695" priority="509" operator="equal">
      <formula>0</formula>
    </cfRule>
    <cfRule type="cellIs" dxfId="2694" priority="510" operator="notEqual">
      <formula>0</formula>
    </cfRule>
  </conditionalFormatting>
  <conditionalFormatting sqref="W53:W54">
    <cfRule type="cellIs" dxfId="2693" priority="507" operator="equal">
      <formula>0</formula>
    </cfRule>
    <cfRule type="cellIs" dxfId="2692" priority="508" operator="notEqual">
      <formula>0</formula>
    </cfRule>
  </conditionalFormatting>
  <conditionalFormatting sqref="X53:X54">
    <cfRule type="cellIs" dxfId="2691" priority="505" operator="equal">
      <formula>0</formula>
    </cfRule>
    <cfRule type="cellIs" dxfId="2690" priority="506" operator="notEqual">
      <formula>0</formula>
    </cfRule>
  </conditionalFormatting>
  <conditionalFormatting sqref="Y53:Y54">
    <cfRule type="cellIs" dxfId="2689" priority="503" operator="equal">
      <formula>0</formula>
    </cfRule>
    <cfRule type="cellIs" dxfId="2688" priority="504" operator="notEqual">
      <formula>0</formula>
    </cfRule>
  </conditionalFormatting>
  <conditionalFormatting sqref="Z53:Z54">
    <cfRule type="cellIs" dxfId="2687" priority="501" operator="equal">
      <formula>0</formula>
    </cfRule>
    <cfRule type="cellIs" dxfId="2686" priority="502" operator="notEqual">
      <formula>0</formula>
    </cfRule>
  </conditionalFormatting>
  <conditionalFormatting sqref="AA53:AA54">
    <cfRule type="cellIs" dxfId="2685" priority="499" operator="equal">
      <formula>0</formula>
    </cfRule>
    <cfRule type="cellIs" dxfId="2684" priority="500" operator="notEqual">
      <formula>0</formula>
    </cfRule>
  </conditionalFormatting>
  <conditionalFormatting sqref="AB53:AB54">
    <cfRule type="cellIs" dxfId="2683" priority="497" operator="equal">
      <formula>0</formula>
    </cfRule>
    <cfRule type="cellIs" dxfId="2682" priority="498" operator="notEqual">
      <formula>0</formula>
    </cfRule>
  </conditionalFormatting>
  <conditionalFormatting sqref="AG52">
    <cfRule type="cellIs" dxfId="2681" priority="495" operator="equal">
      <formula>0</formula>
    </cfRule>
    <cfRule type="cellIs" dxfId="2680" priority="496" operator="notEqual">
      <formula>0</formula>
    </cfRule>
  </conditionalFormatting>
  <conditionalFormatting sqref="AG55">
    <cfRule type="cellIs" dxfId="2679" priority="493" operator="equal">
      <formula>0</formula>
    </cfRule>
    <cfRule type="cellIs" dxfId="2678" priority="494" operator="notEqual">
      <formula>0</formula>
    </cfRule>
  </conditionalFormatting>
  <conditionalFormatting sqref="AH52">
    <cfRule type="cellIs" dxfId="2677" priority="491" operator="equal">
      <formula>0</formula>
    </cfRule>
    <cfRule type="cellIs" dxfId="2676" priority="492" operator="notEqual">
      <formula>0</formula>
    </cfRule>
  </conditionalFormatting>
  <conditionalFormatting sqref="AH55">
    <cfRule type="cellIs" dxfId="2675" priority="489" operator="equal">
      <formula>0</formula>
    </cfRule>
    <cfRule type="cellIs" dxfId="2674" priority="490" operator="notEqual">
      <formula>0</formula>
    </cfRule>
  </conditionalFormatting>
  <conditionalFormatting sqref="AI52">
    <cfRule type="cellIs" dxfId="2673" priority="487" operator="equal">
      <formula>0</formula>
    </cfRule>
    <cfRule type="cellIs" dxfId="2672" priority="488" operator="notEqual">
      <formula>0</formula>
    </cfRule>
  </conditionalFormatting>
  <conditionalFormatting sqref="AI55">
    <cfRule type="cellIs" dxfId="2671" priority="485" operator="equal">
      <formula>0</formula>
    </cfRule>
    <cfRule type="cellIs" dxfId="2670" priority="486" operator="notEqual">
      <formula>0</formula>
    </cfRule>
  </conditionalFormatting>
  <conditionalFormatting sqref="AJ52">
    <cfRule type="cellIs" dxfId="2669" priority="483" operator="equal">
      <formula>0</formula>
    </cfRule>
    <cfRule type="cellIs" dxfId="2668" priority="484" operator="notEqual">
      <formula>0</formula>
    </cfRule>
  </conditionalFormatting>
  <conditionalFormatting sqref="AJ55">
    <cfRule type="cellIs" dxfId="2667" priority="481" operator="equal">
      <formula>0</formula>
    </cfRule>
    <cfRule type="cellIs" dxfId="2666" priority="482" operator="notEqual">
      <formula>0</formula>
    </cfRule>
  </conditionalFormatting>
  <conditionalFormatting sqref="U46:U47">
    <cfRule type="cellIs" dxfId="2665" priority="479" operator="equal">
      <formula>0</formula>
    </cfRule>
    <cfRule type="cellIs" dxfId="2664" priority="480" operator="notEqual">
      <formula>0</formula>
    </cfRule>
  </conditionalFormatting>
  <conditionalFormatting sqref="V46:V47">
    <cfRule type="cellIs" dxfId="2663" priority="477" operator="equal">
      <formula>0</formula>
    </cfRule>
    <cfRule type="cellIs" dxfId="2662" priority="478" operator="notEqual">
      <formula>0</formula>
    </cfRule>
  </conditionalFormatting>
  <conditionalFormatting sqref="W46:W47">
    <cfRule type="cellIs" dxfId="2661" priority="475" operator="equal">
      <formula>0</formula>
    </cfRule>
    <cfRule type="cellIs" dxfId="2660" priority="476" operator="notEqual">
      <formula>0</formula>
    </cfRule>
  </conditionalFormatting>
  <conditionalFormatting sqref="X46:X47">
    <cfRule type="cellIs" dxfId="2659" priority="473" operator="equal">
      <formula>0</formula>
    </cfRule>
    <cfRule type="cellIs" dxfId="2658" priority="474" operator="notEqual">
      <formula>0</formula>
    </cfRule>
  </conditionalFormatting>
  <conditionalFormatting sqref="Y46:Y47">
    <cfRule type="cellIs" dxfId="2657" priority="471" operator="equal">
      <formula>0</formula>
    </cfRule>
    <cfRule type="cellIs" dxfId="2656" priority="472" operator="notEqual">
      <formula>0</formula>
    </cfRule>
  </conditionalFormatting>
  <conditionalFormatting sqref="Z46:Z47">
    <cfRule type="cellIs" dxfId="2655" priority="469" operator="equal">
      <formula>0</formula>
    </cfRule>
    <cfRule type="cellIs" dxfId="2654" priority="470" operator="notEqual">
      <formula>0</formula>
    </cfRule>
  </conditionalFormatting>
  <conditionalFormatting sqref="AA46:AA47">
    <cfRule type="cellIs" dxfId="2653" priority="467" operator="equal">
      <formula>0</formula>
    </cfRule>
    <cfRule type="cellIs" dxfId="2652" priority="468" operator="notEqual">
      <formula>0</formula>
    </cfRule>
  </conditionalFormatting>
  <conditionalFormatting sqref="AB46:AB47">
    <cfRule type="cellIs" dxfId="2651" priority="465" operator="equal">
      <formula>0</formula>
    </cfRule>
    <cfRule type="cellIs" dxfId="2650" priority="466" operator="notEqual">
      <formula>0</formula>
    </cfRule>
  </conditionalFormatting>
  <conditionalFormatting sqref="AG45">
    <cfRule type="cellIs" dxfId="2649" priority="463" operator="equal">
      <formula>0</formula>
    </cfRule>
    <cfRule type="cellIs" dxfId="2648" priority="464" operator="notEqual">
      <formula>0</formula>
    </cfRule>
  </conditionalFormatting>
  <conditionalFormatting sqref="AG48">
    <cfRule type="cellIs" dxfId="2647" priority="461" operator="equal">
      <formula>0</formula>
    </cfRule>
    <cfRule type="cellIs" dxfId="2646" priority="462" operator="notEqual">
      <formula>0</formula>
    </cfRule>
  </conditionalFormatting>
  <conditionalFormatting sqref="AH45">
    <cfRule type="cellIs" dxfId="2645" priority="459" operator="equal">
      <formula>0</formula>
    </cfRule>
    <cfRule type="cellIs" dxfId="2644" priority="460" operator="notEqual">
      <formula>0</formula>
    </cfRule>
  </conditionalFormatting>
  <conditionalFormatting sqref="AH48">
    <cfRule type="cellIs" dxfId="2643" priority="457" operator="equal">
      <formula>0</formula>
    </cfRule>
    <cfRule type="cellIs" dxfId="2642" priority="458" operator="notEqual">
      <formula>0</formula>
    </cfRule>
  </conditionalFormatting>
  <conditionalFormatting sqref="AI45">
    <cfRule type="cellIs" dxfId="2641" priority="455" operator="equal">
      <formula>0</formula>
    </cfRule>
    <cfRule type="cellIs" dxfId="2640" priority="456" operator="notEqual">
      <formula>0</formula>
    </cfRule>
  </conditionalFormatting>
  <conditionalFormatting sqref="AI48">
    <cfRule type="cellIs" dxfId="2639" priority="453" operator="equal">
      <formula>0</formula>
    </cfRule>
    <cfRule type="cellIs" dxfId="2638" priority="454" operator="notEqual">
      <formula>0</formula>
    </cfRule>
  </conditionalFormatting>
  <conditionalFormatting sqref="AJ45">
    <cfRule type="cellIs" dxfId="2637" priority="451" operator="equal">
      <formula>0</formula>
    </cfRule>
    <cfRule type="cellIs" dxfId="2636" priority="452" operator="notEqual">
      <formula>0</formula>
    </cfRule>
  </conditionalFormatting>
  <conditionalFormatting sqref="AJ48">
    <cfRule type="cellIs" dxfId="2635" priority="449" operator="equal">
      <formula>0</formula>
    </cfRule>
    <cfRule type="cellIs" dxfId="2634" priority="450" operator="notEqual">
      <formula>0</formula>
    </cfRule>
  </conditionalFormatting>
  <conditionalFormatting sqref="U39:U40">
    <cfRule type="cellIs" dxfId="2633" priority="447" operator="equal">
      <formula>0</formula>
    </cfRule>
    <cfRule type="cellIs" dxfId="2632" priority="448" operator="notEqual">
      <formula>0</formula>
    </cfRule>
  </conditionalFormatting>
  <conditionalFormatting sqref="V39:V40">
    <cfRule type="cellIs" dxfId="2631" priority="445" operator="equal">
      <formula>0</formula>
    </cfRule>
    <cfRule type="cellIs" dxfId="2630" priority="446" operator="notEqual">
      <formula>0</formula>
    </cfRule>
  </conditionalFormatting>
  <conditionalFormatting sqref="W39:W40">
    <cfRule type="cellIs" dxfId="2629" priority="443" operator="equal">
      <formula>0</formula>
    </cfRule>
    <cfRule type="cellIs" dxfId="2628" priority="444" operator="notEqual">
      <formula>0</formula>
    </cfRule>
  </conditionalFormatting>
  <conditionalFormatting sqref="X39:X40">
    <cfRule type="cellIs" dxfId="2627" priority="441" operator="equal">
      <formula>0</formula>
    </cfRule>
    <cfRule type="cellIs" dxfId="2626" priority="442" operator="notEqual">
      <formula>0</formula>
    </cfRule>
  </conditionalFormatting>
  <conditionalFormatting sqref="Y39:Y40">
    <cfRule type="cellIs" dxfId="2625" priority="439" operator="equal">
      <formula>0</formula>
    </cfRule>
    <cfRule type="cellIs" dxfId="2624" priority="440" operator="notEqual">
      <formula>0</formula>
    </cfRule>
  </conditionalFormatting>
  <conditionalFormatting sqref="Z39:Z40">
    <cfRule type="cellIs" dxfId="2623" priority="437" operator="equal">
      <formula>0</formula>
    </cfRule>
    <cfRule type="cellIs" dxfId="2622" priority="438" operator="notEqual">
      <formula>0</formula>
    </cfRule>
  </conditionalFormatting>
  <conditionalFormatting sqref="AA39:AA40">
    <cfRule type="cellIs" dxfId="2621" priority="435" operator="equal">
      <formula>0</formula>
    </cfRule>
    <cfRule type="cellIs" dxfId="2620" priority="436" operator="notEqual">
      <formula>0</formula>
    </cfRule>
  </conditionalFormatting>
  <conditionalFormatting sqref="AB39:AB40">
    <cfRule type="cellIs" dxfId="2619" priority="433" operator="equal">
      <formula>0</formula>
    </cfRule>
    <cfRule type="cellIs" dxfId="2618" priority="434" operator="notEqual">
      <formula>0</formula>
    </cfRule>
  </conditionalFormatting>
  <conditionalFormatting sqref="AG38">
    <cfRule type="cellIs" dxfId="2617" priority="431" operator="equal">
      <formula>0</formula>
    </cfRule>
    <cfRule type="cellIs" dxfId="2616" priority="432" operator="notEqual">
      <formula>0</formula>
    </cfRule>
  </conditionalFormatting>
  <conditionalFormatting sqref="AG41">
    <cfRule type="cellIs" dxfId="2615" priority="429" operator="equal">
      <formula>0</formula>
    </cfRule>
    <cfRule type="cellIs" dxfId="2614" priority="430" operator="notEqual">
      <formula>0</formula>
    </cfRule>
  </conditionalFormatting>
  <conditionalFormatting sqref="AH38">
    <cfRule type="cellIs" dxfId="2613" priority="427" operator="equal">
      <formula>0</formula>
    </cfRule>
    <cfRule type="cellIs" dxfId="2612" priority="428" operator="notEqual">
      <formula>0</formula>
    </cfRule>
  </conditionalFormatting>
  <conditionalFormatting sqref="AH41">
    <cfRule type="cellIs" dxfId="2611" priority="425" operator="equal">
      <formula>0</formula>
    </cfRule>
    <cfRule type="cellIs" dxfId="2610" priority="426" operator="notEqual">
      <formula>0</formula>
    </cfRule>
  </conditionalFormatting>
  <conditionalFormatting sqref="AI38">
    <cfRule type="cellIs" dxfId="2609" priority="423" operator="equal">
      <formula>0</formula>
    </cfRule>
    <cfRule type="cellIs" dxfId="2608" priority="424" operator="notEqual">
      <formula>0</formula>
    </cfRule>
  </conditionalFormatting>
  <conditionalFormatting sqref="AI41">
    <cfRule type="cellIs" dxfId="2607" priority="421" operator="equal">
      <formula>0</formula>
    </cfRule>
    <cfRule type="cellIs" dxfId="2606" priority="422" operator="notEqual">
      <formula>0</formula>
    </cfRule>
  </conditionalFormatting>
  <conditionalFormatting sqref="AJ38">
    <cfRule type="cellIs" dxfId="2605" priority="419" operator="equal">
      <formula>0</formula>
    </cfRule>
    <cfRule type="cellIs" dxfId="2604" priority="420" operator="notEqual">
      <formula>0</formula>
    </cfRule>
  </conditionalFormatting>
  <conditionalFormatting sqref="AJ41">
    <cfRule type="cellIs" dxfId="2603" priority="417" operator="equal">
      <formula>0</formula>
    </cfRule>
    <cfRule type="cellIs" dxfId="2602" priority="418" operator="notEqual">
      <formula>0</formula>
    </cfRule>
  </conditionalFormatting>
  <conditionalFormatting sqref="U32:U33">
    <cfRule type="cellIs" dxfId="2601" priority="415" operator="equal">
      <formula>0</formula>
    </cfRule>
    <cfRule type="cellIs" dxfId="2600" priority="416" operator="notEqual">
      <formula>0</formula>
    </cfRule>
  </conditionalFormatting>
  <conditionalFormatting sqref="V32:V33">
    <cfRule type="cellIs" dxfId="2599" priority="413" operator="equal">
      <formula>0</formula>
    </cfRule>
    <cfRule type="cellIs" dxfId="2598" priority="414" operator="notEqual">
      <formula>0</formula>
    </cfRule>
  </conditionalFormatting>
  <conditionalFormatting sqref="W32:W33">
    <cfRule type="cellIs" dxfId="2597" priority="411" operator="equal">
      <formula>0</formula>
    </cfRule>
    <cfRule type="cellIs" dxfId="2596" priority="412" operator="notEqual">
      <formula>0</formula>
    </cfRule>
  </conditionalFormatting>
  <conditionalFormatting sqref="X32:X33">
    <cfRule type="cellIs" dxfId="2595" priority="409" operator="equal">
      <formula>0</formula>
    </cfRule>
    <cfRule type="cellIs" dxfId="2594" priority="410" operator="notEqual">
      <formula>0</formula>
    </cfRule>
  </conditionalFormatting>
  <conditionalFormatting sqref="Y32:Y33">
    <cfRule type="cellIs" dxfId="2593" priority="407" operator="equal">
      <formula>0</formula>
    </cfRule>
    <cfRule type="cellIs" dxfId="2592" priority="408" operator="notEqual">
      <formula>0</formula>
    </cfRule>
  </conditionalFormatting>
  <conditionalFormatting sqref="Z32:Z33">
    <cfRule type="cellIs" dxfId="2591" priority="405" operator="equal">
      <formula>0</formula>
    </cfRule>
    <cfRule type="cellIs" dxfId="2590" priority="406" operator="notEqual">
      <formula>0</formula>
    </cfRule>
  </conditionalFormatting>
  <conditionalFormatting sqref="AA32:AA33">
    <cfRule type="cellIs" dxfId="2589" priority="403" operator="equal">
      <formula>0</formula>
    </cfRule>
    <cfRule type="cellIs" dxfId="2588" priority="404" operator="notEqual">
      <formula>0</formula>
    </cfRule>
  </conditionalFormatting>
  <conditionalFormatting sqref="AB32:AB33">
    <cfRule type="cellIs" dxfId="2587" priority="401" operator="equal">
      <formula>0</formula>
    </cfRule>
    <cfRule type="cellIs" dxfId="2586" priority="402" operator="notEqual">
      <formula>0</formula>
    </cfRule>
  </conditionalFormatting>
  <conditionalFormatting sqref="AG31">
    <cfRule type="cellIs" dxfId="2585" priority="399" operator="equal">
      <formula>0</formula>
    </cfRule>
    <cfRule type="cellIs" dxfId="2584" priority="400" operator="notEqual">
      <formula>0</formula>
    </cfRule>
  </conditionalFormatting>
  <conditionalFormatting sqref="AG34">
    <cfRule type="cellIs" dxfId="2583" priority="397" operator="equal">
      <formula>0</formula>
    </cfRule>
    <cfRule type="cellIs" dxfId="2582" priority="398" operator="notEqual">
      <formula>0</formula>
    </cfRule>
  </conditionalFormatting>
  <conditionalFormatting sqref="AH31">
    <cfRule type="cellIs" dxfId="2581" priority="395" operator="equal">
      <formula>0</formula>
    </cfRule>
    <cfRule type="cellIs" dxfId="2580" priority="396" operator="notEqual">
      <formula>0</formula>
    </cfRule>
  </conditionalFormatting>
  <conditionalFormatting sqref="AH34">
    <cfRule type="cellIs" dxfId="2579" priority="393" operator="equal">
      <formula>0</formula>
    </cfRule>
    <cfRule type="cellIs" dxfId="2578" priority="394" operator="notEqual">
      <formula>0</formula>
    </cfRule>
  </conditionalFormatting>
  <conditionalFormatting sqref="AI31">
    <cfRule type="cellIs" dxfId="2577" priority="391" operator="equal">
      <formula>0</formula>
    </cfRule>
    <cfRule type="cellIs" dxfId="2576" priority="392" operator="notEqual">
      <formula>0</formula>
    </cfRule>
  </conditionalFormatting>
  <conditionalFormatting sqref="AI34">
    <cfRule type="cellIs" dxfId="2575" priority="389" operator="equal">
      <formula>0</formula>
    </cfRule>
    <cfRule type="cellIs" dxfId="2574" priority="390" operator="notEqual">
      <formula>0</formula>
    </cfRule>
  </conditionalFormatting>
  <conditionalFormatting sqref="AJ31">
    <cfRule type="cellIs" dxfId="2573" priority="387" operator="equal">
      <formula>0</formula>
    </cfRule>
    <cfRule type="cellIs" dxfId="2572" priority="388" operator="notEqual">
      <formula>0</formula>
    </cfRule>
  </conditionalFormatting>
  <conditionalFormatting sqref="AJ34">
    <cfRule type="cellIs" dxfId="2571" priority="385" operator="equal">
      <formula>0</formula>
    </cfRule>
    <cfRule type="cellIs" dxfId="2570" priority="386" operator="notEqual">
      <formula>0</formula>
    </cfRule>
  </conditionalFormatting>
  <conditionalFormatting sqref="U25:U26">
    <cfRule type="cellIs" dxfId="2569" priority="383" operator="equal">
      <formula>0</formula>
    </cfRule>
    <cfRule type="cellIs" dxfId="2568" priority="384" operator="notEqual">
      <formula>0</formula>
    </cfRule>
  </conditionalFormatting>
  <conditionalFormatting sqref="V25:V26">
    <cfRule type="cellIs" dxfId="2567" priority="381" operator="equal">
      <formula>0</formula>
    </cfRule>
    <cfRule type="cellIs" dxfId="2566" priority="382" operator="notEqual">
      <formula>0</formula>
    </cfRule>
  </conditionalFormatting>
  <conditionalFormatting sqref="W25:W26">
    <cfRule type="cellIs" dxfId="2565" priority="379" operator="equal">
      <formula>0</formula>
    </cfRule>
    <cfRule type="cellIs" dxfId="2564" priority="380" operator="notEqual">
      <formula>0</formula>
    </cfRule>
  </conditionalFormatting>
  <conditionalFormatting sqref="X25:X26">
    <cfRule type="cellIs" dxfId="2563" priority="377" operator="equal">
      <formula>0</formula>
    </cfRule>
    <cfRule type="cellIs" dxfId="2562" priority="378" operator="notEqual">
      <formula>0</formula>
    </cfRule>
  </conditionalFormatting>
  <conditionalFormatting sqref="Y25:Y26">
    <cfRule type="cellIs" dxfId="2561" priority="375" operator="equal">
      <formula>0</formula>
    </cfRule>
    <cfRule type="cellIs" dxfId="2560" priority="376" operator="notEqual">
      <formula>0</formula>
    </cfRule>
  </conditionalFormatting>
  <conditionalFormatting sqref="Z25:Z26">
    <cfRule type="cellIs" dxfId="2559" priority="373" operator="equal">
      <formula>0</formula>
    </cfRule>
    <cfRule type="cellIs" dxfId="2558" priority="374" operator="notEqual">
      <formula>0</formula>
    </cfRule>
  </conditionalFormatting>
  <conditionalFormatting sqref="AA25:AA26">
    <cfRule type="cellIs" dxfId="2557" priority="371" operator="equal">
      <formula>0</formula>
    </cfRule>
    <cfRule type="cellIs" dxfId="2556" priority="372" operator="notEqual">
      <formula>0</formula>
    </cfRule>
  </conditionalFormatting>
  <conditionalFormatting sqref="AB25:AB26">
    <cfRule type="cellIs" dxfId="2555" priority="369" operator="equal">
      <formula>0</formula>
    </cfRule>
    <cfRule type="cellIs" dxfId="2554" priority="370" operator="notEqual">
      <formula>0</formula>
    </cfRule>
  </conditionalFormatting>
  <conditionalFormatting sqref="AG24">
    <cfRule type="cellIs" dxfId="2553" priority="367" operator="equal">
      <formula>0</formula>
    </cfRule>
    <cfRule type="cellIs" dxfId="2552" priority="368" operator="notEqual">
      <formula>0</formula>
    </cfRule>
  </conditionalFormatting>
  <conditionalFormatting sqref="AG27">
    <cfRule type="cellIs" dxfId="2551" priority="365" operator="equal">
      <formula>0</formula>
    </cfRule>
    <cfRule type="cellIs" dxfId="2550" priority="366" operator="notEqual">
      <formula>0</formula>
    </cfRule>
  </conditionalFormatting>
  <conditionalFormatting sqref="AH24">
    <cfRule type="cellIs" dxfId="2549" priority="363" operator="equal">
      <formula>0</formula>
    </cfRule>
    <cfRule type="cellIs" dxfId="2548" priority="364" operator="notEqual">
      <formula>0</formula>
    </cfRule>
  </conditionalFormatting>
  <conditionalFormatting sqref="AH27">
    <cfRule type="cellIs" dxfId="2547" priority="361" operator="equal">
      <formula>0</formula>
    </cfRule>
    <cfRule type="cellIs" dxfId="2546" priority="362" operator="notEqual">
      <formula>0</formula>
    </cfRule>
  </conditionalFormatting>
  <conditionalFormatting sqref="AI24">
    <cfRule type="cellIs" dxfId="2545" priority="359" operator="equal">
      <formula>0</formula>
    </cfRule>
    <cfRule type="cellIs" dxfId="2544" priority="360" operator="notEqual">
      <formula>0</formula>
    </cfRule>
  </conditionalFormatting>
  <conditionalFormatting sqref="AI27">
    <cfRule type="cellIs" dxfId="2543" priority="357" operator="equal">
      <formula>0</formula>
    </cfRule>
    <cfRule type="cellIs" dxfId="2542" priority="358" operator="notEqual">
      <formula>0</formula>
    </cfRule>
  </conditionalFormatting>
  <conditionalFormatting sqref="AJ24">
    <cfRule type="cellIs" dxfId="2541" priority="355" operator="equal">
      <formula>0</formula>
    </cfRule>
    <cfRule type="cellIs" dxfId="2540" priority="356" operator="notEqual">
      <formula>0</formula>
    </cfRule>
  </conditionalFormatting>
  <conditionalFormatting sqref="AJ27">
    <cfRule type="cellIs" dxfId="2539" priority="353" operator="equal">
      <formula>0</formula>
    </cfRule>
    <cfRule type="cellIs" dxfId="2538" priority="354" operator="notEqual">
      <formula>0</formula>
    </cfRule>
  </conditionalFormatting>
  <conditionalFormatting sqref="U18:U19">
    <cfRule type="cellIs" dxfId="2537" priority="351" operator="equal">
      <formula>0</formula>
    </cfRule>
    <cfRule type="cellIs" dxfId="2536" priority="352" operator="notEqual">
      <formula>0</formula>
    </cfRule>
  </conditionalFormatting>
  <conditionalFormatting sqref="V18:V19">
    <cfRule type="cellIs" dxfId="2535" priority="349" operator="equal">
      <formula>0</formula>
    </cfRule>
    <cfRule type="cellIs" dxfId="2534" priority="350" operator="notEqual">
      <formula>0</formula>
    </cfRule>
  </conditionalFormatting>
  <conditionalFormatting sqref="W18:W19">
    <cfRule type="cellIs" dxfId="2533" priority="347" operator="equal">
      <formula>0</formula>
    </cfRule>
    <cfRule type="cellIs" dxfId="2532" priority="348" operator="notEqual">
      <formula>0</formula>
    </cfRule>
  </conditionalFormatting>
  <conditionalFormatting sqref="X18:X19">
    <cfRule type="cellIs" dxfId="2531" priority="345" operator="equal">
      <formula>0</formula>
    </cfRule>
    <cfRule type="cellIs" dxfId="2530" priority="346" operator="notEqual">
      <formula>0</formula>
    </cfRule>
  </conditionalFormatting>
  <conditionalFormatting sqref="Y18:Y19">
    <cfRule type="cellIs" dxfId="2529" priority="343" operator="equal">
      <formula>0</formula>
    </cfRule>
    <cfRule type="cellIs" dxfId="2528" priority="344" operator="notEqual">
      <formula>0</formula>
    </cfRule>
  </conditionalFormatting>
  <conditionalFormatting sqref="Z18:Z19">
    <cfRule type="cellIs" dxfId="2527" priority="341" operator="equal">
      <formula>0</formula>
    </cfRule>
    <cfRule type="cellIs" dxfId="2526" priority="342" operator="notEqual">
      <formula>0</formula>
    </cfRule>
  </conditionalFormatting>
  <conditionalFormatting sqref="AA18:AA19">
    <cfRule type="cellIs" dxfId="2525" priority="339" operator="equal">
      <formula>0</formula>
    </cfRule>
    <cfRule type="cellIs" dxfId="2524" priority="340" operator="notEqual">
      <formula>0</formula>
    </cfRule>
  </conditionalFormatting>
  <conditionalFormatting sqref="AB18:AB19">
    <cfRule type="cellIs" dxfId="2523" priority="337" operator="equal">
      <formula>0</formula>
    </cfRule>
    <cfRule type="cellIs" dxfId="2522" priority="338" operator="notEqual">
      <formula>0</formula>
    </cfRule>
  </conditionalFormatting>
  <conditionalFormatting sqref="AG17">
    <cfRule type="cellIs" dxfId="2521" priority="335" operator="equal">
      <formula>0</formula>
    </cfRule>
    <cfRule type="cellIs" dxfId="2520" priority="336" operator="notEqual">
      <formula>0</formula>
    </cfRule>
  </conditionalFormatting>
  <conditionalFormatting sqref="AG20">
    <cfRule type="cellIs" dxfId="2519" priority="333" operator="equal">
      <formula>0</formula>
    </cfRule>
    <cfRule type="cellIs" dxfId="2518" priority="334" operator="notEqual">
      <formula>0</formula>
    </cfRule>
  </conditionalFormatting>
  <conditionalFormatting sqref="AH17">
    <cfRule type="cellIs" dxfId="2517" priority="331" operator="equal">
      <formula>0</formula>
    </cfRule>
    <cfRule type="cellIs" dxfId="2516" priority="332" operator="notEqual">
      <formula>0</formula>
    </cfRule>
  </conditionalFormatting>
  <conditionalFormatting sqref="AH20">
    <cfRule type="cellIs" dxfId="2515" priority="329" operator="equal">
      <formula>0</formula>
    </cfRule>
    <cfRule type="cellIs" dxfId="2514" priority="330" operator="notEqual">
      <formula>0</formula>
    </cfRule>
  </conditionalFormatting>
  <conditionalFormatting sqref="AI17">
    <cfRule type="cellIs" dxfId="2513" priority="327" operator="equal">
      <formula>0</formula>
    </cfRule>
    <cfRule type="cellIs" dxfId="2512" priority="328" operator="notEqual">
      <formula>0</formula>
    </cfRule>
  </conditionalFormatting>
  <conditionalFormatting sqref="AI20">
    <cfRule type="cellIs" dxfId="2511" priority="325" operator="equal">
      <formula>0</formula>
    </cfRule>
    <cfRule type="cellIs" dxfId="2510" priority="326" operator="notEqual">
      <formula>0</formula>
    </cfRule>
  </conditionalFormatting>
  <conditionalFormatting sqref="AJ17">
    <cfRule type="cellIs" dxfId="2509" priority="323" operator="equal">
      <formula>0</formula>
    </cfRule>
    <cfRule type="cellIs" dxfId="2508" priority="324" operator="notEqual">
      <formula>0</formula>
    </cfRule>
  </conditionalFormatting>
  <conditionalFormatting sqref="AJ20">
    <cfRule type="cellIs" dxfId="2507" priority="321" operator="equal">
      <formula>0</formula>
    </cfRule>
    <cfRule type="cellIs" dxfId="2506" priority="322" operator="notEqual">
      <formula>0</formula>
    </cfRule>
  </conditionalFormatting>
  <conditionalFormatting sqref="U11:U12">
    <cfRule type="cellIs" dxfId="2505" priority="319" operator="equal">
      <formula>0</formula>
    </cfRule>
    <cfRule type="cellIs" dxfId="2504" priority="320" operator="notEqual">
      <formula>0</formula>
    </cfRule>
  </conditionalFormatting>
  <conditionalFormatting sqref="V11:V12">
    <cfRule type="cellIs" dxfId="2503" priority="317" operator="equal">
      <formula>0</formula>
    </cfRule>
    <cfRule type="cellIs" dxfId="2502" priority="318" operator="notEqual">
      <formula>0</formula>
    </cfRule>
  </conditionalFormatting>
  <conditionalFormatting sqref="W11:W12">
    <cfRule type="cellIs" dxfId="2501" priority="315" operator="equal">
      <formula>0</formula>
    </cfRule>
    <cfRule type="cellIs" dxfId="2500" priority="316" operator="notEqual">
      <formula>0</formula>
    </cfRule>
  </conditionalFormatting>
  <conditionalFormatting sqref="X11:X12">
    <cfRule type="cellIs" dxfId="2499" priority="313" operator="equal">
      <formula>0</formula>
    </cfRule>
    <cfRule type="cellIs" dxfId="2498" priority="314" operator="notEqual">
      <formula>0</formula>
    </cfRule>
  </conditionalFormatting>
  <conditionalFormatting sqref="Y11:Y12">
    <cfRule type="cellIs" dxfId="2497" priority="311" operator="equal">
      <formula>0</formula>
    </cfRule>
    <cfRule type="cellIs" dxfId="2496" priority="312" operator="notEqual">
      <formula>0</formula>
    </cfRule>
  </conditionalFormatting>
  <conditionalFormatting sqref="Z11:Z12">
    <cfRule type="cellIs" dxfId="2495" priority="309" operator="equal">
      <formula>0</formula>
    </cfRule>
    <cfRule type="cellIs" dxfId="2494" priority="310" operator="notEqual">
      <formula>0</formula>
    </cfRule>
  </conditionalFormatting>
  <conditionalFormatting sqref="AA11:AA12">
    <cfRule type="cellIs" dxfId="2493" priority="307" operator="equal">
      <formula>0</formula>
    </cfRule>
    <cfRule type="cellIs" dxfId="2492" priority="308" operator="notEqual">
      <formula>0</formula>
    </cfRule>
  </conditionalFormatting>
  <conditionalFormatting sqref="AB11:AB12">
    <cfRule type="cellIs" dxfId="2491" priority="305" operator="equal">
      <formula>0</formula>
    </cfRule>
    <cfRule type="cellIs" dxfId="2490" priority="306" operator="notEqual">
      <formula>0</formula>
    </cfRule>
  </conditionalFormatting>
  <conditionalFormatting sqref="AG10">
    <cfRule type="cellIs" dxfId="2489" priority="303" operator="equal">
      <formula>0</formula>
    </cfRule>
    <cfRule type="cellIs" dxfId="2488" priority="304" operator="notEqual">
      <formula>0</formula>
    </cfRule>
  </conditionalFormatting>
  <conditionalFormatting sqref="AG13">
    <cfRule type="cellIs" dxfId="2487" priority="301" operator="equal">
      <formula>0</formula>
    </cfRule>
    <cfRule type="cellIs" dxfId="2486" priority="302" operator="notEqual">
      <formula>0</formula>
    </cfRule>
  </conditionalFormatting>
  <conditionalFormatting sqref="AH10">
    <cfRule type="cellIs" dxfId="2485" priority="299" operator="equal">
      <formula>0</formula>
    </cfRule>
    <cfRule type="cellIs" dxfId="2484" priority="300" operator="notEqual">
      <formula>0</formula>
    </cfRule>
  </conditionalFormatting>
  <conditionalFormatting sqref="AH13">
    <cfRule type="cellIs" dxfId="2483" priority="297" operator="equal">
      <formula>0</formula>
    </cfRule>
    <cfRule type="cellIs" dxfId="2482" priority="298" operator="notEqual">
      <formula>0</formula>
    </cfRule>
  </conditionalFormatting>
  <conditionalFormatting sqref="AI10">
    <cfRule type="cellIs" dxfId="2481" priority="295" operator="equal">
      <formula>0</formula>
    </cfRule>
    <cfRule type="cellIs" dxfId="2480" priority="296" operator="notEqual">
      <formula>0</formula>
    </cfRule>
  </conditionalFormatting>
  <conditionalFormatting sqref="AI13">
    <cfRule type="cellIs" dxfId="2479" priority="293" operator="equal">
      <formula>0</formula>
    </cfRule>
    <cfRule type="cellIs" dxfId="2478" priority="294" operator="notEqual">
      <formula>0</formula>
    </cfRule>
  </conditionalFormatting>
  <conditionalFormatting sqref="AJ10">
    <cfRule type="cellIs" dxfId="2477" priority="291" operator="equal">
      <formula>0</formula>
    </cfRule>
    <cfRule type="cellIs" dxfId="2476" priority="292" operator="notEqual">
      <formula>0</formula>
    </cfRule>
  </conditionalFormatting>
  <conditionalFormatting sqref="AJ13">
    <cfRule type="cellIs" dxfId="2475" priority="289" operator="equal">
      <formula>0</formula>
    </cfRule>
    <cfRule type="cellIs" dxfId="2474" priority="290" operator="notEqual">
      <formula>0</formula>
    </cfRule>
  </conditionalFormatting>
  <conditionalFormatting sqref="C81:C82">
    <cfRule type="cellIs" dxfId="2473" priority="287" operator="equal">
      <formula>0</formula>
    </cfRule>
    <cfRule type="cellIs" dxfId="2472" priority="288" operator="notEqual">
      <formula>0</formula>
    </cfRule>
  </conditionalFormatting>
  <conditionalFormatting sqref="D81:D82">
    <cfRule type="cellIs" dxfId="2471" priority="285" operator="equal">
      <formula>0</formula>
    </cfRule>
    <cfRule type="cellIs" dxfId="2470" priority="286" operator="notEqual">
      <formula>0</formula>
    </cfRule>
  </conditionalFormatting>
  <conditionalFormatting sqref="E81:E82">
    <cfRule type="cellIs" dxfId="2469" priority="283" operator="equal">
      <formula>0</formula>
    </cfRule>
    <cfRule type="cellIs" dxfId="2468" priority="284" operator="notEqual">
      <formula>0</formula>
    </cfRule>
  </conditionalFormatting>
  <conditionalFormatting sqref="F81:F82">
    <cfRule type="cellIs" dxfId="2467" priority="281" operator="equal">
      <formula>0</formula>
    </cfRule>
    <cfRule type="cellIs" dxfId="2466" priority="282" operator="notEqual">
      <formula>0</formula>
    </cfRule>
  </conditionalFormatting>
  <conditionalFormatting sqref="G81:G82">
    <cfRule type="cellIs" dxfId="2465" priority="279" operator="equal">
      <formula>0</formula>
    </cfRule>
    <cfRule type="cellIs" dxfId="2464" priority="280" operator="notEqual">
      <formula>0</formula>
    </cfRule>
  </conditionalFormatting>
  <conditionalFormatting sqref="H81:H82">
    <cfRule type="cellIs" dxfId="2463" priority="277" operator="equal">
      <formula>0</formula>
    </cfRule>
    <cfRule type="cellIs" dxfId="2462" priority="278" operator="notEqual">
      <formula>0</formula>
    </cfRule>
  </conditionalFormatting>
  <conditionalFormatting sqref="I81:I82">
    <cfRule type="cellIs" dxfId="2461" priority="275" operator="equal">
      <formula>0</formula>
    </cfRule>
    <cfRule type="cellIs" dxfId="2460" priority="276" operator="notEqual">
      <formula>0</formula>
    </cfRule>
  </conditionalFormatting>
  <conditionalFormatting sqref="J81:J82">
    <cfRule type="cellIs" dxfId="2459" priority="273" operator="equal">
      <formula>0</formula>
    </cfRule>
    <cfRule type="cellIs" dxfId="2458" priority="274" operator="notEqual">
      <formula>0</formula>
    </cfRule>
  </conditionalFormatting>
  <conditionalFormatting sqref="O80">
    <cfRule type="cellIs" dxfId="2457" priority="271" operator="equal">
      <formula>0</formula>
    </cfRule>
    <cfRule type="cellIs" dxfId="2456" priority="272" operator="notEqual">
      <formula>0</formula>
    </cfRule>
  </conditionalFormatting>
  <conditionalFormatting sqref="O83">
    <cfRule type="cellIs" dxfId="2455" priority="269" operator="equal">
      <formula>0</formula>
    </cfRule>
    <cfRule type="cellIs" dxfId="2454" priority="270" operator="notEqual">
      <formula>0</formula>
    </cfRule>
  </conditionalFormatting>
  <conditionalFormatting sqref="P80">
    <cfRule type="cellIs" dxfId="2453" priority="267" operator="equal">
      <formula>0</formula>
    </cfRule>
    <cfRule type="cellIs" dxfId="2452" priority="268" operator="notEqual">
      <formula>0</formula>
    </cfRule>
  </conditionalFormatting>
  <conditionalFormatting sqref="P83">
    <cfRule type="cellIs" dxfId="2451" priority="265" operator="equal">
      <formula>0</formula>
    </cfRule>
    <cfRule type="cellIs" dxfId="2450" priority="266" operator="notEqual">
      <formula>0</formula>
    </cfRule>
  </conditionalFormatting>
  <conditionalFormatting sqref="Q80">
    <cfRule type="cellIs" dxfId="2449" priority="263" operator="equal">
      <formula>0</formula>
    </cfRule>
    <cfRule type="cellIs" dxfId="2448" priority="264" operator="notEqual">
      <formula>0</formula>
    </cfRule>
  </conditionalFormatting>
  <conditionalFormatting sqref="Q83">
    <cfRule type="cellIs" dxfId="2447" priority="261" operator="equal">
      <formula>0</formula>
    </cfRule>
    <cfRule type="cellIs" dxfId="2446" priority="262" operator="notEqual">
      <formula>0</formula>
    </cfRule>
  </conditionalFormatting>
  <conditionalFormatting sqref="R80">
    <cfRule type="cellIs" dxfId="2445" priority="259" operator="equal">
      <formula>0</formula>
    </cfRule>
    <cfRule type="cellIs" dxfId="2444" priority="260" operator="notEqual">
      <formula>0</formula>
    </cfRule>
  </conditionalFormatting>
  <conditionalFormatting sqref="R83">
    <cfRule type="cellIs" dxfId="2443" priority="257" operator="equal">
      <formula>0</formula>
    </cfRule>
    <cfRule type="cellIs" dxfId="2442" priority="258" operator="notEqual">
      <formula>0</formula>
    </cfRule>
  </conditionalFormatting>
  <conditionalFormatting sqref="C88:C89">
    <cfRule type="cellIs" dxfId="2441" priority="255" operator="equal">
      <formula>0</formula>
    </cfRule>
    <cfRule type="cellIs" dxfId="2440" priority="256" operator="notEqual">
      <formula>0</formula>
    </cfRule>
  </conditionalFormatting>
  <conditionalFormatting sqref="D88:D89">
    <cfRule type="cellIs" dxfId="2439" priority="253" operator="equal">
      <formula>0</formula>
    </cfRule>
    <cfRule type="cellIs" dxfId="2438" priority="254" operator="notEqual">
      <formula>0</formula>
    </cfRule>
  </conditionalFormatting>
  <conditionalFormatting sqref="E88:E89">
    <cfRule type="cellIs" dxfId="2437" priority="251" operator="equal">
      <formula>0</formula>
    </cfRule>
    <cfRule type="cellIs" dxfId="2436" priority="252" operator="notEqual">
      <formula>0</formula>
    </cfRule>
  </conditionalFormatting>
  <conditionalFormatting sqref="F88:F89">
    <cfRule type="cellIs" dxfId="2435" priority="249" operator="equal">
      <formula>0</formula>
    </cfRule>
    <cfRule type="cellIs" dxfId="2434" priority="250" operator="notEqual">
      <formula>0</formula>
    </cfRule>
  </conditionalFormatting>
  <conditionalFormatting sqref="G88:G89">
    <cfRule type="cellIs" dxfId="2433" priority="247" operator="equal">
      <formula>0</formula>
    </cfRule>
    <cfRule type="cellIs" dxfId="2432" priority="248" operator="notEqual">
      <formula>0</formula>
    </cfRule>
  </conditionalFormatting>
  <conditionalFormatting sqref="H88:H89">
    <cfRule type="cellIs" dxfId="2431" priority="245" operator="equal">
      <formula>0</formula>
    </cfRule>
    <cfRule type="cellIs" dxfId="2430" priority="246" operator="notEqual">
      <formula>0</formula>
    </cfRule>
  </conditionalFormatting>
  <conditionalFormatting sqref="I88:I89">
    <cfRule type="cellIs" dxfId="2429" priority="243" operator="equal">
      <formula>0</formula>
    </cfRule>
    <cfRule type="cellIs" dxfId="2428" priority="244" operator="notEqual">
      <formula>0</formula>
    </cfRule>
  </conditionalFormatting>
  <conditionalFormatting sqref="J88:J89">
    <cfRule type="cellIs" dxfId="2427" priority="241" operator="equal">
      <formula>0</formula>
    </cfRule>
    <cfRule type="cellIs" dxfId="2426" priority="242" operator="notEqual">
      <formula>0</formula>
    </cfRule>
  </conditionalFormatting>
  <conditionalFormatting sqref="O87">
    <cfRule type="cellIs" dxfId="2425" priority="239" operator="equal">
      <formula>0</formula>
    </cfRule>
    <cfRule type="cellIs" dxfId="2424" priority="240" operator="notEqual">
      <formula>0</formula>
    </cfRule>
  </conditionalFormatting>
  <conditionalFormatting sqref="O90">
    <cfRule type="cellIs" dxfId="2423" priority="237" operator="equal">
      <formula>0</formula>
    </cfRule>
    <cfRule type="cellIs" dxfId="2422" priority="238" operator="notEqual">
      <formula>0</formula>
    </cfRule>
  </conditionalFormatting>
  <conditionalFormatting sqref="P87">
    <cfRule type="cellIs" dxfId="2421" priority="235" operator="equal">
      <formula>0</formula>
    </cfRule>
    <cfRule type="cellIs" dxfId="2420" priority="236" operator="notEqual">
      <formula>0</formula>
    </cfRule>
  </conditionalFormatting>
  <conditionalFormatting sqref="P90">
    <cfRule type="cellIs" dxfId="2419" priority="233" operator="equal">
      <formula>0</formula>
    </cfRule>
    <cfRule type="cellIs" dxfId="2418" priority="234" operator="notEqual">
      <formula>0</formula>
    </cfRule>
  </conditionalFormatting>
  <conditionalFormatting sqref="Q87">
    <cfRule type="cellIs" dxfId="2417" priority="231" operator="equal">
      <formula>0</formula>
    </cfRule>
    <cfRule type="cellIs" dxfId="2416" priority="232" operator="notEqual">
      <formula>0</formula>
    </cfRule>
  </conditionalFormatting>
  <conditionalFormatting sqref="Q90">
    <cfRule type="cellIs" dxfId="2415" priority="229" operator="equal">
      <formula>0</formula>
    </cfRule>
    <cfRule type="cellIs" dxfId="2414" priority="230" operator="notEqual">
      <formula>0</formula>
    </cfRule>
  </conditionalFormatting>
  <conditionalFormatting sqref="R87">
    <cfRule type="cellIs" dxfId="2413" priority="227" operator="equal">
      <formula>0</formula>
    </cfRule>
    <cfRule type="cellIs" dxfId="2412" priority="228" operator="notEqual">
      <formula>0</formula>
    </cfRule>
  </conditionalFormatting>
  <conditionalFormatting sqref="R90">
    <cfRule type="cellIs" dxfId="2411" priority="225" operator="equal">
      <formula>0</formula>
    </cfRule>
    <cfRule type="cellIs" dxfId="2410" priority="226" operator="notEqual">
      <formula>0</formula>
    </cfRule>
  </conditionalFormatting>
  <conditionalFormatting sqref="C95:C96">
    <cfRule type="cellIs" dxfId="2409" priority="223" operator="equal">
      <formula>0</formula>
    </cfRule>
    <cfRule type="cellIs" dxfId="2408" priority="224" operator="notEqual">
      <formula>0</formula>
    </cfRule>
  </conditionalFormatting>
  <conditionalFormatting sqref="D95:D96">
    <cfRule type="cellIs" dxfId="2407" priority="221" operator="equal">
      <formula>0</formula>
    </cfRule>
    <cfRule type="cellIs" dxfId="2406" priority="222" operator="notEqual">
      <formula>0</formula>
    </cfRule>
  </conditionalFormatting>
  <conditionalFormatting sqref="E95:E96">
    <cfRule type="cellIs" dxfId="2405" priority="219" operator="equal">
      <formula>0</formula>
    </cfRule>
    <cfRule type="cellIs" dxfId="2404" priority="220" operator="notEqual">
      <formula>0</formula>
    </cfRule>
  </conditionalFormatting>
  <conditionalFormatting sqref="F95:F96">
    <cfRule type="cellIs" dxfId="2403" priority="217" operator="equal">
      <formula>0</formula>
    </cfRule>
    <cfRule type="cellIs" dxfId="2402" priority="218" operator="notEqual">
      <formula>0</formula>
    </cfRule>
  </conditionalFormatting>
  <conditionalFormatting sqref="G95:G96">
    <cfRule type="cellIs" dxfId="2401" priority="215" operator="equal">
      <formula>0</formula>
    </cfRule>
    <cfRule type="cellIs" dxfId="2400" priority="216" operator="notEqual">
      <formula>0</formula>
    </cfRule>
  </conditionalFormatting>
  <conditionalFormatting sqref="H95:H96">
    <cfRule type="cellIs" dxfId="2399" priority="213" operator="equal">
      <formula>0</formula>
    </cfRule>
    <cfRule type="cellIs" dxfId="2398" priority="214" operator="notEqual">
      <formula>0</formula>
    </cfRule>
  </conditionalFormatting>
  <conditionalFormatting sqref="I95:I96">
    <cfRule type="cellIs" dxfId="2397" priority="211" operator="equal">
      <formula>0</formula>
    </cfRule>
    <cfRule type="cellIs" dxfId="2396" priority="212" operator="notEqual">
      <formula>0</formula>
    </cfRule>
  </conditionalFormatting>
  <conditionalFormatting sqref="J95:J96">
    <cfRule type="cellIs" dxfId="2395" priority="209" operator="equal">
      <formula>0</formula>
    </cfRule>
    <cfRule type="cellIs" dxfId="2394" priority="210" operator="notEqual">
      <formula>0</formula>
    </cfRule>
  </conditionalFormatting>
  <conditionalFormatting sqref="O94">
    <cfRule type="cellIs" dxfId="2393" priority="207" operator="equal">
      <formula>0</formula>
    </cfRule>
    <cfRule type="cellIs" dxfId="2392" priority="208" operator="notEqual">
      <formula>0</formula>
    </cfRule>
  </conditionalFormatting>
  <conditionalFormatting sqref="O97">
    <cfRule type="cellIs" dxfId="2391" priority="205" operator="equal">
      <formula>0</formula>
    </cfRule>
    <cfRule type="cellIs" dxfId="2390" priority="206" operator="notEqual">
      <formula>0</formula>
    </cfRule>
  </conditionalFormatting>
  <conditionalFormatting sqref="P94">
    <cfRule type="cellIs" dxfId="2389" priority="203" operator="equal">
      <formula>0</formula>
    </cfRule>
    <cfRule type="cellIs" dxfId="2388" priority="204" operator="notEqual">
      <formula>0</formula>
    </cfRule>
  </conditionalFormatting>
  <conditionalFormatting sqref="P97">
    <cfRule type="cellIs" dxfId="2387" priority="201" operator="equal">
      <formula>0</formula>
    </cfRule>
    <cfRule type="cellIs" dxfId="2386" priority="202" operator="notEqual">
      <formula>0</formula>
    </cfRule>
  </conditionalFormatting>
  <conditionalFormatting sqref="Q94">
    <cfRule type="cellIs" dxfId="2385" priority="199" operator="equal">
      <formula>0</formula>
    </cfRule>
    <cfRule type="cellIs" dxfId="2384" priority="200" operator="notEqual">
      <formula>0</formula>
    </cfRule>
  </conditionalFormatting>
  <conditionalFormatting sqref="Q97">
    <cfRule type="cellIs" dxfId="2383" priority="197" operator="equal">
      <formula>0</formula>
    </cfRule>
    <cfRule type="cellIs" dxfId="2382" priority="198" operator="notEqual">
      <formula>0</formula>
    </cfRule>
  </conditionalFormatting>
  <conditionalFormatting sqref="R94">
    <cfRule type="cellIs" dxfId="2381" priority="195" operator="equal">
      <formula>0</formula>
    </cfRule>
    <cfRule type="cellIs" dxfId="2380" priority="196" operator="notEqual">
      <formula>0</formula>
    </cfRule>
  </conditionalFormatting>
  <conditionalFormatting sqref="R97">
    <cfRule type="cellIs" dxfId="2379" priority="193" operator="equal">
      <formula>0</formula>
    </cfRule>
    <cfRule type="cellIs" dxfId="2378" priority="194" operator="notEqual">
      <formula>0</formula>
    </cfRule>
  </conditionalFormatting>
  <conditionalFormatting sqref="C102:C103">
    <cfRule type="cellIs" dxfId="2377" priority="191" operator="equal">
      <formula>0</formula>
    </cfRule>
    <cfRule type="cellIs" dxfId="2376" priority="192" operator="notEqual">
      <formula>0</formula>
    </cfRule>
  </conditionalFormatting>
  <conditionalFormatting sqref="D102:D103">
    <cfRule type="cellIs" dxfId="2375" priority="189" operator="equal">
      <formula>0</formula>
    </cfRule>
    <cfRule type="cellIs" dxfId="2374" priority="190" operator="notEqual">
      <formula>0</formula>
    </cfRule>
  </conditionalFormatting>
  <conditionalFormatting sqref="E102:E103">
    <cfRule type="cellIs" dxfId="2373" priority="187" operator="equal">
      <formula>0</formula>
    </cfRule>
    <cfRule type="cellIs" dxfId="2372" priority="188" operator="notEqual">
      <formula>0</formula>
    </cfRule>
  </conditionalFormatting>
  <conditionalFormatting sqref="F102:F103">
    <cfRule type="cellIs" dxfId="2371" priority="185" operator="equal">
      <formula>0</formula>
    </cfRule>
    <cfRule type="cellIs" dxfId="2370" priority="186" operator="notEqual">
      <formula>0</formula>
    </cfRule>
  </conditionalFormatting>
  <conditionalFormatting sqref="G102:G103">
    <cfRule type="cellIs" dxfId="2369" priority="183" operator="equal">
      <formula>0</formula>
    </cfRule>
    <cfRule type="cellIs" dxfId="2368" priority="184" operator="notEqual">
      <formula>0</formula>
    </cfRule>
  </conditionalFormatting>
  <conditionalFormatting sqref="H102:H103">
    <cfRule type="cellIs" dxfId="2367" priority="181" operator="equal">
      <formula>0</formula>
    </cfRule>
    <cfRule type="cellIs" dxfId="2366" priority="182" operator="notEqual">
      <formula>0</formula>
    </cfRule>
  </conditionalFormatting>
  <conditionalFormatting sqref="I102:I103">
    <cfRule type="cellIs" dxfId="2365" priority="179" operator="equal">
      <formula>0</formula>
    </cfRule>
    <cfRule type="cellIs" dxfId="2364" priority="180" operator="notEqual">
      <formula>0</formula>
    </cfRule>
  </conditionalFormatting>
  <conditionalFormatting sqref="J102:J103">
    <cfRule type="cellIs" dxfId="2363" priority="177" operator="equal">
      <formula>0</formula>
    </cfRule>
    <cfRule type="cellIs" dxfId="2362" priority="178" operator="notEqual">
      <formula>0</formula>
    </cfRule>
  </conditionalFormatting>
  <conditionalFormatting sqref="O101">
    <cfRule type="cellIs" dxfId="2361" priority="175" operator="equal">
      <formula>0</formula>
    </cfRule>
    <cfRule type="cellIs" dxfId="2360" priority="176" operator="notEqual">
      <formula>0</formula>
    </cfRule>
  </conditionalFormatting>
  <conditionalFormatting sqref="O104">
    <cfRule type="cellIs" dxfId="2359" priority="173" operator="equal">
      <formula>0</formula>
    </cfRule>
    <cfRule type="cellIs" dxfId="2358" priority="174" operator="notEqual">
      <formula>0</formula>
    </cfRule>
  </conditionalFormatting>
  <conditionalFormatting sqref="P101">
    <cfRule type="cellIs" dxfId="2357" priority="171" operator="equal">
      <formula>0</formula>
    </cfRule>
    <cfRule type="cellIs" dxfId="2356" priority="172" operator="notEqual">
      <formula>0</formula>
    </cfRule>
  </conditionalFormatting>
  <conditionalFormatting sqref="P104">
    <cfRule type="cellIs" dxfId="2355" priority="169" operator="equal">
      <formula>0</formula>
    </cfRule>
    <cfRule type="cellIs" dxfId="2354" priority="170" operator="notEqual">
      <formula>0</formula>
    </cfRule>
  </conditionalFormatting>
  <conditionalFormatting sqref="Q101">
    <cfRule type="cellIs" dxfId="2353" priority="167" operator="equal">
      <formula>0</formula>
    </cfRule>
    <cfRule type="cellIs" dxfId="2352" priority="168" operator="notEqual">
      <formula>0</formula>
    </cfRule>
  </conditionalFormatting>
  <conditionalFormatting sqref="Q104">
    <cfRule type="cellIs" dxfId="2351" priority="165" operator="equal">
      <formula>0</formula>
    </cfRule>
    <cfRule type="cellIs" dxfId="2350" priority="166" operator="notEqual">
      <formula>0</formula>
    </cfRule>
  </conditionalFormatting>
  <conditionalFormatting sqref="R101">
    <cfRule type="cellIs" dxfId="2349" priority="163" operator="equal">
      <formula>0</formula>
    </cfRule>
    <cfRule type="cellIs" dxfId="2348" priority="164" operator="notEqual">
      <formula>0</formula>
    </cfRule>
  </conditionalFormatting>
  <conditionalFormatting sqref="R104">
    <cfRule type="cellIs" dxfId="2347" priority="161" operator="equal">
      <formula>0</formula>
    </cfRule>
    <cfRule type="cellIs" dxfId="2346" priority="162" operator="notEqual">
      <formula>0</formula>
    </cfRule>
  </conditionalFormatting>
  <conditionalFormatting sqref="U74:U75">
    <cfRule type="cellIs" dxfId="2345" priority="159" operator="equal">
      <formula>0</formula>
    </cfRule>
    <cfRule type="cellIs" dxfId="2344" priority="160" operator="notEqual">
      <formula>0</formula>
    </cfRule>
  </conditionalFormatting>
  <conditionalFormatting sqref="V74:V75">
    <cfRule type="cellIs" dxfId="2343" priority="157" operator="equal">
      <formula>0</formula>
    </cfRule>
    <cfRule type="cellIs" dxfId="2342" priority="158" operator="notEqual">
      <formula>0</formula>
    </cfRule>
  </conditionalFormatting>
  <conditionalFormatting sqref="W74:W75">
    <cfRule type="cellIs" dxfId="2341" priority="155" operator="equal">
      <formula>0</formula>
    </cfRule>
    <cfRule type="cellIs" dxfId="2340" priority="156" operator="notEqual">
      <formula>0</formula>
    </cfRule>
  </conditionalFormatting>
  <conditionalFormatting sqref="X74:X75">
    <cfRule type="cellIs" dxfId="2339" priority="153" operator="equal">
      <formula>0</formula>
    </cfRule>
    <cfRule type="cellIs" dxfId="2338" priority="154" operator="notEqual">
      <formula>0</formula>
    </cfRule>
  </conditionalFormatting>
  <conditionalFormatting sqref="Y74:Y75">
    <cfRule type="cellIs" dxfId="2337" priority="151" operator="equal">
      <formula>0</formula>
    </cfRule>
    <cfRule type="cellIs" dxfId="2336" priority="152" operator="notEqual">
      <formula>0</formula>
    </cfRule>
  </conditionalFormatting>
  <conditionalFormatting sqref="Z74:Z75">
    <cfRule type="cellIs" dxfId="2335" priority="149" operator="equal">
      <formula>0</formula>
    </cfRule>
    <cfRule type="cellIs" dxfId="2334" priority="150" operator="notEqual">
      <formula>0</formula>
    </cfRule>
  </conditionalFormatting>
  <conditionalFormatting sqref="AA74:AA75">
    <cfRule type="cellIs" dxfId="2333" priority="147" operator="equal">
      <formula>0</formula>
    </cfRule>
    <cfRule type="cellIs" dxfId="2332" priority="148" operator="notEqual">
      <formula>0</formula>
    </cfRule>
  </conditionalFormatting>
  <conditionalFormatting sqref="AB74:AB75">
    <cfRule type="cellIs" dxfId="2331" priority="145" operator="equal">
      <formula>0</formula>
    </cfRule>
    <cfRule type="cellIs" dxfId="2330" priority="146" operator="notEqual">
      <formula>0</formula>
    </cfRule>
  </conditionalFormatting>
  <conditionalFormatting sqref="AG73">
    <cfRule type="cellIs" dxfId="2329" priority="143" operator="equal">
      <formula>0</formula>
    </cfRule>
    <cfRule type="cellIs" dxfId="2328" priority="144" operator="notEqual">
      <formula>0</formula>
    </cfRule>
  </conditionalFormatting>
  <conditionalFormatting sqref="AG76">
    <cfRule type="cellIs" dxfId="2327" priority="141" operator="equal">
      <formula>0</formula>
    </cfRule>
    <cfRule type="cellIs" dxfId="2326" priority="142" operator="notEqual">
      <formula>0</formula>
    </cfRule>
  </conditionalFormatting>
  <conditionalFormatting sqref="AH73">
    <cfRule type="cellIs" dxfId="2325" priority="139" operator="equal">
      <formula>0</formula>
    </cfRule>
    <cfRule type="cellIs" dxfId="2324" priority="140" operator="notEqual">
      <formula>0</formula>
    </cfRule>
  </conditionalFormatting>
  <conditionalFormatting sqref="AH76">
    <cfRule type="cellIs" dxfId="2323" priority="137" operator="equal">
      <formula>0</formula>
    </cfRule>
    <cfRule type="cellIs" dxfId="2322" priority="138" operator="notEqual">
      <formula>0</formula>
    </cfRule>
  </conditionalFormatting>
  <conditionalFormatting sqref="AI73">
    <cfRule type="cellIs" dxfId="2321" priority="135" operator="equal">
      <formula>0</formula>
    </cfRule>
    <cfRule type="cellIs" dxfId="2320" priority="136" operator="notEqual">
      <formula>0</formula>
    </cfRule>
  </conditionalFormatting>
  <conditionalFormatting sqref="AI76">
    <cfRule type="cellIs" dxfId="2319" priority="133" operator="equal">
      <formula>0</formula>
    </cfRule>
    <cfRule type="cellIs" dxfId="2318" priority="134" operator="notEqual">
      <formula>0</formula>
    </cfRule>
  </conditionalFormatting>
  <conditionalFormatting sqref="AJ73">
    <cfRule type="cellIs" dxfId="2317" priority="131" operator="equal">
      <formula>0</formula>
    </cfRule>
    <cfRule type="cellIs" dxfId="2316" priority="132" operator="notEqual">
      <formula>0</formula>
    </cfRule>
  </conditionalFormatting>
  <conditionalFormatting sqref="AJ76">
    <cfRule type="cellIs" dxfId="2315" priority="129" operator="equal">
      <formula>0</formula>
    </cfRule>
    <cfRule type="cellIs" dxfId="2314" priority="130" operator="notEqual">
      <formula>0</formula>
    </cfRule>
  </conditionalFormatting>
  <conditionalFormatting sqref="U81:U82">
    <cfRule type="cellIs" dxfId="2313" priority="127" operator="equal">
      <formula>0</formula>
    </cfRule>
    <cfRule type="cellIs" dxfId="2312" priority="128" operator="notEqual">
      <formula>0</formula>
    </cfRule>
  </conditionalFormatting>
  <conditionalFormatting sqref="V81:V82">
    <cfRule type="cellIs" dxfId="2311" priority="125" operator="equal">
      <formula>0</formula>
    </cfRule>
    <cfRule type="cellIs" dxfId="2310" priority="126" operator="notEqual">
      <formula>0</formula>
    </cfRule>
  </conditionalFormatting>
  <conditionalFormatting sqref="W81:W82">
    <cfRule type="cellIs" dxfId="2309" priority="123" operator="equal">
      <formula>0</formula>
    </cfRule>
    <cfRule type="cellIs" dxfId="2308" priority="124" operator="notEqual">
      <formula>0</formula>
    </cfRule>
  </conditionalFormatting>
  <conditionalFormatting sqref="X81:X82">
    <cfRule type="cellIs" dxfId="2307" priority="121" operator="equal">
      <formula>0</formula>
    </cfRule>
    <cfRule type="cellIs" dxfId="2306" priority="122" operator="notEqual">
      <formula>0</formula>
    </cfRule>
  </conditionalFormatting>
  <conditionalFormatting sqref="Y81:Y82">
    <cfRule type="cellIs" dxfId="2305" priority="119" operator="equal">
      <formula>0</formula>
    </cfRule>
    <cfRule type="cellIs" dxfId="2304" priority="120" operator="notEqual">
      <formula>0</formula>
    </cfRule>
  </conditionalFormatting>
  <conditionalFormatting sqref="Z81:Z82">
    <cfRule type="cellIs" dxfId="2303" priority="117" operator="equal">
      <formula>0</formula>
    </cfRule>
    <cfRule type="cellIs" dxfId="2302" priority="118" operator="notEqual">
      <formula>0</formula>
    </cfRule>
  </conditionalFormatting>
  <conditionalFormatting sqref="AA81:AA82">
    <cfRule type="cellIs" dxfId="2301" priority="115" operator="equal">
      <formula>0</formula>
    </cfRule>
    <cfRule type="cellIs" dxfId="2300" priority="116" operator="notEqual">
      <formula>0</formula>
    </cfRule>
  </conditionalFormatting>
  <conditionalFormatting sqref="AB81:AB82">
    <cfRule type="cellIs" dxfId="2299" priority="113" operator="equal">
      <formula>0</formula>
    </cfRule>
    <cfRule type="cellIs" dxfId="2298" priority="114" operator="notEqual">
      <formula>0</formula>
    </cfRule>
  </conditionalFormatting>
  <conditionalFormatting sqref="AG80">
    <cfRule type="cellIs" dxfId="2297" priority="111" operator="equal">
      <formula>0</formula>
    </cfRule>
    <cfRule type="cellIs" dxfId="2296" priority="112" operator="notEqual">
      <formula>0</formula>
    </cfRule>
  </conditionalFormatting>
  <conditionalFormatting sqref="AG83">
    <cfRule type="cellIs" dxfId="2295" priority="109" operator="equal">
      <formula>0</formula>
    </cfRule>
    <cfRule type="cellIs" dxfId="2294" priority="110" operator="notEqual">
      <formula>0</formula>
    </cfRule>
  </conditionalFormatting>
  <conditionalFormatting sqref="AH80">
    <cfRule type="cellIs" dxfId="2293" priority="107" operator="equal">
      <formula>0</formula>
    </cfRule>
    <cfRule type="cellIs" dxfId="2292" priority="108" operator="notEqual">
      <formula>0</formula>
    </cfRule>
  </conditionalFormatting>
  <conditionalFormatting sqref="AH83">
    <cfRule type="cellIs" dxfId="2291" priority="105" operator="equal">
      <formula>0</formula>
    </cfRule>
    <cfRule type="cellIs" dxfId="2290" priority="106" operator="notEqual">
      <formula>0</formula>
    </cfRule>
  </conditionalFormatting>
  <conditionalFormatting sqref="AI80">
    <cfRule type="cellIs" dxfId="2289" priority="103" operator="equal">
      <formula>0</formula>
    </cfRule>
    <cfRule type="cellIs" dxfId="2288" priority="104" operator="notEqual">
      <formula>0</formula>
    </cfRule>
  </conditionalFormatting>
  <conditionalFormatting sqref="AI83">
    <cfRule type="cellIs" dxfId="2287" priority="101" operator="equal">
      <formula>0</formula>
    </cfRule>
    <cfRule type="cellIs" dxfId="2286" priority="102" operator="notEqual">
      <formula>0</formula>
    </cfRule>
  </conditionalFormatting>
  <conditionalFormatting sqref="AJ80">
    <cfRule type="cellIs" dxfId="2285" priority="99" operator="equal">
      <formula>0</formula>
    </cfRule>
    <cfRule type="cellIs" dxfId="2284" priority="100" operator="notEqual">
      <formula>0</formula>
    </cfRule>
  </conditionalFormatting>
  <conditionalFormatting sqref="AJ83">
    <cfRule type="cellIs" dxfId="2283" priority="97" operator="equal">
      <formula>0</formula>
    </cfRule>
    <cfRule type="cellIs" dxfId="2282" priority="98" operator="notEqual">
      <formula>0</formula>
    </cfRule>
  </conditionalFormatting>
  <conditionalFormatting sqref="U88:U89">
    <cfRule type="cellIs" dxfId="2281" priority="95" operator="equal">
      <formula>0</formula>
    </cfRule>
    <cfRule type="cellIs" dxfId="2280" priority="96" operator="notEqual">
      <formula>0</formula>
    </cfRule>
  </conditionalFormatting>
  <conditionalFormatting sqref="V88:V89">
    <cfRule type="cellIs" dxfId="2279" priority="93" operator="equal">
      <formula>0</formula>
    </cfRule>
    <cfRule type="cellIs" dxfId="2278" priority="94" operator="notEqual">
      <formula>0</formula>
    </cfRule>
  </conditionalFormatting>
  <conditionalFormatting sqref="W88:W89">
    <cfRule type="cellIs" dxfId="2277" priority="91" operator="equal">
      <formula>0</formula>
    </cfRule>
    <cfRule type="cellIs" dxfId="2276" priority="92" operator="notEqual">
      <formula>0</formula>
    </cfRule>
  </conditionalFormatting>
  <conditionalFormatting sqref="X88:X89">
    <cfRule type="cellIs" dxfId="2275" priority="89" operator="equal">
      <formula>0</formula>
    </cfRule>
    <cfRule type="cellIs" dxfId="2274" priority="90" operator="notEqual">
      <formula>0</formula>
    </cfRule>
  </conditionalFormatting>
  <conditionalFormatting sqref="Y88:Y89">
    <cfRule type="cellIs" dxfId="2273" priority="87" operator="equal">
      <formula>0</formula>
    </cfRule>
    <cfRule type="cellIs" dxfId="2272" priority="88" operator="notEqual">
      <formula>0</formula>
    </cfRule>
  </conditionalFormatting>
  <conditionalFormatting sqref="Z88:Z89">
    <cfRule type="cellIs" dxfId="2271" priority="85" operator="equal">
      <formula>0</formula>
    </cfRule>
    <cfRule type="cellIs" dxfId="2270" priority="86" operator="notEqual">
      <formula>0</formula>
    </cfRule>
  </conditionalFormatting>
  <conditionalFormatting sqref="AA88:AA89">
    <cfRule type="cellIs" dxfId="2269" priority="83" operator="equal">
      <formula>0</formula>
    </cfRule>
    <cfRule type="cellIs" dxfId="2268" priority="84" operator="notEqual">
      <formula>0</formula>
    </cfRule>
  </conditionalFormatting>
  <conditionalFormatting sqref="AB88:AB89">
    <cfRule type="cellIs" dxfId="2267" priority="81" operator="equal">
      <formula>0</formula>
    </cfRule>
    <cfRule type="cellIs" dxfId="2266" priority="82" operator="notEqual">
      <formula>0</formula>
    </cfRule>
  </conditionalFormatting>
  <conditionalFormatting sqref="AG87">
    <cfRule type="cellIs" dxfId="2265" priority="79" operator="equal">
      <formula>0</formula>
    </cfRule>
    <cfRule type="cellIs" dxfId="2264" priority="80" operator="notEqual">
      <formula>0</formula>
    </cfRule>
  </conditionalFormatting>
  <conditionalFormatting sqref="AG90">
    <cfRule type="cellIs" dxfId="2263" priority="77" operator="equal">
      <formula>0</formula>
    </cfRule>
    <cfRule type="cellIs" dxfId="2262" priority="78" operator="notEqual">
      <formula>0</formula>
    </cfRule>
  </conditionalFormatting>
  <conditionalFormatting sqref="AH87">
    <cfRule type="cellIs" dxfId="2261" priority="75" operator="equal">
      <formula>0</formula>
    </cfRule>
    <cfRule type="cellIs" dxfId="2260" priority="76" operator="notEqual">
      <formula>0</formula>
    </cfRule>
  </conditionalFormatting>
  <conditionalFormatting sqref="AH90">
    <cfRule type="cellIs" dxfId="2259" priority="73" operator="equal">
      <formula>0</formula>
    </cfRule>
    <cfRule type="cellIs" dxfId="2258" priority="74" operator="notEqual">
      <formula>0</formula>
    </cfRule>
  </conditionalFormatting>
  <conditionalFormatting sqref="AI87">
    <cfRule type="cellIs" dxfId="2257" priority="71" operator="equal">
      <formula>0</formula>
    </cfRule>
    <cfRule type="cellIs" dxfId="2256" priority="72" operator="notEqual">
      <formula>0</formula>
    </cfRule>
  </conditionalFormatting>
  <conditionalFormatting sqref="AI90">
    <cfRule type="cellIs" dxfId="2255" priority="69" operator="equal">
      <formula>0</formula>
    </cfRule>
    <cfRule type="cellIs" dxfId="2254" priority="70" operator="notEqual">
      <formula>0</formula>
    </cfRule>
  </conditionalFormatting>
  <conditionalFormatting sqref="AJ87">
    <cfRule type="cellIs" dxfId="2253" priority="67" operator="equal">
      <formula>0</formula>
    </cfRule>
    <cfRule type="cellIs" dxfId="2252" priority="68" operator="notEqual">
      <formula>0</formula>
    </cfRule>
  </conditionalFormatting>
  <conditionalFormatting sqref="AJ90">
    <cfRule type="cellIs" dxfId="2251" priority="65" operator="equal">
      <formula>0</formula>
    </cfRule>
    <cfRule type="cellIs" dxfId="2250" priority="66" operator="notEqual">
      <formula>0</formula>
    </cfRule>
  </conditionalFormatting>
  <conditionalFormatting sqref="U95:U96">
    <cfRule type="cellIs" dxfId="2249" priority="63" operator="equal">
      <formula>0</formula>
    </cfRule>
    <cfRule type="cellIs" dxfId="2248" priority="64" operator="notEqual">
      <formula>0</formula>
    </cfRule>
  </conditionalFormatting>
  <conditionalFormatting sqref="V95:V96">
    <cfRule type="cellIs" dxfId="2247" priority="61" operator="equal">
      <formula>0</formula>
    </cfRule>
    <cfRule type="cellIs" dxfId="2246" priority="62" operator="notEqual">
      <formula>0</formula>
    </cfRule>
  </conditionalFormatting>
  <conditionalFormatting sqref="W95:W96">
    <cfRule type="cellIs" dxfId="2245" priority="59" operator="equal">
      <formula>0</formula>
    </cfRule>
    <cfRule type="cellIs" dxfId="2244" priority="60" operator="notEqual">
      <formula>0</formula>
    </cfRule>
  </conditionalFormatting>
  <conditionalFormatting sqref="X95:X96">
    <cfRule type="cellIs" dxfId="2243" priority="57" operator="equal">
      <formula>0</formula>
    </cfRule>
    <cfRule type="cellIs" dxfId="2242" priority="58" operator="notEqual">
      <formula>0</formula>
    </cfRule>
  </conditionalFormatting>
  <conditionalFormatting sqref="Y95:Y96">
    <cfRule type="cellIs" dxfId="2241" priority="55" operator="equal">
      <formula>0</formula>
    </cfRule>
    <cfRule type="cellIs" dxfId="2240" priority="56" operator="notEqual">
      <formula>0</formula>
    </cfRule>
  </conditionalFormatting>
  <conditionalFormatting sqref="Z95:Z96">
    <cfRule type="cellIs" dxfId="2239" priority="53" operator="equal">
      <formula>0</formula>
    </cfRule>
    <cfRule type="cellIs" dxfId="2238" priority="54" operator="notEqual">
      <formula>0</formula>
    </cfRule>
  </conditionalFormatting>
  <conditionalFormatting sqref="AA95:AA96">
    <cfRule type="cellIs" dxfId="2237" priority="51" operator="equal">
      <formula>0</formula>
    </cfRule>
    <cfRule type="cellIs" dxfId="2236" priority="52" operator="notEqual">
      <formula>0</formula>
    </cfRule>
  </conditionalFormatting>
  <conditionalFormatting sqref="AB95:AB96">
    <cfRule type="cellIs" dxfId="2235" priority="49" operator="equal">
      <formula>0</formula>
    </cfRule>
    <cfRule type="cellIs" dxfId="2234" priority="50" operator="notEqual">
      <formula>0</formula>
    </cfRule>
  </conditionalFormatting>
  <conditionalFormatting sqref="AG94">
    <cfRule type="cellIs" dxfId="2233" priority="47" operator="equal">
      <formula>0</formula>
    </cfRule>
    <cfRule type="cellIs" dxfId="2232" priority="48" operator="notEqual">
      <formula>0</formula>
    </cfRule>
  </conditionalFormatting>
  <conditionalFormatting sqref="AG97">
    <cfRule type="cellIs" dxfId="2231" priority="45" operator="equal">
      <formula>0</formula>
    </cfRule>
    <cfRule type="cellIs" dxfId="2230" priority="46" operator="notEqual">
      <formula>0</formula>
    </cfRule>
  </conditionalFormatting>
  <conditionalFormatting sqref="AH94">
    <cfRule type="cellIs" dxfId="2229" priority="43" operator="equal">
      <formula>0</formula>
    </cfRule>
    <cfRule type="cellIs" dxfId="2228" priority="44" operator="notEqual">
      <formula>0</formula>
    </cfRule>
  </conditionalFormatting>
  <conditionalFormatting sqref="AH97">
    <cfRule type="cellIs" dxfId="2227" priority="41" operator="equal">
      <formula>0</formula>
    </cfRule>
    <cfRule type="cellIs" dxfId="2226" priority="42" operator="notEqual">
      <formula>0</formula>
    </cfRule>
  </conditionalFormatting>
  <conditionalFormatting sqref="AI94">
    <cfRule type="cellIs" dxfId="2225" priority="39" operator="equal">
      <formula>0</formula>
    </cfRule>
    <cfRule type="cellIs" dxfId="2224" priority="40" operator="notEqual">
      <formula>0</formula>
    </cfRule>
  </conditionalFormatting>
  <conditionalFormatting sqref="AI97">
    <cfRule type="cellIs" dxfId="2223" priority="37" operator="equal">
      <formula>0</formula>
    </cfRule>
    <cfRule type="cellIs" dxfId="2222" priority="38" operator="notEqual">
      <formula>0</formula>
    </cfRule>
  </conditionalFormatting>
  <conditionalFormatting sqref="AJ94">
    <cfRule type="cellIs" dxfId="2221" priority="35" operator="equal">
      <formula>0</formula>
    </cfRule>
    <cfRule type="cellIs" dxfId="2220" priority="36" operator="notEqual">
      <formula>0</formula>
    </cfRule>
  </conditionalFormatting>
  <conditionalFormatting sqref="AJ97">
    <cfRule type="cellIs" dxfId="2219" priority="33" operator="equal">
      <formula>0</formula>
    </cfRule>
    <cfRule type="cellIs" dxfId="2218" priority="34" operator="notEqual">
      <formula>0</formula>
    </cfRule>
  </conditionalFormatting>
  <conditionalFormatting sqref="U102:U103">
    <cfRule type="cellIs" dxfId="2217" priority="31" operator="equal">
      <formula>0</formula>
    </cfRule>
    <cfRule type="cellIs" dxfId="2216" priority="32" operator="notEqual">
      <formula>0</formula>
    </cfRule>
  </conditionalFormatting>
  <conditionalFormatting sqref="V102:V103">
    <cfRule type="cellIs" dxfId="2215" priority="29" operator="equal">
      <formula>0</formula>
    </cfRule>
    <cfRule type="cellIs" dxfId="2214" priority="30" operator="notEqual">
      <formula>0</formula>
    </cfRule>
  </conditionalFormatting>
  <conditionalFormatting sqref="W102:W103">
    <cfRule type="cellIs" dxfId="2213" priority="27" operator="equal">
      <formula>0</formula>
    </cfRule>
    <cfRule type="cellIs" dxfId="2212" priority="28" operator="notEqual">
      <formula>0</formula>
    </cfRule>
  </conditionalFormatting>
  <conditionalFormatting sqref="X102:X103">
    <cfRule type="cellIs" dxfId="2211" priority="25" operator="equal">
      <formula>0</formula>
    </cfRule>
    <cfRule type="cellIs" dxfId="2210" priority="26" operator="notEqual">
      <formula>0</formula>
    </cfRule>
  </conditionalFormatting>
  <conditionalFormatting sqref="Y102:Y103">
    <cfRule type="cellIs" dxfId="2209" priority="23" operator="equal">
      <formula>0</formula>
    </cfRule>
    <cfRule type="cellIs" dxfId="2208" priority="24" operator="notEqual">
      <formula>0</formula>
    </cfRule>
  </conditionalFormatting>
  <conditionalFormatting sqref="Z102:Z103">
    <cfRule type="cellIs" dxfId="2207" priority="21" operator="equal">
      <formula>0</formula>
    </cfRule>
    <cfRule type="cellIs" dxfId="2206" priority="22" operator="notEqual">
      <formula>0</formula>
    </cfRule>
  </conditionalFormatting>
  <conditionalFormatting sqref="AA102:AA103">
    <cfRule type="cellIs" dxfId="2205" priority="19" operator="equal">
      <formula>0</formula>
    </cfRule>
    <cfRule type="cellIs" dxfId="2204" priority="20" operator="notEqual">
      <formula>0</formula>
    </cfRule>
  </conditionalFormatting>
  <conditionalFormatting sqref="AB102:AB103">
    <cfRule type="cellIs" dxfId="2203" priority="17" operator="equal">
      <formula>0</formula>
    </cfRule>
    <cfRule type="cellIs" dxfId="2202" priority="18" operator="notEqual">
      <formula>0</formula>
    </cfRule>
  </conditionalFormatting>
  <conditionalFormatting sqref="AG101">
    <cfRule type="cellIs" dxfId="2201" priority="15" operator="equal">
      <formula>0</formula>
    </cfRule>
    <cfRule type="cellIs" dxfId="2200" priority="16" operator="notEqual">
      <formula>0</formula>
    </cfRule>
  </conditionalFormatting>
  <conditionalFormatting sqref="AG104">
    <cfRule type="cellIs" dxfId="2199" priority="13" operator="equal">
      <formula>0</formula>
    </cfRule>
    <cfRule type="cellIs" dxfId="2198" priority="14" operator="notEqual">
      <formula>0</formula>
    </cfRule>
  </conditionalFormatting>
  <conditionalFormatting sqref="AH101">
    <cfRule type="cellIs" dxfId="2197" priority="11" operator="equal">
      <formula>0</formula>
    </cfRule>
    <cfRule type="cellIs" dxfId="2196" priority="12" operator="notEqual">
      <formula>0</formula>
    </cfRule>
  </conditionalFormatting>
  <conditionalFormatting sqref="AH104">
    <cfRule type="cellIs" dxfId="2195" priority="9" operator="equal">
      <formula>0</formula>
    </cfRule>
    <cfRule type="cellIs" dxfId="2194" priority="10" operator="notEqual">
      <formula>0</formula>
    </cfRule>
  </conditionalFormatting>
  <conditionalFormatting sqref="AI101">
    <cfRule type="cellIs" dxfId="2193" priority="7" operator="equal">
      <formula>0</formula>
    </cfRule>
    <cfRule type="cellIs" dxfId="2192" priority="8" operator="notEqual">
      <formula>0</formula>
    </cfRule>
  </conditionalFormatting>
  <conditionalFormatting sqref="AI104">
    <cfRule type="cellIs" dxfId="2191" priority="5" operator="equal">
      <formula>0</formula>
    </cfRule>
    <cfRule type="cellIs" dxfId="2190" priority="6" operator="notEqual">
      <formula>0</formula>
    </cfRule>
  </conditionalFormatting>
  <conditionalFormatting sqref="AJ101">
    <cfRule type="cellIs" dxfId="2189" priority="3" operator="equal">
      <formula>0</formula>
    </cfRule>
    <cfRule type="cellIs" dxfId="2188" priority="4" operator="notEqual">
      <formula>0</formula>
    </cfRule>
  </conditionalFormatting>
  <conditionalFormatting sqref="AJ104">
    <cfRule type="cellIs" dxfId="2187" priority="1" operator="equal">
      <formula>0</formula>
    </cfRule>
    <cfRule type="cellIs" dxfId="2186" priority="2" operator="notEqual">
      <formula>0</formula>
    </cfRule>
  </conditionalFormatting>
  <dataValidations count="1">
    <dataValidation type="list" allowBlank="1" showInputMessage="1" showErrorMessage="1" sqref="B5" xr:uid="{2689B128-89B0-40E9-A0F8-E0A360005201}">
      <formula1>Regions</formula1>
    </dataValidation>
  </dataValidation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6"/>
  <dimension ref="A1:AW104"/>
  <sheetViews>
    <sheetView showGridLines="0" zoomScale="85" zoomScaleNormal="85" workbookViewId="0">
      <selection activeCell="C10" sqref="C10"/>
    </sheetView>
  </sheetViews>
  <sheetFormatPr baseColWidth="10" defaultColWidth="9.1640625" defaultRowHeight="14" x14ac:dyDescent="0.15"/>
  <cols>
    <col min="1" max="1" width="2.5" customWidth="1"/>
    <col min="2" max="2" width="36.1640625" customWidth="1"/>
    <col min="20" max="20" width="33" customWidth="1"/>
  </cols>
  <sheetData>
    <row r="1" spans="1:49" ht="75" customHeight="1" x14ac:dyDescent="0.15">
      <c r="A1" s="533" t="s">
        <v>1128</v>
      </c>
      <c r="B1" s="533"/>
      <c r="C1" s="533"/>
      <c r="D1" s="533"/>
      <c r="E1" s="533"/>
      <c r="F1" s="533"/>
      <c r="G1" s="533"/>
      <c r="H1" s="533"/>
      <c r="I1" s="533"/>
      <c r="J1" s="533"/>
      <c r="K1" s="533"/>
      <c r="L1" s="533"/>
      <c r="M1" s="533"/>
      <c r="N1" s="533"/>
      <c r="O1" s="533"/>
      <c r="P1" s="533"/>
      <c r="Q1" s="533"/>
      <c r="R1" s="533"/>
      <c r="S1" s="533"/>
      <c r="T1" s="533"/>
      <c r="U1" s="533"/>
      <c r="V1" s="533"/>
      <c r="W1" s="533"/>
      <c r="X1" s="533"/>
      <c r="Y1" s="533"/>
      <c r="Z1" s="533"/>
      <c r="AA1" s="533"/>
      <c r="AB1" s="533"/>
      <c r="AC1" s="533"/>
      <c r="AD1" s="533"/>
      <c r="AE1" s="533"/>
      <c r="AF1" s="533"/>
      <c r="AG1" s="533"/>
      <c r="AH1" s="533"/>
      <c r="AI1" s="533"/>
      <c r="AJ1" s="533"/>
      <c r="AK1" s="261"/>
      <c r="AL1" s="261"/>
      <c r="AM1" s="261"/>
      <c r="AN1" s="261"/>
      <c r="AO1" s="261"/>
      <c r="AP1" s="261"/>
      <c r="AQ1" s="261"/>
      <c r="AR1" s="261"/>
      <c r="AS1" s="261"/>
      <c r="AT1" s="261"/>
      <c r="AU1" s="261"/>
      <c r="AV1" s="261"/>
      <c r="AW1" s="261"/>
    </row>
    <row r="2" spans="1:49" ht="59.25" customHeight="1" x14ac:dyDescent="0.15">
      <c r="A2" s="426"/>
      <c r="B2" s="426"/>
      <c r="C2" s="426"/>
      <c r="D2" s="426"/>
      <c r="E2" s="426"/>
      <c r="F2" s="426"/>
      <c r="G2" s="426"/>
      <c r="H2" s="426"/>
      <c r="I2" s="426"/>
      <c r="J2" s="426"/>
      <c r="K2" s="426"/>
      <c r="L2" s="426"/>
      <c r="M2" s="426"/>
      <c r="N2" s="426"/>
      <c r="O2" s="426"/>
      <c r="P2" s="426"/>
      <c r="Q2" s="426"/>
      <c r="R2" s="426"/>
      <c r="S2" s="426"/>
      <c r="T2" s="426"/>
      <c r="U2" s="426"/>
      <c r="V2" s="426"/>
      <c r="W2" s="426"/>
      <c r="X2" s="426"/>
      <c r="Y2" s="426"/>
      <c r="Z2" s="426"/>
      <c r="AA2" s="426"/>
      <c r="AB2" s="426"/>
      <c r="AC2" s="426"/>
      <c r="AD2" s="426"/>
      <c r="AE2" s="426"/>
      <c r="AF2" s="426"/>
      <c r="AG2" s="426"/>
      <c r="AH2" s="426"/>
      <c r="AI2" s="426"/>
      <c r="AJ2" s="426"/>
      <c r="AK2" s="263"/>
      <c r="AL2" s="263"/>
      <c r="AM2" s="263"/>
      <c r="AN2" s="263"/>
      <c r="AO2" s="263"/>
      <c r="AP2" s="263"/>
      <c r="AQ2" s="263"/>
      <c r="AR2" s="263"/>
      <c r="AS2" s="263"/>
      <c r="AT2" s="263"/>
      <c r="AU2" s="263"/>
      <c r="AV2" s="263"/>
    </row>
    <row r="3" spans="1:49"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row>
    <row r="4" spans="1:49" ht="30" x14ac:dyDescent="0.15">
      <c r="B4" s="36" t="s">
        <v>935</v>
      </c>
    </row>
    <row r="5" spans="1:49" ht="23.25" customHeight="1" x14ac:dyDescent="0.15">
      <c r="B5" s="242" t="s">
        <v>17</v>
      </c>
      <c r="P5" s="40"/>
    </row>
    <row r="6" spans="1:49" x14ac:dyDescent="0.15">
      <c r="B6" s="46"/>
    </row>
    <row r="8" spans="1:49" ht="28.5" customHeight="1" x14ac:dyDescent="0.15">
      <c r="B8" s="289" t="str">
        <f>HLOOKUP($B$5,Region_Table,2,0)</f>
        <v>All East Midlands Region</v>
      </c>
      <c r="C8" s="517" t="s">
        <v>1126</v>
      </c>
      <c r="D8" s="518"/>
      <c r="E8" s="518"/>
      <c r="F8" s="518"/>
      <c r="G8" s="518"/>
      <c r="H8" s="518"/>
      <c r="I8" s="518"/>
      <c r="J8" s="518"/>
      <c r="K8" s="518"/>
      <c r="L8" s="518"/>
      <c r="M8" s="537"/>
      <c r="N8" s="537"/>
      <c r="O8" s="538"/>
      <c r="P8" s="512">
        <f>SUMIF('caseload data'!C:C,'custody %'!B8,'caseload data'!V:V)</f>
        <v>0</v>
      </c>
      <c r="Q8" s="529"/>
      <c r="R8" s="530"/>
      <c r="S8" s="64"/>
      <c r="T8" s="289" t="str">
        <f>HLOOKUP($B$5,Region_Table,3,0)</f>
        <v>Derby City - N53</v>
      </c>
      <c r="U8" s="517" t="s">
        <v>1126</v>
      </c>
      <c r="V8" s="518"/>
      <c r="W8" s="518"/>
      <c r="X8" s="518"/>
      <c r="Y8" s="518"/>
      <c r="Z8" s="518"/>
      <c r="AA8" s="518"/>
      <c r="AB8" s="518"/>
      <c r="AC8" s="537"/>
      <c r="AD8" s="537"/>
      <c r="AE8" s="538"/>
      <c r="AF8" s="512">
        <f>SUMIF('caseload data'!C:C,'custody %'!T8,'caseload data'!V:V)</f>
        <v>0</v>
      </c>
      <c r="AG8" s="529"/>
      <c r="AH8" s="530"/>
    </row>
    <row r="9" spans="1:49" x14ac:dyDescent="0.15">
      <c r="B9" s="95" t="s">
        <v>1000</v>
      </c>
      <c r="C9" s="38" t="s">
        <v>864</v>
      </c>
      <c r="D9" s="38" t="s">
        <v>865</v>
      </c>
      <c r="E9" s="38" t="s">
        <v>866</v>
      </c>
      <c r="F9" s="38" t="s">
        <v>867</v>
      </c>
      <c r="G9" s="38" t="s">
        <v>868</v>
      </c>
      <c r="H9" s="38" t="s">
        <v>869</v>
      </c>
      <c r="I9" s="38" t="s">
        <v>870</v>
      </c>
      <c r="J9" s="38" t="s">
        <v>871</v>
      </c>
      <c r="K9" s="38" t="s">
        <v>872</v>
      </c>
      <c r="L9" s="38" t="s">
        <v>873</v>
      </c>
      <c r="M9" s="38" t="s">
        <v>874</v>
      </c>
      <c r="N9" s="38" t="s">
        <v>875</v>
      </c>
      <c r="O9" s="38" t="s">
        <v>876</v>
      </c>
      <c r="P9" s="38" t="s">
        <v>877</v>
      </c>
      <c r="Q9" s="38" t="s">
        <v>878</v>
      </c>
      <c r="R9" s="38" t="s">
        <v>879</v>
      </c>
      <c r="S9" s="64"/>
      <c r="T9" s="95" t="s">
        <v>1000</v>
      </c>
      <c r="U9" s="38" t="s">
        <v>864</v>
      </c>
      <c r="V9" s="38" t="s">
        <v>865</v>
      </c>
      <c r="W9" s="38" t="s">
        <v>866</v>
      </c>
      <c r="X9" s="38" t="s">
        <v>867</v>
      </c>
      <c r="Y9" s="38" t="s">
        <v>868</v>
      </c>
      <c r="Z9" s="38" t="s">
        <v>869</v>
      </c>
      <c r="AA9" s="38" t="s">
        <v>870</v>
      </c>
      <c r="AB9" s="38" t="s">
        <v>871</v>
      </c>
      <c r="AC9" s="38" t="s">
        <v>872</v>
      </c>
      <c r="AD9" s="38" t="s">
        <v>873</v>
      </c>
      <c r="AE9" s="38" t="s">
        <v>874</v>
      </c>
      <c r="AF9" s="38" t="s">
        <v>875</v>
      </c>
      <c r="AG9" s="38" t="s">
        <v>876</v>
      </c>
      <c r="AH9" s="38" t="s">
        <v>877</v>
      </c>
      <c r="AI9" s="38" t="s">
        <v>878</v>
      </c>
      <c r="AJ9" s="38" t="s">
        <v>879</v>
      </c>
    </row>
    <row r="10" spans="1:49" x14ac:dyDescent="0.15">
      <c r="B10" s="96" t="s">
        <v>997</v>
      </c>
      <c r="C10" s="167" t="str">
        <f>IFERROR(SUMIFS('caseload data'!E:E,'caseload data'!$C:$C,'custody %'!$B$8,'caseload data'!$D:$D,"PO",'caseload data'!$B:$B,"custody")/SUMIFS('caseload data'!E:E,'caseload data'!$B:$B,"custody",'caseload data'!$C:$C,'custody %'!$B$8),"")</f>
        <v/>
      </c>
      <c r="D10" s="167" t="str">
        <f>IFERROR(SUMIFS('caseload data'!F:F,'caseload data'!$C:$C,'custody %'!$B$8,'caseload data'!$D:$D,"PO",'caseload data'!$B:$B,"custody")/SUMIFS('caseload data'!F:F,'caseload data'!$B:$B,"custody",'caseload data'!$C:$C,'custody %'!$B$8),"")</f>
        <v/>
      </c>
      <c r="E10" s="167" t="str">
        <f>IFERROR(SUMIFS('caseload data'!G:G,'caseload data'!$C:$C,'custody %'!$B$8,'caseload data'!$D:$D,"PO",'caseload data'!$B:$B,"custody")/SUMIFS('caseload data'!G:G,'caseload data'!$B:$B,"custody",'caseload data'!$C:$C,'custody %'!$B$8),"")</f>
        <v/>
      </c>
      <c r="F10" s="167" t="str">
        <f>IFERROR(SUMIFS('caseload data'!H:H,'caseload data'!$C:$C,'custody %'!$B$8,'caseload data'!$D:$D,"PO",'caseload data'!$B:$B,"custody")/SUMIFS('caseload data'!H:H,'caseload data'!$B:$B,"custody",'caseload data'!$C:$C,'custody %'!$B$8),"")</f>
        <v/>
      </c>
      <c r="G10" s="167" t="str">
        <f>IFERROR(SUMIFS('caseload data'!I:I,'caseload data'!$C:$C,'custody %'!$B$8,'caseload data'!$D:$D,"PO",'caseload data'!$B:$B,"custody")/SUMIFS('caseload data'!I:I,'caseload data'!$B:$B,"custody",'caseload data'!$C:$C,'custody %'!$B$8),"")</f>
        <v/>
      </c>
      <c r="H10" s="167" t="str">
        <f>IFERROR(SUMIFS('caseload data'!J:J,'caseload data'!$C:$C,'custody %'!$B$8,'caseload data'!$D:$D,"PO",'caseload data'!$B:$B,"custody")/SUMIFS('caseload data'!J:J,'caseload data'!$B:$B,"custody",'caseload data'!$C:$C,'custody %'!$B$8),"")</f>
        <v/>
      </c>
      <c r="I10" s="167" t="str">
        <f>IFERROR(SUMIFS('caseload data'!K:K,'caseload data'!$C:$C,'custody %'!$B$8,'caseload data'!$D:$D,"PO",'caseload data'!$B:$B,"custody")/SUMIFS('caseload data'!K:K,'caseload data'!$B:$B,"custody",'caseload data'!$C:$C,'custody %'!$B$8),"")</f>
        <v/>
      </c>
      <c r="J10" s="167" t="str">
        <f>IFERROR(SUMIFS('caseload data'!L:L,'caseload data'!$C:$C,'custody %'!$B$8,'caseload data'!$D:$D,"PO",'caseload data'!$B:$B,"custody")/SUMIFS('caseload data'!L:L,'caseload data'!$B:$B,"custody",'caseload data'!$C:$C,'custody %'!$B$8),"")</f>
        <v/>
      </c>
      <c r="K10" s="167" t="str">
        <f>IFERROR(SUMIFS('caseload data'!M:M,'caseload data'!$C:$C,'custody %'!$B$8,'caseload data'!$D:$D,"PO",'caseload data'!$B:$B,"custody")/SUMIFS('caseload data'!M:M,'caseload data'!$B:$B,"custody",'caseload data'!$C:$C,'custody %'!$B$8),"")</f>
        <v/>
      </c>
      <c r="L10" s="167" t="str">
        <f>IFERROR(SUMIFS('caseload data'!N:N,'caseload data'!$C:$C,'custody %'!$B$8,'caseload data'!$D:$D,"PO",'caseload data'!$B:$B,"custody")/SUMIFS('caseload data'!N:N,'caseload data'!$B:$B,"custody",'caseload data'!$C:$C,'custody %'!$B$8),"")</f>
        <v/>
      </c>
      <c r="M10" s="167" t="str">
        <f>IFERROR(SUMIFS('caseload data'!O:O,'caseload data'!$C:$C,'custody %'!$B$8,'caseload data'!$D:$D,"PO",'caseload data'!$B:$B,"custody")/SUMIFS('caseload data'!O:O,'caseload data'!$B:$B,"custody",'caseload data'!$C:$C,'custody %'!$B$8),"")</f>
        <v/>
      </c>
      <c r="N10" s="167" t="str">
        <f>IFERROR(SUMIFS('caseload data'!P:P,'caseload data'!$C:$C,'custody %'!$B$8,'caseload data'!$D:$D,"PO",'caseload data'!$B:$B,"custody")/SUMIFS('caseload data'!P:P,'caseload data'!$B:$B,"custody",'caseload data'!$C:$C,'custody %'!$B$8),"")</f>
        <v/>
      </c>
      <c r="O10" s="167" t="str">
        <f>IFERROR(SUMIFS('caseload data'!Q:Q,'caseload data'!$C:$C,'custody %'!$B$8,'caseload data'!$D:$D,"PO",'caseload data'!$B:$B,"custody")/SUMIFS('caseload data'!Q:Q,'caseload data'!$B:$B,"custody",'caseload data'!$C:$C,'custody %'!$B$8),"")</f>
        <v/>
      </c>
      <c r="P10" s="167" t="str">
        <f>IFERROR(SUMIFS('caseload data'!R:R,'caseload data'!$C:$C,'custody %'!$B$8,'caseload data'!$D:$D,"PO",'caseload data'!$B:$B,"custody")/SUMIFS('caseload data'!R:R,'caseload data'!$B:$B,"custody",'caseload data'!$C:$C,'custody %'!$B$8),"")</f>
        <v/>
      </c>
      <c r="Q10" s="167" t="str">
        <f>IFERROR(SUMIFS('caseload data'!S:S,'caseload data'!$C:$C,'custody %'!$B$8,'caseload data'!$D:$D,"PO",'caseload data'!$B:$B,"custody")/SUMIFS('caseload data'!S:S,'caseload data'!$B:$B,"custody",'caseload data'!$C:$C,'custody %'!$B$8),"")</f>
        <v/>
      </c>
      <c r="R10" s="167" t="str">
        <f>IFERROR(SUMIFS('caseload data'!T:T,'caseload data'!$C:$C,'custody %'!$B$8,'caseload data'!$D:$D,"PO",'caseload data'!$B:$B,"custody")/SUMIFS('caseload data'!T:T,'caseload data'!$B:$B,"custody",'caseload data'!$C:$C,'custody %'!$B$8),"")</f>
        <v/>
      </c>
      <c r="S10" s="64"/>
      <c r="T10" s="96" t="s">
        <v>997</v>
      </c>
      <c r="U10" s="167" t="str">
        <f>IFERROR(SUMIFS('caseload data'!E:E,'caseload data'!$C:$C,'custody %'!$T$8,'caseload data'!$D:$D,"PO",'caseload data'!$B:$B,"custody")/SUMIFS('caseload data'!E:E,'caseload data'!$B:$B,"custody",'caseload data'!$C:$C,'custody %'!$T$8),"")</f>
        <v/>
      </c>
      <c r="V10" s="167" t="str">
        <f>IFERROR(SUMIFS('caseload data'!F:F,'caseload data'!$C:$C,'custody %'!$T$8,'caseload data'!$D:$D,"PO",'caseload data'!$B:$B,"custody")/SUMIFS('caseload data'!F:F,'caseload data'!$B:$B,"custody",'caseload data'!$C:$C,'custody %'!$T$8),"")</f>
        <v/>
      </c>
      <c r="W10" s="167" t="str">
        <f>IFERROR(SUMIFS('caseload data'!G:G,'caseload data'!$C:$C,'custody %'!$T$8,'caseload data'!$D:$D,"PO",'caseload data'!$B:$B,"custody")/SUMIFS('caseload data'!G:G,'caseload data'!$B:$B,"custody",'caseload data'!$C:$C,'custody %'!$T$8),"")</f>
        <v/>
      </c>
      <c r="X10" s="167" t="str">
        <f>IFERROR(SUMIFS('caseload data'!H:H,'caseload data'!$C:$C,'custody %'!$T$8,'caseload data'!$D:$D,"PO",'caseload data'!$B:$B,"custody")/SUMIFS('caseload data'!H:H,'caseload data'!$B:$B,"custody",'caseload data'!$C:$C,'custody %'!$T$8),"")</f>
        <v/>
      </c>
      <c r="Y10" s="167" t="str">
        <f>IFERROR(SUMIFS('caseload data'!I:I,'caseload data'!$C:$C,'custody %'!$T$8,'caseload data'!$D:$D,"PO",'caseload data'!$B:$B,"custody")/SUMIFS('caseload data'!I:I,'caseload data'!$B:$B,"custody",'caseload data'!$C:$C,'custody %'!$T$8),"")</f>
        <v/>
      </c>
      <c r="Z10" s="167" t="str">
        <f>IFERROR(SUMIFS('caseload data'!J:J,'caseload data'!$C:$C,'custody %'!$T$8,'caseload data'!$D:$D,"PO",'caseload data'!$B:$B,"custody")/SUMIFS('caseload data'!J:J,'caseload data'!$B:$B,"custody",'caseload data'!$C:$C,'custody %'!$T$8),"")</f>
        <v/>
      </c>
      <c r="AA10" s="167" t="str">
        <f>IFERROR(SUMIFS('caseload data'!K:K,'caseload data'!$C:$C,'custody %'!$T$8,'caseload data'!$D:$D,"PO",'caseload data'!$B:$B,"custody")/SUMIFS('caseload data'!K:K,'caseload data'!$B:$B,"custody",'caseload data'!$C:$C,'custody %'!$T$8),"")</f>
        <v/>
      </c>
      <c r="AB10" s="167" t="str">
        <f>IFERROR(SUMIFS('caseload data'!L:L,'caseload data'!$C:$C,'custody %'!$T$8,'caseload data'!$D:$D,"PO",'caseload data'!$B:$B,"custody")/SUMIFS('caseload data'!L:L,'caseload data'!$B:$B,"custody",'caseload data'!$C:$C,'custody %'!$T$8),"")</f>
        <v/>
      </c>
      <c r="AC10" s="167" t="str">
        <f>IFERROR(SUMIFS('caseload data'!M:M,'caseload data'!$C:$C,'custody %'!$T$8,'caseload data'!$D:$D,"PO",'caseload data'!$B:$B,"custody")/SUMIFS('caseload data'!M:M,'caseload data'!$B:$B,"custody",'caseload data'!$C:$C,'custody %'!$T$8),"")</f>
        <v/>
      </c>
      <c r="AD10" s="167" t="str">
        <f>IFERROR(SUMIFS('caseload data'!N:N,'caseload data'!$C:$C,'custody %'!$T$8,'caseload data'!$D:$D,"PO",'caseload data'!$B:$B,"custody")/SUMIFS('caseload data'!N:N,'caseload data'!$B:$B,"custody",'caseload data'!$C:$C,'custody %'!$T$8),"")</f>
        <v/>
      </c>
      <c r="AE10" s="167" t="str">
        <f>IFERROR(SUMIFS('caseload data'!O:O,'caseload data'!$C:$C,'custody %'!$T$8,'caseload data'!$D:$D,"PO",'caseload data'!$B:$B,"custody")/SUMIFS('caseload data'!O:O,'caseload data'!$B:$B,"custody",'caseload data'!$C:$C,'custody %'!$T$8),"")</f>
        <v/>
      </c>
      <c r="AF10" s="167" t="str">
        <f>IFERROR(SUMIFS('caseload data'!P:P,'caseload data'!$C:$C,'custody %'!$T$8,'caseload data'!$D:$D,"PO",'caseload data'!$B:$B,"custody")/SUMIFS('caseload data'!P:P,'caseload data'!$B:$B,"custody",'caseload data'!$C:$C,'custody %'!$T$8),"")</f>
        <v/>
      </c>
      <c r="AG10" s="167" t="str">
        <f>IFERROR(SUMIFS('caseload data'!Q:Q,'caseload data'!$C:$C,'custody %'!$T$8,'caseload data'!$D:$D,"PO",'caseload data'!$B:$B,"custody")/SUMIFS('caseload data'!Q:Q,'caseload data'!$B:$B,"custody",'caseload data'!$C:$C,'custody %'!$T$8),"")</f>
        <v/>
      </c>
      <c r="AH10" s="167" t="str">
        <f>IFERROR(SUMIFS('caseload data'!R:R,'caseload data'!$C:$C,'custody %'!$T$8,'caseload data'!$D:$D,"PO",'caseload data'!$B:$B,"custody")/SUMIFS('caseload data'!R:R,'caseload data'!$B:$B,"custody",'caseload data'!$C:$C,'custody %'!$T$8),"")</f>
        <v/>
      </c>
      <c r="AI10" s="167"/>
      <c r="AJ10" s="167"/>
    </row>
    <row r="11" spans="1:49" x14ac:dyDescent="0.15">
      <c r="B11" s="97" t="s">
        <v>1002</v>
      </c>
      <c r="C11" s="167" t="str">
        <f>IFERROR(SUMIFS('caseload data'!E:E,'caseload data'!$C:$C,'custody %'!$B$8,'caseload data'!$D:$D,"PSO",'caseload data'!$B:$B,"custody")/SUMIFS('caseload data'!E:E,'caseload data'!$B:$B,"custody",'caseload data'!$C:$C,'custody %'!$B$8),"")</f>
        <v/>
      </c>
      <c r="D11" s="167" t="str">
        <f>IFERROR(SUMIFS('caseload data'!F:F,'caseload data'!$C:$C,'custody %'!$B$8,'caseload data'!$D:$D,"PSO",'caseload data'!$B:$B,"custody")/SUMIFS('caseload data'!F:F,'caseload data'!$B:$B,"custody",'caseload data'!$C:$C,'custody %'!$B$8),"")</f>
        <v/>
      </c>
      <c r="E11" s="167" t="str">
        <f>IFERROR(SUMIFS('caseload data'!G:G,'caseload data'!$C:$C,'custody %'!$B$8,'caseload data'!$D:$D,"PSO",'caseload data'!$B:$B,"custody")/SUMIFS('caseload data'!G:G,'caseload data'!$B:$B,"custody",'caseload data'!$C:$C,'custody %'!$B$8),"")</f>
        <v/>
      </c>
      <c r="F11" s="167" t="str">
        <f>IFERROR(SUMIFS('caseload data'!H:H,'caseload data'!$C:$C,'custody %'!$B$8,'caseload data'!$D:$D,"PSO",'caseload data'!$B:$B,"custody")/SUMIFS('caseload data'!H:H,'caseload data'!$B:$B,"custody",'caseload data'!$C:$C,'custody %'!$B$8),"")</f>
        <v/>
      </c>
      <c r="G11" s="167" t="str">
        <f>IFERROR(SUMIFS('caseload data'!I:I,'caseload data'!$C:$C,'custody %'!$B$8,'caseload data'!$D:$D,"PSO",'caseload data'!$B:$B,"custody")/SUMIFS('caseload data'!I:I,'caseload data'!$B:$B,"custody",'caseload data'!$C:$C,'custody %'!$B$8),"")</f>
        <v/>
      </c>
      <c r="H11" s="167" t="str">
        <f>IFERROR(SUMIFS('caseload data'!J:J,'caseload data'!$C:$C,'custody %'!$B$8,'caseload data'!$D:$D,"PSO",'caseload data'!$B:$B,"custody")/SUMIFS('caseload data'!J:J,'caseload data'!$B:$B,"custody",'caseload data'!$C:$C,'custody %'!$B$8),"")</f>
        <v/>
      </c>
      <c r="I11" s="167" t="str">
        <f>IFERROR(SUMIFS('caseload data'!K:K,'caseload data'!$C:$C,'custody %'!$B$8,'caseload data'!$D:$D,"PSO",'caseload data'!$B:$B,"custody")/SUMIFS('caseload data'!K:K,'caseload data'!$B:$B,"custody",'caseload data'!$C:$C,'custody %'!$B$8),"")</f>
        <v/>
      </c>
      <c r="J11" s="167" t="str">
        <f>IFERROR(SUMIFS('caseload data'!L:L,'caseload data'!$C:$C,'custody %'!$B$8,'caseload data'!$D:$D,"PSO",'caseload data'!$B:$B,"custody")/SUMIFS('caseload data'!L:L,'caseload data'!$B:$B,"custody",'caseload data'!$C:$C,'custody %'!$B$8),"")</f>
        <v/>
      </c>
      <c r="K11" s="167" t="str">
        <f>IFERROR(SUMIFS('caseload data'!M:M,'caseload data'!$C:$C,'custody %'!$B$8,'caseload data'!$D:$D,"PSO",'caseload data'!$B:$B,"custody")/SUMIFS('caseload data'!M:M,'caseload data'!$B:$B,"custody",'caseload data'!$C:$C,'custody %'!$B$8),"")</f>
        <v/>
      </c>
      <c r="L11" s="167" t="str">
        <f>IFERROR(SUMIFS('caseload data'!N:N,'caseload data'!$C:$C,'custody %'!$B$8,'caseload data'!$D:$D,"PSO",'caseload data'!$B:$B,"custody")/SUMIFS('caseload data'!N:N,'caseload data'!$B:$B,"custody",'caseload data'!$C:$C,'custody %'!$B$8),"")</f>
        <v/>
      </c>
      <c r="M11" s="167" t="str">
        <f>IFERROR(SUMIFS('caseload data'!O:O,'caseload data'!$C:$C,'custody %'!$B$8,'caseload data'!$D:$D,"PSO",'caseload data'!$B:$B,"custody")/SUMIFS('caseload data'!O:O,'caseload data'!$B:$B,"custody",'caseload data'!$C:$C,'custody %'!$B$8),"")</f>
        <v/>
      </c>
      <c r="N11" s="167" t="str">
        <f>IFERROR(SUMIFS('caseload data'!P:P,'caseload data'!$C:$C,'custody %'!$B$8,'caseload data'!$D:$D,"PSO",'caseload data'!$B:$B,"custody")/SUMIFS('caseload data'!P:P,'caseload data'!$B:$B,"custody",'caseload data'!$C:$C,'custody %'!$B$8),"")</f>
        <v/>
      </c>
      <c r="O11" s="167" t="str">
        <f>IFERROR(SUMIFS('caseload data'!Q:Q,'caseload data'!$C:$C,'custody %'!$B$8,'caseload data'!$D:$D,"PSO",'caseload data'!$B:$B,"custody")/SUMIFS('caseload data'!Q:Q,'caseload data'!$B:$B,"custody",'caseload data'!$C:$C,'custody %'!$B$8),"")</f>
        <v/>
      </c>
      <c r="P11" s="167" t="str">
        <f>IFERROR(SUMIFS('caseload data'!R:R,'caseload data'!$C:$C,'custody %'!$B$8,'caseload data'!$D:$D,"PSO",'caseload data'!$B:$B,"custody")/SUMIFS('caseload data'!R:R,'caseload data'!$B:$B,"custody",'caseload data'!$C:$C,'custody %'!$B$8),"")</f>
        <v/>
      </c>
      <c r="Q11" s="167" t="str">
        <f>IFERROR(SUMIFS('caseload data'!S:S,'caseload data'!$C:$C,'custody %'!$B$8,'caseload data'!$D:$D,"PSO",'caseload data'!$B:$B,"custody")/SUMIFS('caseload data'!S:S,'caseload data'!$B:$B,"custody",'caseload data'!$C:$C,'custody %'!$B$8),"")</f>
        <v/>
      </c>
      <c r="R11" s="167" t="str">
        <f>IFERROR(SUMIFS('caseload data'!T:T,'caseload data'!$C:$C,'custody %'!$B$8,'caseload data'!$D:$D,"PSO",'caseload data'!$B:$B,"custody")/SUMIFS('caseload data'!T:T,'caseload data'!$B:$B,"custody",'caseload data'!$C:$C,'custody %'!$B$8),"")</f>
        <v/>
      </c>
      <c r="S11" s="64"/>
      <c r="T11" s="97" t="s">
        <v>1002</v>
      </c>
      <c r="U11" s="167" t="str">
        <f>IFERROR(SUMIFS('caseload data'!E:E,'caseload data'!$C:$C,'custody %'!$T$8,'caseload data'!$D:$D,"PSO",'caseload data'!$B:$B,"custody")/SUMIFS('caseload data'!E:E,'caseload data'!$B:$B,"custody",'caseload data'!$C:$C,'custody %'!$T$8),"")</f>
        <v/>
      </c>
      <c r="V11" s="167" t="str">
        <f>IFERROR(SUMIFS('caseload data'!F:F,'caseload data'!$C:$C,'custody %'!$T$8,'caseload data'!$D:$D,"PSO",'caseload data'!$B:$B,"custody")/SUMIFS('caseload data'!F:F,'caseload data'!$B:$B,"custody",'caseload data'!$C:$C,'custody %'!$T$8),"")</f>
        <v/>
      </c>
      <c r="W11" s="167" t="str">
        <f>IFERROR(SUMIFS('caseload data'!G:G,'caseload data'!$C:$C,'custody %'!$T$8,'caseload data'!$D:$D,"PSO",'caseload data'!$B:$B,"custody")/SUMIFS('caseload data'!G:G,'caseload data'!$B:$B,"custody",'caseload data'!$C:$C,'custody %'!$T$8),"")</f>
        <v/>
      </c>
      <c r="X11" s="167" t="str">
        <f>IFERROR(SUMIFS('caseload data'!H:H,'caseload data'!$C:$C,'custody %'!$T$8,'caseload data'!$D:$D,"PSO",'caseload data'!$B:$B,"custody")/SUMIFS('caseload data'!H:H,'caseload data'!$B:$B,"custody",'caseload data'!$C:$C,'custody %'!$T$8),"")</f>
        <v/>
      </c>
      <c r="Y11" s="167" t="str">
        <f>IFERROR(SUMIFS('caseload data'!I:I,'caseload data'!$C:$C,'custody %'!$T$8,'caseload data'!$D:$D,"PSO",'caseload data'!$B:$B,"custody")/SUMIFS('caseload data'!I:I,'caseload data'!$B:$B,"custody",'caseload data'!$C:$C,'custody %'!$T$8),"")</f>
        <v/>
      </c>
      <c r="Z11" s="167" t="str">
        <f>IFERROR(SUMIFS('caseload data'!J:J,'caseload data'!$C:$C,'custody %'!$T$8,'caseload data'!$D:$D,"PSO",'caseload data'!$B:$B,"custody")/SUMIFS('caseload data'!J:J,'caseload data'!$B:$B,"custody",'caseload data'!$C:$C,'custody %'!$T$8),"")</f>
        <v/>
      </c>
      <c r="AA11" s="167" t="str">
        <f>IFERROR(SUMIFS('caseload data'!K:K,'caseload data'!$C:$C,'custody %'!$T$8,'caseload data'!$D:$D,"PSO",'caseload data'!$B:$B,"custody")/SUMIFS('caseload data'!K:K,'caseload data'!$B:$B,"custody",'caseload data'!$C:$C,'custody %'!$T$8),"")</f>
        <v/>
      </c>
      <c r="AB11" s="167" t="str">
        <f>IFERROR(SUMIFS('caseload data'!L:L,'caseload data'!$C:$C,'custody %'!$T$8,'caseload data'!$D:$D,"PSO",'caseload data'!$B:$B,"custody")/SUMIFS('caseload data'!L:L,'caseload data'!$B:$B,"custody",'caseload data'!$C:$C,'custody %'!$T$8),"")</f>
        <v/>
      </c>
      <c r="AC11" s="167" t="str">
        <f>IFERROR(SUMIFS('caseload data'!M:M,'caseload data'!$C:$C,'custody %'!$T$8,'caseload data'!$D:$D,"PSO",'caseload data'!$B:$B,"custody")/SUMIFS('caseload data'!M:M,'caseload data'!$B:$B,"custody",'caseload data'!$C:$C,'custody %'!$T$8),"")</f>
        <v/>
      </c>
      <c r="AD11" s="167" t="str">
        <f>IFERROR(SUMIFS('caseload data'!N:N,'caseload data'!$C:$C,'custody %'!$T$8,'caseload data'!$D:$D,"PSO",'caseload data'!$B:$B,"custody")/SUMIFS('caseload data'!N:N,'caseload data'!$B:$B,"custody",'caseload data'!$C:$C,'custody %'!$T$8),"")</f>
        <v/>
      </c>
      <c r="AE11" s="167" t="str">
        <f>IFERROR(SUMIFS('caseload data'!O:O,'caseload data'!$C:$C,'custody %'!$T$8,'caseload data'!$D:$D,"PSO",'caseload data'!$B:$B,"custody")/SUMIFS('caseload data'!O:O,'caseload data'!$B:$B,"custody",'caseload data'!$C:$C,'custody %'!$T$8),"")</f>
        <v/>
      </c>
      <c r="AF11" s="167" t="str">
        <f>IFERROR(SUMIFS('caseload data'!P:P,'caseload data'!$C:$C,'custody %'!$T$8,'caseload data'!$D:$D,"PSO",'caseload data'!$B:$B,"custody")/SUMIFS('caseload data'!P:P,'caseload data'!$B:$B,"custody",'caseload data'!$C:$C,'custody %'!$T$8),"")</f>
        <v/>
      </c>
      <c r="AG11" s="167" t="str">
        <f>IFERROR(SUMIFS('caseload data'!Q:Q,'caseload data'!$C:$C,'custody %'!$T$8,'caseload data'!$D:$D,"PSO",'caseload data'!$B:$B,"custody")/SUMIFS('caseload data'!Q:Q,'caseload data'!$B:$B,"custody",'caseload data'!$C:$C,'custody %'!$T$8),"")</f>
        <v/>
      </c>
      <c r="AH11" s="167" t="str">
        <f>IFERROR(SUMIFS('caseload data'!R:R,'caseload data'!$C:$C,'custody %'!$T$8,'caseload data'!$D:$D,"PSO",'caseload data'!$B:$B,"custody")/SUMIFS('caseload data'!R:R,'caseload data'!$B:$B,"custody",'caseload data'!$C:$C,'custody %'!$T$8),"")</f>
        <v/>
      </c>
      <c r="AI11" s="167"/>
      <c r="AJ11" s="167"/>
    </row>
    <row r="12" spans="1:49" x14ac:dyDescent="0.15">
      <c r="B12" s="97" t="s">
        <v>1003</v>
      </c>
      <c r="C12" s="167" t="str">
        <f>IFERROR(SUMIFS('caseload data'!E:E,'caseload data'!$C:$C,'custody %'!$B$8,'caseload data'!$D:$D,"TPO",'caseload data'!$B:$B,"custody")/SUMIFS('caseload data'!E:E,'caseload data'!$B:$B,"custody",'caseload data'!$C:$C,'custody %'!$B$8),"")</f>
        <v/>
      </c>
      <c r="D12" s="167" t="str">
        <f>IFERROR(SUMIFS('caseload data'!F:F,'caseload data'!$C:$C,'custody %'!$B$8,'caseload data'!$D:$D,"TPO",'caseload data'!$B:$B,"custody")/SUMIFS('caseload data'!F:F,'caseload data'!$B:$B,"custody",'caseload data'!$C:$C,'custody %'!$B$8),"")</f>
        <v/>
      </c>
      <c r="E12" s="167" t="str">
        <f>IFERROR(SUMIFS('caseload data'!G:G,'caseload data'!$C:$C,'custody %'!$B$8,'caseload data'!$D:$D,"TPO",'caseload data'!$B:$B,"custody")/SUMIFS('caseload data'!G:G,'caseload data'!$B:$B,"custody",'caseload data'!$C:$C,'custody %'!$B$8),"")</f>
        <v/>
      </c>
      <c r="F12" s="167" t="str">
        <f>IFERROR(SUMIFS('caseload data'!H:H,'caseload data'!$C:$C,'custody %'!$B$8,'caseload data'!$D:$D,"TPO",'caseload data'!$B:$B,"custody")/SUMIFS('caseload data'!H:H,'caseload data'!$B:$B,"custody",'caseload data'!$C:$C,'custody %'!$B$8),"")</f>
        <v/>
      </c>
      <c r="G12" s="167" t="str">
        <f>IFERROR(SUMIFS('caseload data'!I:I,'caseload data'!$C:$C,'custody %'!$B$8,'caseload data'!$D:$D,"TPO",'caseload data'!$B:$B,"custody")/SUMIFS('caseload data'!I:I,'caseload data'!$B:$B,"custody",'caseload data'!$C:$C,'custody %'!$B$8),"")</f>
        <v/>
      </c>
      <c r="H12" s="167" t="str">
        <f>IFERROR(SUMIFS('caseload data'!J:J,'caseload data'!$C:$C,'custody %'!$B$8,'caseload data'!$D:$D,"TPO",'caseload data'!$B:$B,"custody")/SUMIFS('caseload data'!J:J,'caseload data'!$B:$B,"custody",'caseload data'!$C:$C,'custody %'!$B$8),"")</f>
        <v/>
      </c>
      <c r="I12" s="167" t="str">
        <f>IFERROR(SUMIFS('caseload data'!K:K,'caseload data'!$C:$C,'custody %'!$B$8,'caseload data'!$D:$D,"TPO",'caseload data'!$B:$B,"custody")/SUMIFS('caseload data'!K:K,'caseload data'!$B:$B,"custody",'caseload data'!$C:$C,'custody %'!$B$8),"")</f>
        <v/>
      </c>
      <c r="J12" s="167" t="str">
        <f>IFERROR(SUMIFS('caseload data'!L:L,'caseload data'!$C:$C,'custody %'!$B$8,'caseload data'!$D:$D,"TPO",'caseload data'!$B:$B,"custody")/SUMIFS('caseload data'!L:L,'caseload data'!$B:$B,"custody",'caseload data'!$C:$C,'custody %'!$B$8),"")</f>
        <v/>
      </c>
      <c r="K12" s="167" t="str">
        <f>IFERROR(SUMIFS('caseload data'!M:M,'caseload data'!$C:$C,'custody %'!$B$8,'caseload data'!$D:$D,"TPO",'caseload data'!$B:$B,"custody")/SUMIFS('caseload data'!M:M,'caseload data'!$B:$B,"custody",'caseload data'!$C:$C,'custody %'!$B$8),"")</f>
        <v/>
      </c>
      <c r="L12" s="167" t="str">
        <f>IFERROR(SUMIFS('caseload data'!N:N,'caseload data'!$C:$C,'custody %'!$B$8,'caseload data'!$D:$D,"TPO",'caseload data'!$B:$B,"custody")/SUMIFS('caseload data'!N:N,'caseload data'!$B:$B,"custody",'caseload data'!$C:$C,'custody %'!$B$8),"")</f>
        <v/>
      </c>
      <c r="M12" s="167" t="str">
        <f>IFERROR(SUMIFS('caseload data'!O:O,'caseload data'!$C:$C,'custody %'!$B$8,'caseload data'!$D:$D,"TPO",'caseload data'!$B:$B,"custody")/SUMIFS('caseload data'!O:O,'caseload data'!$B:$B,"custody",'caseload data'!$C:$C,'custody %'!$B$8),"")</f>
        <v/>
      </c>
      <c r="N12" s="167" t="str">
        <f>IFERROR(SUMIFS('caseload data'!P:P,'caseload data'!$C:$C,'custody %'!$B$8,'caseload data'!$D:$D,"TPO",'caseload data'!$B:$B,"custody")/SUMIFS('caseload data'!P:P,'caseload data'!$B:$B,"custody",'caseload data'!$C:$C,'custody %'!$B$8),"")</f>
        <v/>
      </c>
      <c r="O12" s="167" t="str">
        <f>IFERROR(SUMIFS('caseload data'!Q:Q,'caseload data'!$C:$C,'custody %'!$B$8,'caseload data'!$D:$D,"TPO",'caseload data'!$B:$B,"custody")/SUMIFS('caseload data'!Q:Q,'caseload data'!$B:$B,"custody",'caseload data'!$C:$C,'custody %'!$B$8),"")</f>
        <v/>
      </c>
      <c r="P12" s="167" t="str">
        <f>IFERROR(SUMIFS('caseload data'!R:R,'caseload data'!$C:$C,'custody %'!$B$8,'caseload data'!$D:$D,"TPO",'caseload data'!$B:$B,"custody")/SUMIFS('caseload data'!R:R,'caseload data'!$B:$B,"custody",'caseload data'!$C:$C,'custody %'!$B$8),"")</f>
        <v/>
      </c>
      <c r="Q12" s="167" t="str">
        <f>IFERROR(SUMIFS('caseload data'!S:S,'caseload data'!$C:$C,'custody %'!$B$8,'caseload data'!$D:$D,"TPO",'caseload data'!$B:$B,"custody")/SUMIFS('caseload data'!S:S,'caseload data'!$B:$B,"custody",'caseload data'!$C:$C,'custody %'!$B$8),"")</f>
        <v/>
      </c>
      <c r="R12" s="167" t="str">
        <f>IFERROR(SUMIFS('caseload data'!T:T,'caseload data'!$C:$C,'custody %'!$B$8,'caseload data'!$D:$D,"TPO",'caseload data'!$B:$B,"custody")/SUMIFS('caseload data'!T:T,'caseload data'!$B:$B,"custody",'caseload data'!$C:$C,'custody %'!$B$8),"")</f>
        <v/>
      </c>
      <c r="S12" s="64"/>
      <c r="T12" s="97" t="s">
        <v>1003</v>
      </c>
      <c r="U12" s="167" t="str">
        <f>IFERROR(SUMIFS('caseload data'!E:E,'caseload data'!$C:$C,'custody %'!$T$8,'caseload data'!$D:$D,"TPO",'caseload data'!$B:$B,"custody")/SUMIFS('caseload data'!E:E,'caseload data'!$B:$B,"custody",'caseload data'!$C:$C,'custody %'!$T$8),"")</f>
        <v/>
      </c>
      <c r="V12" s="167" t="str">
        <f>IFERROR(SUMIFS('caseload data'!F:F,'caseload data'!$C:$C,'custody %'!$T$8,'caseload data'!$D:$D,"TPO",'caseload data'!$B:$B,"custody")/SUMIFS('caseload data'!F:F,'caseload data'!$B:$B,"custody",'caseload data'!$C:$C,'custody %'!$T$8),"")</f>
        <v/>
      </c>
      <c r="W12" s="167" t="str">
        <f>IFERROR(SUMIFS('caseload data'!G:G,'caseload data'!$C:$C,'custody %'!$T$8,'caseload data'!$D:$D,"TPO",'caseload data'!$B:$B,"custody")/SUMIFS('caseload data'!G:G,'caseload data'!$B:$B,"custody",'caseload data'!$C:$C,'custody %'!$T$8),"")</f>
        <v/>
      </c>
      <c r="X12" s="167" t="str">
        <f>IFERROR(SUMIFS('caseload data'!H:H,'caseload data'!$C:$C,'custody %'!$T$8,'caseload data'!$D:$D,"TPO",'caseload data'!$B:$B,"custody")/SUMIFS('caseload data'!H:H,'caseload data'!$B:$B,"custody",'caseload data'!$C:$C,'custody %'!$T$8),"")</f>
        <v/>
      </c>
      <c r="Y12" s="167" t="str">
        <f>IFERROR(SUMIFS('caseload data'!I:I,'caseload data'!$C:$C,'custody %'!$T$8,'caseload data'!$D:$D,"TPO",'caseload data'!$B:$B,"custody")/SUMIFS('caseload data'!I:I,'caseload data'!$B:$B,"custody",'caseload data'!$C:$C,'custody %'!$T$8),"")</f>
        <v/>
      </c>
      <c r="Z12" s="167" t="str">
        <f>IFERROR(SUMIFS('caseload data'!J:J,'caseload data'!$C:$C,'custody %'!$T$8,'caseload data'!$D:$D,"TPO",'caseload data'!$B:$B,"custody")/SUMIFS('caseload data'!J:J,'caseload data'!$B:$B,"custody",'caseload data'!$C:$C,'custody %'!$T$8),"")</f>
        <v/>
      </c>
      <c r="AA12" s="167" t="str">
        <f>IFERROR(SUMIFS('caseload data'!K:K,'caseload data'!$C:$C,'custody %'!$T$8,'caseload data'!$D:$D,"TPO",'caseload data'!$B:$B,"custody")/SUMIFS('caseload data'!K:K,'caseload data'!$B:$B,"custody",'caseload data'!$C:$C,'custody %'!$T$8),"")</f>
        <v/>
      </c>
      <c r="AB12" s="167" t="str">
        <f>IFERROR(SUMIFS('caseload data'!L:L,'caseload data'!$C:$C,'custody %'!$T$8,'caseload data'!$D:$D,"TPO",'caseload data'!$B:$B,"custody")/SUMIFS('caseload data'!L:L,'caseload data'!$B:$B,"custody",'caseload data'!$C:$C,'custody %'!$T$8),"")</f>
        <v/>
      </c>
      <c r="AC12" s="167" t="str">
        <f>IFERROR(SUMIFS('caseload data'!M:M,'caseload data'!$C:$C,'custody %'!$T$8,'caseload data'!$D:$D,"TPO",'caseload data'!$B:$B,"custody")/SUMIFS('caseload data'!M:M,'caseload data'!$B:$B,"custody",'caseload data'!$C:$C,'custody %'!$T$8),"")</f>
        <v/>
      </c>
      <c r="AD12" s="167" t="str">
        <f>IFERROR(SUMIFS('caseload data'!N:N,'caseload data'!$C:$C,'custody %'!$T$8,'caseload data'!$D:$D,"TPO",'caseload data'!$B:$B,"custody")/SUMIFS('caseload data'!N:N,'caseload data'!$B:$B,"custody",'caseload data'!$C:$C,'custody %'!$T$8),"")</f>
        <v/>
      </c>
      <c r="AE12" s="167" t="str">
        <f>IFERROR(SUMIFS('caseload data'!O:O,'caseload data'!$C:$C,'custody %'!$T$8,'caseload data'!$D:$D,"TPO",'caseload data'!$B:$B,"custody")/SUMIFS('caseload data'!O:O,'caseload data'!$B:$B,"custody",'caseload data'!$C:$C,'custody %'!$T$8),"")</f>
        <v/>
      </c>
      <c r="AF12" s="167" t="str">
        <f>IFERROR(SUMIFS('caseload data'!P:P,'caseload data'!$C:$C,'custody %'!$T$8,'caseload data'!$D:$D,"TPO",'caseload data'!$B:$B,"custody")/SUMIFS('caseload data'!P:P,'caseload data'!$B:$B,"custody",'caseload data'!$C:$C,'custody %'!$T$8),"")</f>
        <v/>
      </c>
      <c r="AG12" s="167" t="str">
        <f>IFERROR(SUMIFS('caseload data'!Q:Q,'caseload data'!$C:$C,'custody %'!$T$8,'caseload data'!$D:$D,"TPO",'caseload data'!$B:$B,"custody")/SUMIFS('caseload data'!Q:Q,'caseload data'!$B:$B,"custody",'caseload data'!$C:$C,'custody %'!$T$8),"")</f>
        <v/>
      </c>
      <c r="AH12" s="167" t="str">
        <f>IFERROR(SUMIFS('caseload data'!R:R,'caseload data'!$C:$C,'custody %'!$T$8,'caseload data'!$D:$D,"TPO",'caseload data'!$B:$B,"custody")/SUMIFS('caseload data'!R:R,'caseload data'!$B:$B,"custody",'caseload data'!$C:$C,'custody %'!$T$8),"")</f>
        <v/>
      </c>
      <c r="AI12" s="167"/>
      <c r="AJ12" s="167"/>
    </row>
    <row r="13" spans="1:49" x14ac:dyDescent="0.15">
      <c r="B13" s="98" t="s">
        <v>1004</v>
      </c>
      <c r="C13" s="167" t="str">
        <f>IFERROR(SUMIFS('caseload data'!E:E,'caseload data'!$C:$C,'custody %'!$B$8,'caseload data'!$D:$D,"SPO",'caseload data'!$B:$B,"custody")/SUMIFS('caseload data'!E:E,'caseload data'!$B:$B,"custody",'caseload data'!$C:$C,'custody %'!$B$8),"")</f>
        <v/>
      </c>
      <c r="D13" s="167" t="str">
        <f>IFERROR(SUMIFS('caseload data'!F:F,'caseload data'!$C:$C,'custody %'!$B$8,'caseload data'!$D:$D,"SPO",'caseload data'!$B:$B,"custody")/SUMIFS('caseload data'!F:F,'caseload data'!$B:$B,"custody",'caseload data'!$C:$C,'custody %'!$B$8),"")</f>
        <v/>
      </c>
      <c r="E13" s="167" t="str">
        <f>IFERROR(SUMIFS('caseload data'!G:G,'caseload data'!$C:$C,'custody %'!$B$8,'caseload data'!$D:$D,"SPO",'caseload data'!$B:$B,"custody")/SUMIFS('caseload data'!G:G,'caseload data'!$B:$B,"custody",'caseload data'!$C:$C,'custody %'!$B$8),"")</f>
        <v/>
      </c>
      <c r="F13" s="167" t="str">
        <f>IFERROR(SUMIFS('caseload data'!H:H,'caseload data'!$C:$C,'custody %'!$B$8,'caseload data'!$D:$D,"SPO",'caseload data'!$B:$B,"custody")/SUMIFS('caseload data'!H:H,'caseload data'!$B:$B,"custody",'caseload data'!$C:$C,'custody %'!$B$8),"")</f>
        <v/>
      </c>
      <c r="G13" s="167" t="str">
        <f>IFERROR(SUMIFS('caseload data'!I:I,'caseload data'!$C:$C,'custody %'!$B$8,'caseload data'!$D:$D,"SPO",'caseload data'!$B:$B,"custody")/SUMIFS('caseload data'!I:I,'caseload data'!$B:$B,"custody",'caseload data'!$C:$C,'custody %'!$B$8),"")</f>
        <v/>
      </c>
      <c r="H13" s="167" t="str">
        <f>IFERROR(SUMIFS('caseload data'!J:J,'caseload data'!$C:$C,'custody %'!$B$8,'caseload data'!$D:$D,"SPO",'caseload data'!$B:$B,"custody")/SUMIFS('caseload data'!J:J,'caseload data'!$B:$B,"custody",'caseload data'!$C:$C,'custody %'!$B$8),"")</f>
        <v/>
      </c>
      <c r="I13" s="167" t="str">
        <f>IFERROR(SUMIFS('caseload data'!K:K,'caseload data'!$C:$C,'custody %'!$B$8,'caseload data'!$D:$D,"SPO",'caseload data'!$B:$B,"custody")/SUMIFS('caseload data'!K:K,'caseload data'!$B:$B,"custody",'caseload data'!$C:$C,'custody %'!$B$8),"")</f>
        <v/>
      </c>
      <c r="J13" s="167" t="str">
        <f>IFERROR(SUMIFS('caseload data'!L:L,'caseload data'!$C:$C,'custody %'!$B$8,'caseload data'!$D:$D,"SPO",'caseload data'!$B:$B,"custody")/SUMIFS('caseload data'!L:L,'caseload data'!$B:$B,"custody",'caseload data'!$C:$C,'custody %'!$B$8),"")</f>
        <v/>
      </c>
      <c r="K13" s="167" t="str">
        <f>IFERROR(SUMIFS('caseload data'!M:M,'caseload data'!$C:$C,'custody %'!$B$8,'caseload data'!$D:$D,"SPO",'caseload data'!$B:$B,"custody")/SUMIFS('caseload data'!M:M,'caseload data'!$B:$B,"custody",'caseload data'!$C:$C,'custody %'!$B$8),"")</f>
        <v/>
      </c>
      <c r="L13" s="167" t="str">
        <f>IFERROR(SUMIFS('caseload data'!N:N,'caseload data'!$C:$C,'custody %'!$B$8,'caseload data'!$D:$D,"SPO",'caseload data'!$B:$B,"custody")/SUMIFS('caseload data'!N:N,'caseload data'!$B:$B,"custody",'caseload data'!$C:$C,'custody %'!$B$8),"")</f>
        <v/>
      </c>
      <c r="M13" s="167" t="str">
        <f>IFERROR(SUMIFS('caseload data'!O:O,'caseload data'!$C:$C,'custody %'!$B$8,'caseload data'!$D:$D,"SPO",'caseload data'!$B:$B,"custody")/SUMIFS('caseload data'!O:O,'caseload data'!$B:$B,"custody",'caseload data'!$C:$C,'custody %'!$B$8),"")</f>
        <v/>
      </c>
      <c r="N13" s="167" t="str">
        <f>IFERROR(SUMIFS('caseload data'!P:P,'caseload data'!$C:$C,'custody %'!$B$8,'caseload data'!$D:$D,"SPO",'caseload data'!$B:$B,"custody")/SUMIFS('caseload data'!P:P,'caseload data'!$B:$B,"custody",'caseload data'!$C:$C,'custody %'!$B$8),"")</f>
        <v/>
      </c>
      <c r="O13" s="167" t="str">
        <f>IFERROR(SUMIFS('caseload data'!Q:Q,'caseload data'!$C:$C,'custody %'!$B$8,'caseload data'!$D:$D,"SPO",'caseload data'!$B:$B,"custody")/SUMIFS('caseload data'!Q:Q,'caseload data'!$B:$B,"custody",'caseload data'!$C:$C,'custody %'!$B$8),"")</f>
        <v/>
      </c>
      <c r="P13" s="167" t="str">
        <f>IFERROR(SUMIFS('caseload data'!R:R,'caseload data'!$C:$C,'custody %'!$B$8,'caseload data'!$D:$D,"SPO",'caseload data'!$B:$B,"custody")/SUMIFS('caseload data'!R:R,'caseload data'!$B:$B,"custody",'caseload data'!$C:$C,'custody %'!$B$8),"")</f>
        <v/>
      </c>
      <c r="Q13" s="167" t="str">
        <f>IFERROR(SUMIFS('caseload data'!S:S,'caseload data'!$C:$C,'custody %'!$B$8,'caseload data'!$D:$D,"SPO",'caseload data'!$B:$B,"custody")/SUMIFS('caseload data'!S:S,'caseload data'!$B:$B,"custody",'caseload data'!$C:$C,'custody %'!$B$8),"")</f>
        <v/>
      </c>
      <c r="R13" s="167" t="str">
        <f>IFERROR(SUMIFS('caseload data'!T:T,'caseload data'!$C:$C,'custody %'!$B$8,'caseload data'!$D:$D,"SPO",'caseload data'!$B:$B,"custody")/SUMIFS('caseload data'!T:T,'caseload data'!$B:$B,"custody",'caseload data'!$C:$C,'custody %'!$B$8),"")</f>
        <v/>
      </c>
      <c r="S13" s="64"/>
      <c r="T13" s="98" t="s">
        <v>1004</v>
      </c>
      <c r="U13" s="167" t="str">
        <f>IFERROR(SUMIFS('caseload data'!E:E,'caseload data'!$C:$C,'custody %'!$T$8,'caseload data'!$D:$D,"SPO",'caseload data'!$B:$B,"custody")/SUMIFS('caseload data'!E:E,'caseload data'!$B:$B,"custody",'caseload data'!$C:$C,'custody %'!$T$8),"")</f>
        <v/>
      </c>
      <c r="V13" s="167" t="str">
        <f>IFERROR(SUMIFS('caseload data'!F:F,'caseload data'!$C:$C,'custody %'!$T$8,'caseload data'!$D:$D,"SPO",'caseload data'!$B:$B,"custody")/SUMIFS('caseload data'!F:F,'caseload data'!$B:$B,"custody",'caseload data'!$C:$C,'custody %'!$T$8),"")</f>
        <v/>
      </c>
      <c r="W13" s="167" t="str">
        <f>IFERROR(SUMIFS('caseload data'!G:G,'caseload data'!$C:$C,'custody %'!$T$8,'caseload data'!$D:$D,"SPO",'caseload data'!$B:$B,"custody")/SUMIFS('caseload data'!G:G,'caseload data'!$B:$B,"custody",'caseload data'!$C:$C,'custody %'!$T$8),"")</f>
        <v/>
      </c>
      <c r="X13" s="167" t="str">
        <f>IFERROR(SUMIFS('caseload data'!H:H,'caseload data'!$C:$C,'custody %'!$T$8,'caseload data'!$D:$D,"SPO",'caseload data'!$B:$B,"custody")/SUMIFS('caseload data'!H:H,'caseload data'!$B:$B,"custody",'caseload data'!$C:$C,'custody %'!$T$8),"")</f>
        <v/>
      </c>
      <c r="Y13" s="167" t="str">
        <f>IFERROR(SUMIFS('caseload data'!I:I,'caseload data'!$C:$C,'custody %'!$T$8,'caseload data'!$D:$D,"SPO",'caseload data'!$B:$B,"custody")/SUMIFS('caseload data'!I:I,'caseload data'!$B:$B,"custody",'caseload data'!$C:$C,'custody %'!$T$8),"")</f>
        <v/>
      </c>
      <c r="Z13" s="167" t="str">
        <f>IFERROR(SUMIFS('caseload data'!J:J,'caseload data'!$C:$C,'custody %'!$T$8,'caseload data'!$D:$D,"SPO",'caseload data'!$B:$B,"custody")/SUMIFS('caseload data'!J:J,'caseload data'!$B:$B,"custody",'caseload data'!$C:$C,'custody %'!$T$8),"")</f>
        <v/>
      </c>
      <c r="AA13" s="167" t="str">
        <f>IFERROR(SUMIFS('caseload data'!K:K,'caseload data'!$C:$C,'custody %'!$T$8,'caseload data'!$D:$D,"SPO",'caseload data'!$B:$B,"custody")/SUMIFS('caseload data'!K:K,'caseload data'!$B:$B,"custody",'caseload data'!$C:$C,'custody %'!$T$8),"")</f>
        <v/>
      </c>
      <c r="AB13" s="167" t="str">
        <f>IFERROR(SUMIFS('caseload data'!L:L,'caseload data'!$C:$C,'custody %'!$T$8,'caseload data'!$D:$D,"SPO",'caseload data'!$B:$B,"custody")/SUMIFS('caseload data'!L:L,'caseload data'!$B:$B,"custody",'caseload data'!$C:$C,'custody %'!$T$8),"")</f>
        <v/>
      </c>
      <c r="AC13" s="167" t="str">
        <f>IFERROR(SUMIFS('caseload data'!M:M,'caseload data'!$C:$C,'custody %'!$T$8,'caseload data'!$D:$D,"SPO",'caseload data'!$B:$B,"custody")/SUMIFS('caseload data'!M:M,'caseload data'!$B:$B,"custody",'caseload data'!$C:$C,'custody %'!$T$8),"")</f>
        <v/>
      </c>
      <c r="AD13" s="167" t="str">
        <f>IFERROR(SUMIFS('caseload data'!N:N,'caseload data'!$C:$C,'custody %'!$T$8,'caseload data'!$D:$D,"SPO",'caseload data'!$B:$B,"custody")/SUMIFS('caseload data'!N:N,'caseload data'!$B:$B,"custody",'caseload data'!$C:$C,'custody %'!$T$8),"")</f>
        <v/>
      </c>
      <c r="AE13" s="167" t="str">
        <f>IFERROR(SUMIFS('caseload data'!O:O,'caseload data'!$C:$C,'custody %'!$T$8,'caseload data'!$D:$D,"SPO",'caseload data'!$B:$B,"custody")/SUMIFS('caseload data'!O:O,'caseload data'!$B:$B,"custody",'caseload data'!$C:$C,'custody %'!$T$8),"")</f>
        <v/>
      </c>
      <c r="AF13" s="167" t="str">
        <f>IFERROR(SUMIFS('caseload data'!P:P,'caseload data'!$C:$C,'custody %'!$T$8,'caseload data'!$D:$D,"SPO",'caseload data'!$B:$B,"custody")/SUMIFS('caseload data'!P:P,'caseload data'!$B:$B,"custody",'caseload data'!$C:$C,'custody %'!$T$8),"")</f>
        <v/>
      </c>
      <c r="AG13" s="167" t="str">
        <f>IFERROR(SUMIFS('caseload data'!Q:Q,'caseload data'!$C:$C,'custody %'!$T$8,'caseload data'!$D:$D,"SPO",'caseload data'!$B:$B,"custody")/SUMIFS('caseload data'!Q:Q,'caseload data'!$B:$B,"custody",'caseload data'!$C:$C,'custody %'!$T$8),"")</f>
        <v/>
      </c>
      <c r="AH13" s="167" t="str">
        <f>IFERROR(SUMIFS('caseload data'!R:R,'caseload data'!$C:$C,'custody %'!$T$8,'caseload data'!$D:$D,"SPO",'caseload data'!$B:$B,"custody")/SUMIFS('caseload data'!R:R,'caseload data'!$B:$B,"custody",'caseload data'!$C:$C,'custody %'!$T$8),"")</f>
        <v/>
      </c>
      <c r="AI13" s="167"/>
      <c r="AJ13" s="167"/>
    </row>
    <row r="14" spans="1:49"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row>
    <row r="15" spans="1:49" ht="30" customHeight="1" x14ac:dyDescent="0.15">
      <c r="B15" s="289" t="str">
        <f>HLOOKUP($B$5,Region_Table,4,0)</f>
        <v>Derbyshire - N53</v>
      </c>
      <c r="C15" s="517" t="s">
        <v>1126</v>
      </c>
      <c r="D15" s="518"/>
      <c r="E15" s="518"/>
      <c r="F15" s="518"/>
      <c r="G15" s="518"/>
      <c r="H15" s="518"/>
      <c r="I15" s="518"/>
      <c r="J15" s="518"/>
      <c r="K15" s="518"/>
      <c r="L15" s="518"/>
      <c r="M15" s="537"/>
      <c r="N15" s="537"/>
      <c r="O15" s="538"/>
      <c r="P15" s="512">
        <f>SUMIF('caseload data'!$C:$C,'custody %'!B15,'caseload data'!V:V)</f>
        <v>0</v>
      </c>
      <c r="Q15" s="529"/>
      <c r="R15" s="530"/>
      <c r="S15" s="64"/>
      <c r="T15" s="289" t="str">
        <f>HLOOKUP($B$5,Region_Table,5,0)</f>
        <v>Leicester, Leicestershire and Rutland</v>
      </c>
      <c r="U15" s="517" t="s">
        <v>1126</v>
      </c>
      <c r="V15" s="518"/>
      <c r="W15" s="518"/>
      <c r="X15" s="518"/>
      <c r="Y15" s="518"/>
      <c r="Z15" s="518"/>
      <c r="AA15" s="518"/>
      <c r="AB15" s="518"/>
      <c r="AC15" s="537"/>
      <c r="AD15" s="537"/>
      <c r="AE15" s="538"/>
      <c r="AF15" s="512">
        <f>SUMIF('caseload data'!$C:$C,'custody %'!T15,'caseload data'!V:V)</f>
        <v>0</v>
      </c>
      <c r="AG15" s="529"/>
      <c r="AH15" s="530"/>
    </row>
    <row r="16" spans="1:49" x14ac:dyDescent="0.15">
      <c r="B16" s="95" t="s">
        <v>1000</v>
      </c>
      <c r="C16" s="38" t="s">
        <v>864</v>
      </c>
      <c r="D16" s="38" t="s">
        <v>865</v>
      </c>
      <c r="E16" s="38" t="s">
        <v>866</v>
      </c>
      <c r="F16" s="38" t="s">
        <v>867</v>
      </c>
      <c r="G16" s="38" t="s">
        <v>868</v>
      </c>
      <c r="H16" s="38" t="s">
        <v>869</v>
      </c>
      <c r="I16" s="38" t="s">
        <v>870</v>
      </c>
      <c r="J16" s="38" t="s">
        <v>871</v>
      </c>
      <c r="K16" s="38" t="s">
        <v>872</v>
      </c>
      <c r="L16" s="38" t="s">
        <v>873</v>
      </c>
      <c r="M16" s="38" t="s">
        <v>874</v>
      </c>
      <c r="N16" s="38" t="s">
        <v>875</v>
      </c>
      <c r="O16" s="38" t="s">
        <v>876</v>
      </c>
      <c r="P16" s="38" t="s">
        <v>877</v>
      </c>
      <c r="Q16" s="38" t="s">
        <v>878</v>
      </c>
      <c r="R16" s="38" t="s">
        <v>879</v>
      </c>
      <c r="S16" s="64"/>
      <c r="T16" s="95" t="s">
        <v>1000</v>
      </c>
      <c r="U16" s="38" t="s">
        <v>864</v>
      </c>
      <c r="V16" s="38" t="s">
        <v>865</v>
      </c>
      <c r="W16" s="38" t="s">
        <v>866</v>
      </c>
      <c r="X16" s="38" t="s">
        <v>867</v>
      </c>
      <c r="Y16" s="38" t="s">
        <v>868</v>
      </c>
      <c r="Z16" s="38" t="s">
        <v>869</v>
      </c>
      <c r="AA16" s="38" t="s">
        <v>870</v>
      </c>
      <c r="AB16" s="38" t="s">
        <v>871</v>
      </c>
      <c r="AC16" s="38" t="s">
        <v>872</v>
      </c>
      <c r="AD16" s="38" t="s">
        <v>873</v>
      </c>
      <c r="AE16" s="38" t="s">
        <v>874</v>
      </c>
      <c r="AF16" s="38" t="s">
        <v>875</v>
      </c>
      <c r="AG16" s="38" t="s">
        <v>876</v>
      </c>
      <c r="AH16" s="38" t="s">
        <v>877</v>
      </c>
      <c r="AI16" s="38" t="s">
        <v>878</v>
      </c>
      <c r="AJ16" s="38" t="s">
        <v>879</v>
      </c>
    </row>
    <row r="17" spans="2:36" x14ac:dyDescent="0.15">
      <c r="B17" s="96" t="s">
        <v>997</v>
      </c>
      <c r="C17" s="167" t="str">
        <f>IFERROR(SUMIFS('caseload data'!E:E,'caseload data'!$C:$C,'custody %'!$B$15,'caseload data'!$D:$D,"PO",'caseload data'!$B:$B,"custody")/SUMIFS('caseload data'!E:E,'caseload data'!$B:$B,"custody",'caseload data'!$C:$C,'custody %'!$B$15),"")</f>
        <v/>
      </c>
      <c r="D17" s="167" t="str">
        <f>IFERROR(SUMIFS('caseload data'!F:F,'caseload data'!$C:$C,'custody %'!$B$15,'caseload data'!$D:$D,"PO",'caseload data'!$B:$B,"custody")/SUMIFS('caseload data'!F:F,'caseload data'!$B:$B,"custody",'caseload data'!$C:$C,'custody %'!$B$15),"")</f>
        <v/>
      </c>
      <c r="E17" s="167" t="str">
        <f>IFERROR(SUMIFS('caseload data'!G:G,'caseload data'!$C:$C,'custody %'!$B$15,'caseload data'!$D:$D,"PO",'caseload data'!$B:$B,"custody")/SUMIFS('caseload data'!G:G,'caseload data'!$B:$B,"custody",'caseload data'!$C:$C,'custody %'!$B$15),"")</f>
        <v/>
      </c>
      <c r="F17" s="167" t="str">
        <f>IFERROR(SUMIFS('caseload data'!H:H,'caseload data'!$C:$C,'custody %'!$B$15,'caseload data'!$D:$D,"PO",'caseload data'!$B:$B,"custody")/SUMIFS('caseload data'!H:H,'caseload data'!$B:$B,"custody",'caseload data'!$C:$C,'custody %'!$B$15),"")</f>
        <v/>
      </c>
      <c r="G17" s="167" t="str">
        <f>IFERROR(SUMIFS('caseload data'!I:I,'caseload data'!$C:$C,'custody %'!$B$15,'caseload data'!$D:$D,"PO",'caseload data'!$B:$B,"custody")/SUMIFS('caseload data'!I:I,'caseload data'!$B:$B,"custody",'caseload data'!$C:$C,'custody %'!$B$15),"")</f>
        <v/>
      </c>
      <c r="H17" s="167" t="str">
        <f>IFERROR(SUMIFS('caseload data'!J:J,'caseload data'!$C:$C,'custody %'!$B$15,'caseload data'!$D:$D,"PO",'caseload data'!$B:$B,"custody")/SUMIFS('caseload data'!J:J,'caseload data'!$B:$B,"custody",'caseload data'!$C:$C,'custody %'!$B$15),"")</f>
        <v/>
      </c>
      <c r="I17" s="167" t="str">
        <f>IFERROR(SUMIFS('caseload data'!K:K,'caseload data'!$C:$C,'custody %'!$B$15,'caseload data'!$D:$D,"PO",'caseload data'!$B:$B,"custody")/SUMIFS('caseload data'!K:K,'caseload data'!$B:$B,"custody",'caseload data'!$C:$C,'custody %'!$B$15),"")</f>
        <v/>
      </c>
      <c r="J17" s="167" t="str">
        <f>IFERROR(SUMIFS('caseload data'!L:L,'caseload data'!$C:$C,'custody %'!$B$15,'caseload data'!$D:$D,"PO",'caseload data'!$B:$B,"custody")/SUMIFS('caseload data'!L:L,'caseload data'!$B:$B,"custody",'caseload data'!$C:$C,'custody %'!$B$15),"")</f>
        <v/>
      </c>
      <c r="K17" s="167" t="str">
        <f>IFERROR(SUMIFS('caseload data'!M:M,'caseload data'!$C:$C,'custody %'!$B$15,'caseload data'!$D:$D,"PO",'caseload data'!$B:$B,"custody")/SUMIFS('caseload data'!M:M,'caseload data'!$B:$B,"custody",'caseload data'!$C:$C,'custody %'!$B$15),"")</f>
        <v/>
      </c>
      <c r="L17" s="167" t="str">
        <f>IFERROR(SUMIFS('caseload data'!N:N,'caseload data'!$C:$C,'custody %'!$B$15,'caseload data'!$D:$D,"PO",'caseload data'!$B:$B,"custody")/SUMIFS('caseload data'!N:N,'caseload data'!$B:$B,"custody",'caseload data'!$C:$C,'custody %'!$B$15),"")</f>
        <v/>
      </c>
      <c r="M17" s="167" t="str">
        <f>IFERROR(SUMIFS('caseload data'!O:O,'caseload data'!$C:$C,'custody %'!$B$15,'caseload data'!$D:$D,"PO",'caseload data'!$B:$B,"custody")/SUMIFS('caseload data'!O:O,'caseload data'!$B:$B,"custody",'caseload data'!$C:$C,'custody %'!$B$15),"")</f>
        <v/>
      </c>
      <c r="N17" s="167" t="str">
        <f>IFERROR(SUMIFS('caseload data'!P:P,'caseload data'!$C:$C,'custody %'!$B$15,'caseload data'!$D:$D,"PO",'caseload data'!$B:$B,"custody")/SUMIFS('caseload data'!P:P,'caseload data'!$B:$B,"custody",'caseload data'!$C:$C,'custody %'!$B$15),"")</f>
        <v/>
      </c>
      <c r="O17" s="167" t="str">
        <f>IFERROR(SUMIFS('caseload data'!Q:Q,'caseload data'!$C:$C,'custody %'!$B$15,'caseload data'!$D:$D,"PO",'caseload data'!$B:$B,"custody")/SUMIFS('caseload data'!Q:Q,'caseload data'!$B:$B,"custody",'caseload data'!$C:$C,'custody %'!$B$15),"")</f>
        <v/>
      </c>
      <c r="P17" s="167" t="str">
        <f>IFERROR(SUMIFS('caseload data'!R:R,'caseload data'!$C:$C,'custody %'!$B$15,'caseload data'!$D:$D,"PO",'caseload data'!$B:$B,"custody")/SUMIFS('caseload data'!R:R,'caseload data'!$B:$B,"custody",'caseload data'!$C:$C,'custody %'!$B$15),"")</f>
        <v/>
      </c>
      <c r="Q17" s="167" t="str">
        <f>IFERROR(SUMIFS('caseload data'!S:S,'caseload data'!$C:$C,'custody %'!$B$15,'caseload data'!$D:$D,"PO",'caseload data'!$B:$B,"custody")/SUMIFS('caseload data'!S:S,'caseload data'!$B:$B,"custody",'caseload data'!$C:$C,'custody %'!$B$15),"")</f>
        <v/>
      </c>
      <c r="R17" s="167" t="str">
        <f>IFERROR(SUMIFS('caseload data'!T:T,'caseload data'!$C:$C,'custody %'!$B$15,'caseload data'!$D:$D,"PO",'caseload data'!$B:$B,"custody")/SUMIFS('caseload data'!T:T,'caseload data'!$B:$B,"custody",'caseload data'!$C:$C,'custody %'!$B$15),"")</f>
        <v/>
      </c>
      <c r="S17" s="64"/>
      <c r="T17" s="96" t="s">
        <v>997</v>
      </c>
      <c r="U17" s="167" t="str">
        <f>IFERROR(SUMIFS('caseload data'!E:E,'caseload data'!$C:$C,'custody %'!$T$15,'caseload data'!$D:$D,"PO",'caseload data'!$B:$B,"custody")/SUMIFS('caseload data'!E:E,'caseload data'!$B:$B,"custody",'caseload data'!$C:$C,'custody %'!$T$15),"")</f>
        <v/>
      </c>
      <c r="V17" s="167" t="str">
        <f>IFERROR(SUMIFS('caseload data'!F:F,'caseload data'!$C:$C,'custody %'!$T$15,'caseload data'!$D:$D,"PO",'caseload data'!$B:$B,"custody")/SUMIFS('caseload data'!F:F,'caseload data'!$B:$B,"custody",'caseload data'!$C:$C,'custody %'!$T$15),"")</f>
        <v/>
      </c>
      <c r="W17" s="167" t="str">
        <f>IFERROR(SUMIFS('caseload data'!G:G,'caseload data'!$C:$C,'custody %'!$T$15,'caseload data'!$D:$D,"PO",'caseload data'!$B:$B,"custody")/SUMIFS('caseload data'!G:G,'caseload data'!$B:$B,"custody",'caseload data'!$C:$C,'custody %'!$T$15),"")</f>
        <v/>
      </c>
      <c r="X17" s="167" t="str">
        <f>IFERROR(SUMIFS('caseload data'!H:H,'caseload data'!$C:$C,'custody %'!$T$15,'caseload data'!$D:$D,"PO",'caseload data'!$B:$B,"custody")/SUMIFS('caseload data'!H:H,'caseload data'!$B:$B,"custody",'caseload data'!$C:$C,'custody %'!$T$15),"")</f>
        <v/>
      </c>
      <c r="Y17" s="167" t="str">
        <f>IFERROR(SUMIFS('caseload data'!I:I,'caseload data'!$C:$C,'custody %'!$T$15,'caseload data'!$D:$D,"PO",'caseload data'!$B:$B,"custody")/SUMIFS('caseload data'!I:I,'caseload data'!$B:$B,"custody",'caseload data'!$C:$C,'custody %'!$T$15),"")</f>
        <v/>
      </c>
      <c r="Z17" s="167" t="str">
        <f>IFERROR(SUMIFS('caseload data'!J:J,'caseload data'!$C:$C,'custody %'!$T$15,'caseload data'!$D:$D,"PO",'caseload data'!$B:$B,"custody")/SUMIFS('caseload data'!J:J,'caseload data'!$B:$B,"custody",'caseload data'!$C:$C,'custody %'!$T$15),"")</f>
        <v/>
      </c>
      <c r="AA17" s="167" t="str">
        <f>IFERROR(SUMIFS('caseload data'!K:K,'caseload data'!$C:$C,'custody %'!$T$15,'caseload data'!$D:$D,"PO",'caseload data'!$B:$B,"custody")/SUMIFS('caseload data'!K:K,'caseload data'!$B:$B,"custody",'caseload data'!$C:$C,'custody %'!$T$15),"")</f>
        <v/>
      </c>
      <c r="AB17" s="167" t="str">
        <f>IFERROR(SUMIFS('caseload data'!L:L,'caseload data'!$C:$C,'custody %'!$T$15,'caseload data'!$D:$D,"PO",'caseload data'!$B:$B,"custody")/SUMIFS('caseload data'!L:L,'caseload data'!$B:$B,"custody",'caseload data'!$C:$C,'custody %'!$T$15),"")</f>
        <v/>
      </c>
      <c r="AC17" s="167" t="str">
        <f>IFERROR(SUMIFS('caseload data'!M:M,'caseload data'!$C:$C,'custody %'!$T$15,'caseload data'!$D:$D,"PO",'caseload data'!$B:$B,"custody")/SUMIFS('caseload data'!M:M,'caseload data'!$B:$B,"custody",'caseload data'!$C:$C,'custody %'!$T$15),"")</f>
        <v/>
      </c>
      <c r="AD17" s="167" t="str">
        <f>IFERROR(SUMIFS('caseload data'!N:N,'caseload data'!$C:$C,'custody %'!$T$15,'caseload data'!$D:$D,"PO",'caseload data'!$B:$B,"custody")/SUMIFS('caseload data'!N:N,'caseload data'!$B:$B,"custody",'caseload data'!$C:$C,'custody %'!$T$15),"")</f>
        <v/>
      </c>
      <c r="AE17" s="167" t="str">
        <f>IFERROR(SUMIFS('caseload data'!O:O,'caseload data'!$C:$C,'custody %'!$T$15,'caseload data'!$D:$D,"PO",'caseload data'!$B:$B,"custody")/SUMIFS('caseload data'!O:O,'caseload data'!$B:$B,"custody",'caseload data'!$C:$C,'custody %'!$T$15),"")</f>
        <v/>
      </c>
      <c r="AF17" s="167" t="str">
        <f>IFERROR(SUMIFS('caseload data'!P:P,'caseload data'!$C:$C,'custody %'!$T$15,'caseload data'!$D:$D,"PO",'caseload data'!$B:$B,"custody")/SUMIFS('caseload data'!P:P,'caseload data'!$B:$B,"custody",'caseload data'!$C:$C,'custody %'!$T$15),"")</f>
        <v/>
      </c>
      <c r="AG17" s="167" t="str">
        <f>IFERROR(SUMIFS('caseload data'!Q:Q,'caseload data'!$C:$C,'custody %'!$T$15,'caseload data'!$D:$D,"PO",'caseload data'!$B:$B,"custody")/SUMIFS('caseload data'!Q:Q,'caseload data'!$B:$B,"custody",'caseload data'!$C:$C,'custody %'!$T$15),"")</f>
        <v/>
      </c>
      <c r="AH17" s="167" t="str">
        <f>IFERROR(SUMIFS('caseload data'!R:R,'caseload data'!$C:$C,'custody %'!$T$15,'caseload data'!$D:$D,"PO",'caseload data'!$B:$B,"custody")/SUMIFS('caseload data'!R:R,'caseload data'!$B:$B,"custody",'caseload data'!$C:$C,'custody %'!$T$15),"")</f>
        <v/>
      </c>
      <c r="AI17" s="167"/>
      <c r="AJ17" s="167"/>
    </row>
    <row r="18" spans="2:36" x14ac:dyDescent="0.15">
      <c r="B18" s="97" t="s">
        <v>1002</v>
      </c>
      <c r="C18" s="167" t="str">
        <f>IFERROR(SUMIFS('caseload data'!E:E,'caseload data'!$C:$C,'custody %'!$B$15,'caseload data'!$D:$D,"PSO",'caseload data'!$B:$B,"custody")/SUMIFS('caseload data'!E:E,'caseload data'!$B:$B,"custody",'caseload data'!$C:$C,'custody %'!$B$15),"")</f>
        <v/>
      </c>
      <c r="D18" s="167" t="str">
        <f>IFERROR(SUMIFS('caseload data'!F:F,'caseload data'!$C:$C,'custody %'!$B$15,'caseload data'!$D:$D,"PSO",'caseload data'!$B:$B,"custody")/SUMIFS('caseload data'!F:F,'caseload data'!$B:$B,"custody",'caseload data'!$C:$C,'custody %'!$B$15),"")</f>
        <v/>
      </c>
      <c r="E18" s="167" t="str">
        <f>IFERROR(SUMIFS('caseload data'!G:G,'caseload data'!$C:$C,'custody %'!$B$15,'caseload data'!$D:$D,"PSO",'caseload data'!$B:$B,"custody")/SUMIFS('caseload data'!G:G,'caseload data'!$B:$B,"custody",'caseload data'!$C:$C,'custody %'!$B$15),"")</f>
        <v/>
      </c>
      <c r="F18" s="167" t="str">
        <f>IFERROR(SUMIFS('caseload data'!H:H,'caseload data'!$C:$C,'custody %'!$B$15,'caseload data'!$D:$D,"PSO",'caseload data'!$B:$B,"custody")/SUMIFS('caseload data'!H:H,'caseload data'!$B:$B,"custody",'caseload data'!$C:$C,'custody %'!$B$15),"")</f>
        <v/>
      </c>
      <c r="G18" s="167" t="str">
        <f>IFERROR(SUMIFS('caseload data'!I:I,'caseload data'!$C:$C,'custody %'!$B$15,'caseload data'!$D:$D,"PSO",'caseload data'!$B:$B,"custody")/SUMIFS('caseload data'!I:I,'caseload data'!$B:$B,"custody",'caseload data'!$C:$C,'custody %'!$B$15),"")</f>
        <v/>
      </c>
      <c r="H18" s="167" t="str">
        <f>IFERROR(SUMIFS('caseload data'!J:J,'caseload data'!$C:$C,'custody %'!$B$15,'caseload data'!$D:$D,"PSO",'caseload data'!$B:$B,"custody")/SUMIFS('caseload data'!J:J,'caseload data'!$B:$B,"custody",'caseload data'!$C:$C,'custody %'!$B$15),"")</f>
        <v/>
      </c>
      <c r="I18" s="167" t="str">
        <f>IFERROR(SUMIFS('caseload data'!K:K,'caseload data'!$C:$C,'custody %'!$B$15,'caseload data'!$D:$D,"PSO",'caseload data'!$B:$B,"custody")/SUMIFS('caseload data'!K:K,'caseload data'!$B:$B,"custody",'caseload data'!$C:$C,'custody %'!$B$15),"")</f>
        <v/>
      </c>
      <c r="J18" s="167" t="str">
        <f>IFERROR(SUMIFS('caseload data'!L:L,'caseload data'!$C:$C,'custody %'!$B$15,'caseload data'!$D:$D,"PSO",'caseload data'!$B:$B,"custody")/SUMIFS('caseload data'!L:L,'caseload data'!$B:$B,"custody",'caseload data'!$C:$C,'custody %'!$B$15),"")</f>
        <v/>
      </c>
      <c r="K18" s="167" t="str">
        <f>IFERROR(SUMIFS('caseload data'!M:M,'caseload data'!$C:$C,'custody %'!$B$15,'caseload data'!$D:$D,"PSO",'caseload data'!$B:$B,"custody")/SUMIFS('caseload data'!M:M,'caseload data'!$B:$B,"custody",'caseload data'!$C:$C,'custody %'!$B$15),"")</f>
        <v/>
      </c>
      <c r="L18" s="167" t="str">
        <f>IFERROR(SUMIFS('caseload data'!N:N,'caseload data'!$C:$C,'custody %'!$B$15,'caseload data'!$D:$D,"PSO",'caseload data'!$B:$B,"custody")/SUMIFS('caseload data'!N:N,'caseload data'!$B:$B,"custody",'caseload data'!$C:$C,'custody %'!$B$15),"")</f>
        <v/>
      </c>
      <c r="M18" s="167" t="str">
        <f>IFERROR(SUMIFS('caseload data'!O:O,'caseload data'!$C:$C,'custody %'!$B$15,'caseload data'!$D:$D,"PSO",'caseload data'!$B:$B,"custody")/SUMIFS('caseload data'!O:O,'caseload data'!$B:$B,"custody",'caseload data'!$C:$C,'custody %'!$B$15),"")</f>
        <v/>
      </c>
      <c r="N18" s="167" t="str">
        <f>IFERROR(SUMIFS('caseload data'!P:P,'caseload data'!$C:$C,'custody %'!$B$15,'caseload data'!$D:$D,"PSO",'caseload data'!$B:$B,"custody")/SUMIFS('caseload data'!P:P,'caseload data'!$B:$B,"custody",'caseload data'!$C:$C,'custody %'!$B$15),"")</f>
        <v/>
      </c>
      <c r="O18" s="167" t="str">
        <f>IFERROR(SUMIFS('caseload data'!Q:Q,'caseload data'!$C:$C,'custody %'!$B$15,'caseload data'!$D:$D,"PSO",'caseload data'!$B:$B,"custody")/SUMIFS('caseload data'!Q:Q,'caseload data'!$B:$B,"custody",'caseload data'!$C:$C,'custody %'!$B$15),"")</f>
        <v/>
      </c>
      <c r="P18" s="167" t="str">
        <f>IFERROR(SUMIFS('caseload data'!R:R,'caseload data'!$C:$C,'custody %'!$B$15,'caseload data'!$D:$D,"PSO",'caseload data'!$B:$B,"custody")/SUMIFS('caseload data'!R:R,'caseload data'!$B:$B,"custody",'caseload data'!$C:$C,'custody %'!$B$15),"")</f>
        <v/>
      </c>
      <c r="Q18" s="167" t="str">
        <f>IFERROR(SUMIFS('caseload data'!S:S,'caseload data'!$C:$C,'custody %'!$B$15,'caseload data'!$D:$D,"PSO",'caseload data'!$B:$B,"custody")/SUMIFS('caseload data'!S:S,'caseload data'!$B:$B,"custody",'caseload data'!$C:$C,'custody %'!$B$15),"")</f>
        <v/>
      </c>
      <c r="R18" s="167" t="str">
        <f>IFERROR(SUMIFS('caseload data'!T:T,'caseload data'!$C:$C,'custody %'!$B$15,'caseload data'!$D:$D,"PSO",'caseload data'!$B:$B,"custody")/SUMIFS('caseload data'!T:T,'caseload data'!$B:$B,"custody",'caseload data'!$C:$C,'custody %'!$B$15),"")</f>
        <v/>
      </c>
      <c r="S18" s="64"/>
      <c r="T18" s="97" t="s">
        <v>1002</v>
      </c>
      <c r="U18" s="167" t="str">
        <f>IFERROR(SUMIFS('caseload data'!E:E,'caseload data'!$C:$C,'custody %'!$T$15,'caseload data'!$D:$D,"PSO",'caseload data'!$B:$B,"custody")/SUMIFS('caseload data'!E:E,'caseload data'!$B:$B,"custody",'caseload data'!$C:$C,'custody %'!$T$15),"")</f>
        <v/>
      </c>
      <c r="V18" s="167" t="str">
        <f>IFERROR(SUMIFS('caseload data'!F:F,'caseload data'!$C:$C,'custody %'!$T$15,'caseload data'!$D:$D,"PSO",'caseload data'!$B:$B,"custody")/SUMIFS('caseload data'!F:F,'caseload data'!$B:$B,"custody",'caseload data'!$C:$C,'custody %'!$T$15),"")</f>
        <v/>
      </c>
      <c r="W18" s="167" t="str">
        <f>IFERROR(SUMIFS('caseload data'!G:G,'caseload data'!$C:$C,'custody %'!$T$15,'caseload data'!$D:$D,"PSO",'caseload data'!$B:$B,"custody")/SUMIFS('caseload data'!G:G,'caseload data'!$B:$B,"custody",'caseload data'!$C:$C,'custody %'!$T$15),"")</f>
        <v/>
      </c>
      <c r="X18" s="167" t="str">
        <f>IFERROR(SUMIFS('caseload data'!H:H,'caseload data'!$C:$C,'custody %'!$T$15,'caseload data'!$D:$D,"PSO",'caseload data'!$B:$B,"custody")/SUMIFS('caseload data'!H:H,'caseload data'!$B:$B,"custody",'caseload data'!$C:$C,'custody %'!$T$15),"")</f>
        <v/>
      </c>
      <c r="Y18" s="167" t="str">
        <f>IFERROR(SUMIFS('caseload data'!I:I,'caseload data'!$C:$C,'custody %'!$T$15,'caseload data'!$D:$D,"PSO",'caseload data'!$B:$B,"custody")/SUMIFS('caseload data'!I:I,'caseload data'!$B:$B,"custody",'caseload data'!$C:$C,'custody %'!$T$15),"")</f>
        <v/>
      </c>
      <c r="Z18" s="167" t="str">
        <f>IFERROR(SUMIFS('caseload data'!J:J,'caseload data'!$C:$C,'custody %'!$T$15,'caseload data'!$D:$D,"PSO",'caseload data'!$B:$B,"custody")/SUMIFS('caseload data'!J:J,'caseload data'!$B:$B,"custody",'caseload data'!$C:$C,'custody %'!$T$15),"")</f>
        <v/>
      </c>
      <c r="AA18" s="167" t="str">
        <f>IFERROR(SUMIFS('caseload data'!K:K,'caseload data'!$C:$C,'custody %'!$T$15,'caseload data'!$D:$D,"PSO",'caseload data'!$B:$B,"custody")/SUMIFS('caseload data'!K:K,'caseload data'!$B:$B,"custody",'caseload data'!$C:$C,'custody %'!$T$15),"")</f>
        <v/>
      </c>
      <c r="AB18" s="167" t="str">
        <f>IFERROR(SUMIFS('caseload data'!L:L,'caseload data'!$C:$C,'custody %'!$T$15,'caseload data'!$D:$D,"PSO",'caseload data'!$B:$B,"custody")/SUMIFS('caseload data'!L:L,'caseload data'!$B:$B,"custody",'caseload data'!$C:$C,'custody %'!$T$15),"")</f>
        <v/>
      </c>
      <c r="AC18" s="167" t="str">
        <f>IFERROR(SUMIFS('caseload data'!M:M,'caseload data'!$C:$C,'custody %'!$T$15,'caseload data'!$D:$D,"PSO",'caseload data'!$B:$B,"custody")/SUMIFS('caseload data'!M:M,'caseload data'!$B:$B,"custody",'caseload data'!$C:$C,'custody %'!$T$15),"")</f>
        <v/>
      </c>
      <c r="AD18" s="167" t="str">
        <f>IFERROR(SUMIFS('caseload data'!N:N,'caseload data'!$C:$C,'custody %'!$T$15,'caseload data'!$D:$D,"PSO",'caseload data'!$B:$B,"custody")/SUMIFS('caseload data'!N:N,'caseload data'!$B:$B,"custody",'caseload data'!$C:$C,'custody %'!$T$15),"")</f>
        <v/>
      </c>
      <c r="AE18" s="167" t="str">
        <f>IFERROR(SUMIFS('caseload data'!O:O,'caseload data'!$C:$C,'custody %'!$T$15,'caseload data'!$D:$D,"PSO",'caseload data'!$B:$B,"custody")/SUMIFS('caseload data'!O:O,'caseload data'!$B:$B,"custody",'caseload data'!$C:$C,'custody %'!$T$15),"")</f>
        <v/>
      </c>
      <c r="AF18" s="167" t="str">
        <f>IFERROR(SUMIFS('caseload data'!P:P,'caseload data'!$C:$C,'custody %'!$T$15,'caseload data'!$D:$D,"PSO",'caseload data'!$B:$B,"custody")/SUMIFS('caseload data'!P:P,'caseload data'!$B:$B,"custody",'caseload data'!$C:$C,'custody %'!$T$15),"")</f>
        <v/>
      </c>
      <c r="AG18" s="167" t="str">
        <f>IFERROR(SUMIFS('caseload data'!Q:Q,'caseload data'!$C:$C,'custody %'!$T$15,'caseload data'!$D:$D,"PSO",'caseload data'!$B:$B,"custody")/SUMIFS('caseload data'!Q:Q,'caseload data'!$B:$B,"custody",'caseload data'!$C:$C,'custody %'!$T$15),"")</f>
        <v/>
      </c>
      <c r="AH18" s="167" t="str">
        <f>IFERROR(SUMIFS('caseload data'!R:R,'caseload data'!$C:$C,'custody %'!$T$15,'caseload data'!$D:$D,"PSO",'caseload data'!$B:$B,"custody")/SUMIFS('caseload data'!R:R,'caseload data'!$B:$B,"custody",'caseload data'!$C:$C,'custody %'!$T$15),"")</f>
        <v/>
      </c>
      <c r="AI18" s="167"/>
      <c r="AJ18" s="167"/>
    </row>
    <row r="19" spans="2:36" x14ac:dyDescent="0.15">
      <c r="B19" s="97" t="s">
        <v>1003</v>
      </c>
      <c r="C19" s="167" t="str">
        <f>IFERROR(SUMIFS('caseload data'!E:E,'caseload data'!$C:$C,'custody %'!$B$15,'caseload data'!$D:$D,"TPO",'caseload data'!$B:$B,"custody")/SUMIFS('caseload data'!E:E,'caseload data'!$B:$B,"custody",'caseload data'!$C:$C,'custody %'!$B$15),"")</f>
        <v/>
      </c>
      <c r="D19" s="167" t="str">
        <f>IFERROR(SUMIFS('caseload data'!F:F,'caseload data'!$C:$C,'custody %'!$B$15,'caseload data'!$D:$D,"TPO",'caseload data'!$B:$B,"custody")/SUMIFS('caseload data'!F:F,'caseload data'!$B:$B,"custody",'caseload data'!$C:$C,'custody %'!$B$15),"")</f>
        <v/>
      </c>
      <c r="E19" s="167" t="str">
        <f>IFERROR(SUMIFS('caseload data'!G:G,'caseload data'!$C:$C,'custody %'!$B$15,'caseload data'!$D:$D,"TPO",'caseload data'!$B:$B,"custody")/SUMIFS('caseload data'!G:G,'caseload data'!$B:$B,"custody",'caseload data'!$C:$C,'custody %'!$B$15),"")</f>
        <v/>
      </c>
      <c r="F19" s="167" t="str">
        <f>IFERROR(SUMIFS('caseload data'!H:H,'caseload data'!$C:$C,'custody %'!$B$15,'caseload data'!$D:$D,"TPO",'caseload data'!$B:$B,"custody")/SUMIFS('caseload data'!H:H,'caseload data'!$B:$B,"custody",'caseload data'!$C:$C,'custody %'!$B$15),"")</f>
        <v/>
      </c>
      <c r="G19" s="167" t="str">
        <f>IFERROR(SUMIFS('caseload data'!I:I,'caseload data'!$C:$C,'custody %'!$B$15,'caseload data'!$D:$D,"TPO",'caseload data'!$B:$B,"custody")/SUMIFS('caseload data'!I:I,'caseload data'!$B:$B,"custody",'caseload data'!$C:$C,'custody %'!$B$15),"")</f>
        <v/>
      </c>
      <c r="H19" s="167" t="str">
        <f>IFERROR(SUMIFS('caseload data'!J:J,'caseload data'!$C:$C,'custody %'!$B$15,'caseload data'!$D:$D,"TPO",'caseload data'!$B:$B,"custody")/SUMIFS('caseload data'!J:J,'caseload data'!$B:$B,"custody",'caseload data'!$C:$C,'custody %'!$B$15),"")</f>
        <v/>
      </c>
      <c r="I19" s="167" t="str">
        <f>IFERROR(SUMIFS('caseload data'!K:K,'caseload data'!$C:$C,'custody %'!$B$15,'caseload data'!$D:$D,"TPO",'caseload data'!$B:$B,"custody")/SUMIFS('caseload data'!K:K,'caseload data'!$B:$B,"custody",'caseload data'!$C:$C,'custody %'!$B$15),"")</f>
        <v/>
      </c>
      <c r="J19" s="167" t="str">
        <f>IFERROR(SUMIFS('caseload data'!L:L,'caseload data'!$C:$C,'custody %'!$B$15,'caseload data'!$D:$D,"TPO",'caseload data'!$B:$B,"custody")/SUMIFS('caseload data'!L:L,'caseload data'!$B:$B,"custody",'caseload data'!$C:$C,'custody %'!$B$15),"")</f>
        <v/>
      </c>
      <c r="K19" s="167" t="str">
        <f>IFERROR(SUMIFS('caseload data'!M:M,'caseload data'!$C:$C,'custody %'!$B$15,'caseload data'!$D:$D,"TPO",'caseload data'!$B:$B,"custody")/SUMIFS('caseload data'!M:M,'caseload data'!$B:$B,"custody",'caseload data'!$C:$C,'custody %'!$B$15),"")</f>
        <v/>
      </c>
      <c r="L19" s="167" t="str">
        <f>IFERROR(SUMIFS('caseload data'!N:N,'caseload data'!$C:$C,'custody %'!$B$15,'caseload data'!$D:$D,"TPO",'caseload data'!$B:$B,"custody")/SUMIFS('caseload data'!N:N,'caseload data'!$B:$B,"custody",'caseload data'!$C:$C,'custody %'!$B$15),"")</f>
        <v/>
      </c>
      <c r="M19" s="167" t="str">
        <f>IFERROR(SUMIFS('caseload data'!O:O,'caseload data'!$C:$C,'custody %'!$B$15,'caseload data'!$D:$D,"TPO",'caseload data'!$B:$B,"custody")/SUMIFS('caseload data'!O:O,'caseload data'!$B:$B,"custody",'caseload data'!$C:$C,'custody %'!$B$15),"")</f>
        <v/>
      </c>
      <c r="N19" s="167" t="str">
        <f>IFERROR(SUMIFS('caseload data'!P:P,'caseload data'!$C:$C,'custody %'!$B$15,'caseload data'!$D:$D,"TPO",'caseload data'!$B:$B,"custody")/SUMIFS('caseload data'!P:P,'caseload data'!$B:$B,"custody",'caseload data'!$C:$C,'custody %'!$B$15),"")</f>
        <v/>
      </c>
      <c r="O19" s="167" t="str">
        <f>IFERROR(SUMIFS('caseload data'!Q:Q,'caseload data'!$C:$C,'custody %'!$B$15,'caseload data'!$D:$D,"TPO",'caseload data'!$B:$B,"custody")/SUMIFS('caseload data'!Q:Q,'caseload data'!$B:$B,"custody",'caseload data'!$C:$C,'custody %'!$B$15),"")</f>
        <v/>
      </c>
      <c r="P19" s="167" t="str">
        <f>IFERROR(SUMIFS('caseload data'!R:R,'caseload data'!$C:$C,'custody %'!$B$15,'caseload data'!$D:$D,"TPO",'caseload data'!$B:$B,"custody")/SUMIFS('caseload data'!R:R,'caseload data'!$B:$B,"custody",'caseload data'!$C:$C,'custody %'!$B$15),"")</f>
        <v/>
      </c>
      <c r="Q19" s="167" t="str">
        <f>IFERROR(SUMIFS('caseload data'!S:S,'caseload data'!$C:$C,'custody %'!$B$15,'caseload data'!$D:$D,"TPO",'caseload data'!$B:$B,"custody")/SUMIFS('caseload data'!S:S,'caseload data'!$B:$B,"custody",'caseload data'!$C:$C,'custody %'!$B$15),"")</f>
        <v/>
      </c>
      <c r="R19" s="167" t="str">
        <f>IFERROR(SUMIFS('caseload data'!T:T,'caseload data'!$C:$C,'custody %'!$B$15,'caseload data'!$D:$D,"TPO",'caseload data'!$B:$B,"custody")/SUMIFS('caseload data'!T:T,'caseload data'!$B:$B,"custody",'caseload data'!$C:$C,'custody %'!$B$15),"")</f>
        <v/>
      </c>
      <c r="S19" s="64"/>
      <c r="T19" s="97" t="s">
        <v>1003</v>
      </c>
      <c r="U19" s="167" t="str">
        <f>IFERROR(SUMIFS('caseload data'!E:E,'caseload data'!$C:$C,'custody %'!$T$15,'caseload data'!$D:$D,"TPO",'caseload data'!$B:$B,"custody")/SUMIFS('caseload data'!E:E,'caseload data'!$B:$B,"custody",'caseload data'!$C:$C,'custody %'!$T$15),"")</f>
        <v/>
      </c>
      <c r="V19" s="167" t="str">
        <f>IFERROR(SUMIFS('caseload data'!F:F,'caseload data'!$C:$C,'custody %'!$T$15,'caseload data'!$D:$D,"TPO",'caseload data'!$B:$B,"custody")/SUMIFS('caseload data'!F:F,'caseload data'!$B:$B,"custody",'caseload data'!$C:$C,'custody %'!$T$15),"")</f>
        <v/>
      </c>
      <c r="W19" s="167" t="str">
        <f>IFERROR(SUMIFS('caseload data'!G:G,'caseload data'!$C:$C,'custody %'!$T$15,'caseload data'!$D:$D,"TPO",'caseload data'!$B:$B,"custody")/SUMIFS('caseload data'!G:G,'caseload data'!$B:$B,"custody",'caseload data'!$C:$C,'custody %'!$T$15),"")</f>
        <v/>
      </c>
      <c r="X19" s="167" t="str">
        <f>IFERROR(SUMIFS('caseload data'!H:H,'caseload data'!$C:$C,'custody %'!$T$15,'caseload data'!$D:$D,"TPO",'caseload data'!$B:$B,"custody")/SUMIFS('caseload data'!H:H,'caseload data'!$B:$B,"custody",'caseload data'!$C:$C,'custody %'!$T$15),"")</f>
        <v/>
      </c>
      <c r="Y19" s="167" t="str">
        <f>IFERROR(SUMIFS('caseload data'!I:I,'caseload data'!$C:$C,'custody %'!$T$15,'caseload data'!$D:$D,"TPO",'caseload data'!$B:$B,"custody")/SUMIFS('caseload data'!I:I,'caseload data'!$B:$B,"custody",'caseload data'!$C:$C,'custody %'!$T$15),"")</f>
        <v/>
      </c>
      <c r="Z19" s="167" t="str">
        <f>IFERROR(SUMIFS('caseload data'!J:J,'caseload data'!$C:$C,'custody %'!$T$15,'caseload data'!$D:$D,"TPO",'caseload data'!$B:$B,"custody")/SUMIFS('caseload data'!J:J,'caseload data'!$B:$B,"custody",'caseload data'!$C:$C,'custody %'!$T$15),"")</f>
        <v/>
      </c>
      <c r="AA19" s="167" t="str">
        <f>IFERROR(SUMIFS('caseload data'!K:K,'caseload data'!$C:$C,'custody %'!$T$15,'caseload data'!$D:$D,"TPO",'caseload data'!$B:$B,"custody")/SUMIFS('caseload data'!K:K,'caseload data'!$B:$B,"custody",'caseload data'!$C:$C,'custody %'!$T$15),"")</f>
        <v/>
      </c>
      <c r="AB19" s="167" t="str">
        <f>IFERROR(SUMIFS('caseload data'!L:L,'caseload data'!$C:$C,'custody %'!$T$15,'caseload data'!$D:$D,"TPO",'caseload data'!$B:$B,"custody")/SUMIFS('caseload data'!L:L,'caseload data'!$B:$B,"custody",'caseload data'!$C:$C,'custody %'!$T$15),"")</f>
        <v/>
      </c>
      <c r="AC19" s="167" t="str">
        <f>IFERROR(SUMIFS('caseload data'!M:M,'caseload data'!$C:$C,'custody %'!$T$15,'caseload data'!$D:$D,"TPO",'caseload data'!$B:$B,"custody")/SUMIFS('caseload data'!M:M,'caseload data'!$B:$B,"custody",'caseload data'!$C:$C,'custody %'!$T$15),"")</f>
        <v/>
      </c>
      <c r="AD19" s="167" t="str">
        <f>IFERROR(SUMIFS('caseload data'!N:N,'caseload data'!$C:$C,'custody %'!$T$15,'caseload data'!$D:$D,"TPO",'caseload data'!$B:$B,"custody")/SUMIFS('caseload data'!N:N,'caseload data'!$B:$B,"custody",'caseload data'!$C:$C,'custody %'!$T$15),"")</f>
        <v/>
      </c>
      <c r="AE19" s="167" t="str">
        <f>IFERROR(SUMIFS('caseload data'!O:O,'caseload data'!$C:$C,'custody %'!$T$15,'caseload data'!$D:$D,"TPO",'caseload data'!$B:$B,"custody")/SUMIFS('caseload data'!O:O,'caseload data'!$B:$B,"custody",'caseload data'!$C:$C,'custody %'!$T$15),"")</f>
        <v/>
      </c>
      <c r="AF19" s="167" t="str">
        <f>IFERROR(SUMIFS('caseload data'!P:P,'caseload data'!$C:$C,'custody %'!$T$15,'caseload data'!$D:$D,"TPO",'caseload data'!$B:$B,"custody")/SUMIFS('caseload data'!P:P,'caseload data'!$B:$B,"custody",'caseload data'!$C:$C,'custody %'!$T$15),"")</f>
        <v/>
      </c>
      <c r="AG19" s="167" t="str">
        <f>IFERROR(SUMIFS('caseload data'!Q:Q,'caseload data'!$C:$C,'custody %'!$T$15,'caseload data'!$D:$D,"TPO",'caseload data'!$B:$B,"custody")/SUMIFS('caseload data'!Q:Q,'caseload data'!$B:$B,"custody",'caseload data'!$C:$C,'custody %'!$T$15),"")</f>
        <v/>
      </c>
      <c r="AH19" s="167" t="str">
        <f>IFERROR(SUMIFS('caseload data'!R:R,'caseload data'!$C:$C,'custody %'!$T$15,'caseload data'!$D:$D,"TPO",'caseload data'!$B:$B,"custody")/SUMIFS('caseload data'!R:R,'caseload data'!$B:$B,"custody",'caseload data'!$C:$C,'custody %'!$T$15),"")</f>
        <v/>
      </c>
      <c r="AI19" s="167"/>
      <c r="AJ19" s="167"/>
    </row>
    <row r="20" spans="2:36" x14ac:dyDescent="0.15">
      <c r="B20" s="98" t="s">
        <v>1004</v>
      </c>
      <c r="C20" s="167" t="str">
        <f>IFERROR(SUMIFS('caseload data'!E:E,'caseload data'!$C:$C,'custody %'!$B$15,'caseload data'!$D:$D,"SPO",'caseload data'!$B:$B,"custody")/SUMIFS('caseload data'!E:E,'caseload data'!$B:$B,"custody",'caseload data'!$C:$C,'custody %'!$B$15),"")</f>
        <v/>
      </c>
      <c r="D20" s="167" t="str">
        <f>IFERROR(SUMIFS('caseload data'!F:F,'caseload data'!$C:$C,'custody %'!$B$15,'caseload data'!$D:$D,"SPO",'caseload data'!$B:$B,"custody")/SUMIFS('caseload data'!F:F,'caseload data'!$B:$B,"custody",'caseload data'!$C:$C,'custody %'!$B$15),"")</f>
        <v/>
      </c>
      <c r="E20" s="167" t="str">
        <f>IFERROR(SUMIFS('caseload data'!G:G,'caseload data'!$C:$C,'custody %'!$B$15,'caseload data'!$D:$D,"SPO",'caseload data'!$B:$B,"custody")/SUMIFS('caseload data'!G:G,'caseload data'!$B:$B,"custody",'caseload data'!$C:$C,'custody %'!$B$15),"")</f>
        <v/>
      </c>
      <c r="F20" s="167" t="str">
        <f>IFERROR(SUMIFS('caseload data'!H:H,'caseload data'!$C:$C,'custody %'!$B$15,'caseload data'!$D:$D,"SPO",'caseload data'!$B:$B,"custody")/SUMIFS('caseload data'!H:H,'caseload data'!$B:$B,"custody",'caseload data'!$C:$C,'custody %'!$B$15),"")</f>
        <v/>
      </c>
      <c r="G20" s="167" t="str">
        <f>IFERROR(SUMIFS('caseload data'!I:I,'caseload data'!$C:$C,'custody %'!$B$15,'caseload data'!$D:$D,"SPO",'caseload data'!$B:$B,"custody")/SUMIFS('caseload data'!I:I,'caseload data'!$B:$B,"custody",'caseload data'!$C:$C,'custody %'!$B$15),"")</f>
        <v/>
      </c>
      <c r="H20" s="167" t="str">
        <f>IFERROR(SUMIFS('caseload data'!J:J,'caseload data'!$C:$C,'custody %'!$B$15,'caseload data'!$D:$D,"SPO",'caseload data'!$B:$B,"custody")/SUMIFS('caseload data'!J:J,'caseload data'!$B:$B,"custody",'caseload data'!$C:$C,'custody %'!$B$15),"")</f>
        <v/>
      </c>
      <c r="I20" s="167" t="str">
        <f>IFERROR(SUMIFS('caseload data'!K:K,'caseload data'!$C:$C,'custody %'!$B$15,'caseload data'!$D:$D,"SPO",'caseload data'!$B:$B,"custody")/SUMIFS('caseload data'!K:K,'caseload data'!$B:$B,"custody",'caseload data'!$C:$C,'custody %'!$B$15),"")</f>
        <v/>
      </c>
      <c r="J20" s="167" t="str">
        <f>IFERROR(SUMIFS('caseload data'!L:L,'caseload data'!$C:$C,'custody %'!$B$15,'caseload data'!$D:$D,"SPO",'caseload data'!$B:$B,"custody")/SUMIFS('caseload data'!L:L,'caseload data'!$B:$B,"custody",'caseload data'!$C:$C,'custody %'!$B$15),"")</f>
        <v/>
      </c>
      <c r="K20" s="167" t="str">
        <f>IFERROR(SUMIFS('caseload data'!M:M,'caseload data'!$C:$C,'custody %'!$B$15,'caseload data'!$D:$D,"SPO",'caseload data'!$B:$B,"custody")/SUMIFS('caseload data'!M:M,'caseload data'!$B:$B,"custody",'caseload data'!$C:$C,'custody %'!$B$15),"")</f>
        <v/>
      </c>
      <c r="L20" s="167" t="str">
        <f>IFERROR(SUMIFS('caseload data'!N:N,'caseload data'!$C:$C,'custody %'!$B$15,'caseload data'!$D:$D,"SPO",'caseload data'!$B:$B,"custody")/SUMIFS('caseload data'!N:N,'caseload data'!$B:$B,"custody",'caseload data'!$C:$C,'custody %'!$B$15),"")</f>
        <v/>
      </c>
      <c r="M20" s="167" t="str">
        <f>IFERROR(SUMIFS('caseload data'!O:O,'caseload data'!$C:$C,'custody %'!$B$15,'caseload data'!$D:$D,"SPO",'caseload data'!$B:$B,"custody")/SUMIFS('caseload data'!O:O,'caseload data'!$B:$B,"custody",'caseload data'!$C:$C,'custody %'!$B$15),"")</f>
        <v/>
      </c>
      <c r="N20" s="167" t="str">
        <f>IFERROR(SUMIFS('caseload data'!P:P,'caseload data'!$C:$C,'custody %'!$B$15,'caseload data'!$D:$D,"SPO",'caseload data'!$B:$B,"custody")/SUMIFS('caseload data'!P:P,'caseload data'!$B:$B,"custody",'caseload data'!$C:$C,'custody %'!$B$15),"")</f>
        <v/>
      </c>
      <c r="O20" s="167" t="str">
        <f>IFERROR(SUMIFS('caseload data'!Q:Q,'caseload data'!$C:$C,'custody %'!$B$15,'caseload data'!$D:$D,"SPO",'caseload data'!$B:$B,"custody")/SUMIFS('caseload data'!Q:Q,'caseload data'!$B:$B,"custody",'caseload data'!$C:$C,'custody %'!$B$15),"")</f>
        <v/>
      </c>
      <c r="P20" s="167" t="str">
        <f>IFERROR(SUMIFS('caseload data'!R:R,'caseload data'!$C:$C,'custody %'!$B$15,'caseload data'!$D:$D,"SPO",'caseload data'!$B:$B,"custody")/SUMIFS('caseload data'!R:R,'caseload data'!$B:$B,"custody",'caseload data'!$C:$C,'custody %'!$B$15),"")</f>
        <v/>
      </c>
      <c r="Q20" s="167" t="str">
        <f>IFERROR(SUMIFS('caseload data'!S:S,'caseload data'!$C:$C,'custody %'!$B$15,'caseload data'!$D:$D,"SPO",'caseload data'!$B:$B,"custody")/SUMIFS('caseload data'!S:S,'caseload data'!$B:$B,"custody",'caseload data'!$C:$C,'custody %'!$B$15),"")</f>
        <v/>
      </c>
      <c r="R20" s="167" t="str">
        <f>IFERROR(SUMIFS('caseload data'!T:T,'caseload data'!$C:$C,'custody %'!$B$15,'caseload data'!$D:$D,"SPO",'caseload data'!$B:$B,"custody")/SUMIFS('caseload data'!T:T,'caseload data'!$B:$B,"custody",'caseload data'!$C:$C,'custody %'!$B$15),"")</f>
        <v/>
      </c>
      <c r="S20" s="64"/>
      <c r="T20" s="98" t="s">
        <v>1004</v>
      </c>
      <c r="U20" s="167" t="str">
        <f>IFERROR(SUMIFS('caseload data'!E:E,'caseload data'!$C:$C,'custody %'!$T$15,'caseload data'!$D:$D,"SPO",'caseload data'!$B:$B,"custody")/SUMIFS('caseload data'!E:E,'caseload data'!$B:$B,"custody",'caseload data'!$C:$C,'custody %'!$T$15),"")</f>
        <v/>
      </c>
      <c r="V20" s="167" t="str">
        <f>IFERROR(SUMIFS('caseload data'!F:F,'caseload data'!$C:$C,'custody %'!$T$15,'caseload data'!$D:$D,"SPO",'caseload data'!$B:$B,"custody")/SUMIFS('caseload data'!F:F,'caseload data'!$B:$B,"custody",'caseload data'!$C:$C,'custody %'!$T$15),"")</f>
        <v/>
      </c>
      <c r="W20" s="167" t="str">
        <f>IFERROR(SUMIFS('caseload data'!G:G,'caseload data'!$C:$C,'custody %'!$T$15,'caseload data'!$D:$D,"SPO",'caseload data'!$B:$B,"custody")/SUMIFS('caseload data'!G:G,'caseload data'!$B:$B,"custody",'caseload data'!$C:$C,'custody %'!$T$15),"")</f>
        <v/>
      </c>
      <c r="X20" s="167" t="str">
        <f>IFERROR(SUMIFS('caseload data'!H:H,'caseload data'!$C:$C,'custody %'!$T$15,'caseload data'!$D:$D,"SPO",'caseload data'!$B:$B,"custody")/SUMIFS('caseload data'!H:H,'caseload data'!$B:$B,"custody",'caseload data'!$C:$C,'custody %'!$T$15),"")</f>
        <v/>
      </c>
      <c r="Y20" s="167" t="str">
        <f>IFERROR(SUMIFS('caseload data'!I:I,'caseload data'!$C:$C,'custody %'!$T$15,'caseload data'!$D:$D,"SPO",'caseload data'!$B:$B,"custody")/SUMIFS('caseload data'!I:I,'caseload data'!$B:$B,"custody",'caseload data'!$C:$C,'custody %'!$T$15),"")</f>
        <v/>
      </c>
      <c r="Z20" s="167" t="str">
        <f>IFERROR(SUMIFS('caseload data'!J:J,'caseload data'!$C:$C,'custody %'!$T$15,'caseload data'!$D:$D,"SPO",'caseload data'!$B:$B,"custody")/SUMIFS('caseload data'!J:J,'caseload data'!$B:$B,"custody",'caseload data'!$C:$C,'custody %'!$T$15),"")</f>
        <v/>
      </c>
      <c r="AA20" s="167" t="str">
        <f>IFERROR(SUMIFS('caseload data'!K:K,'caseload data'!$C:$C,'custody %'!$T$15,'caseload data'!$D:$D,"SPO",'caseload data'!$B:$B,"custody")/SUMIFS('caseload data'!K:K,'caseload data'!$B:$B,"custody",'caseload data'!$C:$C,'custody %'!$T$15),"")</f>
        <v/>
      </c>
      <c r="AB20" s="167" t="str">
        <f>IFERROR(SUMIFS('caseload data'!L:L,'caseload data'!$C:$C,'custody %'!$T$15,'caseload data'!$D:$D,"SPO",'caseload data'!$B:$B,"custody")/SUMIFS('caseload data'!L:L,'caseload data'!$B:$B,"custody",'caseload data'!$C:$C,'custody %'!$T$15),"")</f>
        <v/>
      </c>
      <c r="AC20" s="167" t="str">
        <f>IFERROR(SUMIFS('caseload data'!M:M,'caseload data'!$C:$C,'custody %'!$T$15,'caseload data'!$D:$D,"SPO",'caseload data'!$B:$B,"custody")/SUMIFS('caseload data'!M:M,'caseload data'!$B:$B,"custody",'caseload data'!$C:$C,'custody %'!$T$15),"")</f>
        <v/>
      </c>
      <c r="AD20" s="167" t="str">
        <f>IFERROR(SUMIFS('caseload data'!N:N,'caseload data'!$C:$C,'custody %'!$T$15,'caseload data'!$D:$D,"SPO",'caseload data'!$B:$B,"custody")/SUMIFS('caseload data'!N:N,'caseload data'!$B:$B,"custody",'caseload data'!$C:$C,'custody %'!$T$15),"")</f>
        <v/>
      </c>
      <c r="AE20" s="167" t="str">
        <f>IFERROR(SUMIFS('caseload data'!O:O,'caseload data'!$C:$C,'custody %'!$T$15,'caseload data'!$D:$D,"SPO",'caseload data'!$B:$B,"custody")/SUMIFS('caseload data'!O:O,'caseload data'!$B:$B,"custody",'caseload data'!$C:$C,'custody %'!$T$15),"")</f>
        <v/>
      </c>
      <c r="AF20" s="167" t="str">
        <f>IFERROR(SUMIFS('caseload data'!P:P,'caseload data'!$C:$C,'custody %'!$T$15,'caseload data'!$D:$D,"SPO",'caseload data'!$B:$B,"custody")/SUMIFS('caseload data'!P:P,'caseload data'!$B:$B,"custody",'caseload data'!$C:$C,'custody %'!$T$15),"")</f>
        <v/>
      </c>
      <c r="AG20" s="167" t="str">
        <f>IFERROR(SUMIFS('caseload data'!Q:Q,'caseload data'!$C:$C,'custody %'!$T$15,'caseload data'!$D:$D,"SPO",'caseload data'!$B:$B,"custody")/SUMIFS('caseload data'!Q:Q,'caseload data'!$B:$B,"custody",'caseload data'!$C:$C,'custody %'!$T$15),"")</f>
        <v/>
      </c>
      <c r="AH20" s="167" t="str">
        <f>IFERROR(SUMIFS('caseload data'!R:R,'caseload data'!$C:$C,'custody %'!$T$15,'caseload data'!$D:$D,"SPO",'caseload data'!$B:$B,"custody")/SUMIFS('caseload data'!R:R,'caseload data'!$B:$B,"custody",'caseload data'!$C:$C,'custody %'!$T$15),"")</f>
        <v/>
      </c>
      <c r="AI20" s="167"/>
      <c r="AJ20" s="167"/>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row>
    <row r="22" spans="2:36" ht="30.75" customHeight="1" x14ac:dyDescent="0.15">
      <c r="B22" s="289" t="str">
        <f>HLOOKUP($B$5,Region_Table,6,0)</f>
        <v>Lincolnshire East and West - N53</v>
      </c>
      <c r="C22" s="517" t="s">
        <v>1126</v>
      </c>
      <c r="D22" s="518"/>
      <c r="E22" s="518"/>
      <c r="F22" s="518"/>
      <c r="G22" s="518"/>
      <c r="H22" s="518"/>
      <c r="I22" s="518"/>
      <c r="J22" s="518"/>
      <c r="K22" s="518"/>
      <c r="L22" s="518"/>
      <c r="M22" s="537"/>
      <c r="N22" s="537"/>
      <c r="O22" s="538"/>
      <c r="P22" s="512">
        <f>SUMIF('caseload data'!$C:$C,'custody %'!B22,'caseload data'!V:V)</f>
        <v>0</v>
      </c>
      <c r="Q22" s="529"/>
      <c r="R22" s="530"/>
      <c r="S22" s="64"/>
      <c r="T22" s="289" t="str">
        <f>HLOOKUP($B$5,Region_Table,7,0)</f>
        <v>Nottingham City</v>
      </c>
      <c r="U22" s="517" t="s">
        <v>1126</v>
      </c>
      <c r="V22" s="518"/>
      <c r="W22" s="518"/>
      <c r="X22" s="518"/>
      <c r="Y22" s="518"/>
      <c r="Z22" s="518"/>
      <c r="AA22" s="518"/>
      <c r="AB22" s="518"/>
      <c r="AC22" s="537"/>
      <c r="AD22" s="537"/>
      <c r="AE22" s="538"/>
      <c r="AF22" s="512">
        <f>SUMIF('caseload data'!$C:$C,'custody %'!T22,'caseload data'!V:V)</f>
        <v>0</v>
      </c>
      <c r="AG22" s="529"/>
      <c r="AH22" s="530"/>
    </row>
    <row r="23" spans="2:36" x14ac:dyDescent="0.15">
      <c r="B23" s="95" t="s">
        <v>1000</v>
      </c>
      <c r="C23" s="38" t="s">
        <v>864</v>
      </c>
      <c r="D23" s="38" t="s">
        <v>865</v>
      </c>
      <c r="E23" s="38" t="s">
        <v>866</v>
      </c>
      <c r="F23" s="38" t="s">
        <v>867</v>
      </c>
      <c r="G23" s="38" t="s">
        <v>868</v>
      </c>
      <c r="H23" s="38" t="s">
        <v>869</v>
      </c>
      <c r="I23" s="38" t="s">
        <v>870</v>
      </c>
      <c r="J23" s="38" t="s">
        <v>871</v>
      </c>
      <c r="K23" s="38" t="s">
        <v>872</v>
      </c>
      <c r="L23" s="38" t="s">
        <v>873</v>
      </c>
      <c r="M23" s="38" t="s">
        <v>874</v>
      </c>
      <c r="N23" s="38" t="s">
        <v>875</v>
      </c>
      <c r="O23" s="38" t="s">
        <v>876</v>
      </c>
      <c r="P23" s="38" t="s">
        <v>877</v>
      </c>
      <c r="Q23" s="38" t="s">
        <v>878</v>
      </c>
      <c r="R23" s="38" t="s">
        <v>879</v>
      </c>
      <c r="S23" s="64"/>
      <c r="T23" s="95" t="s">
        <v>1000</v>
      </c>
      <c r="U23" s="38" t="s">
        <v>864</v>
      </c>
      <c r="V23" s="38" t="s">
        <v>865</v>
      </c>
      <c r="W23" s="38" t="s">
        <v>866</v>
      </c>
      <c r="X23" s="38" t="s">
        <v>867</v>
      </c>
      <c r="Y23" s="38" t="s">
        <v>868</v>
      </c>
      <c r="Z23" s="38" t="s">
        <v>869</v>
      </c>
      <c r="AA23" s="38" t="s">
        <v>870</v>
      </c>
      <c r="AB23" s="38" t="s">
        <v>871</v>
      </c>
      <c r="AC23" s="38" t="s">
        <v>872</v>
      </c>
      <c r="AD23" s="38" t="s">
        <v>873</v>
      </c>
      <c r="AE23" s="38" t="s">
        <v>874</v>
      </c>
      <c r="AF23" s="38" t="s">
        <v>875</v>
      </c>
      <c r="AG23" s="38" t="s">
        <v>876</v>
      </c>
      <c r="AH23" s="38" t="s">
        <v>877</v>
      </c>
      <c r="AI23" s="38" t="s">
        <v>878</v>
      </c>
      <c r="AJ23" s="38" t="s">
        <v>879</v>
      </c>
    </row>
    <row r="24" spans="2:36" x14ac:dyDescent="0.15">
      <c r="B24" s="96" t="s">
        <v>997</v>
      </c>
      <c r="C24" s="167" t="str">
        <f>IFERROR(SUMIFS('caseload data'!E:E,'caseload data'!$C:$C,'custody %'!$B$22,'caseload data'!$D:$D,"PO",'caseload data'!$B:$B,"custody")/SUMIFS('caseload data'!E:E,'caseload data'!$B:$B,"custody",'caseload data'!$C:$C,'custody %'!$B$22),"")</f>
        <v/>
      </c>
      <c r="D24" s="167" t="str">
        <f>IFERROR(SUMIFS('caseload data'!F:F,'caseload data'!$C:$C,'custody %'!$B$22,'caseload data'!$D:$D,"PO",'caseload data'!$B:$B,"custody")/SUMIFS('caseload data'!F:F,'caseload data'!$B:$B,"custody",'caseload data'!$C:$C,'custody %'!$B$22),"")</f>
        <v/>
      </c>
      <c r="E24" s="167" t="str">
        <f>IFERROR(SUMIFS('caseload data'!G:G,'caseload data'!$C:$C,'custody %'!$B$22,'caseload data'!$D:$D,"PO",'caseload data'!$B:$B,"custody")/SUMIFS('caseload data'!G:G,'caseload data'!$B:$B,"custody",'caseload data'!$C:$C,'custody %'!$B$22),"")</f>
        <v/>
      </c>
      <c r="F24" s="167" t="str">
        <f>IFERROR(SUMIFS('caseload data'!H:H,'caseload data'!$C:$C,'custody %'!$B$22,'caseload data'!$D:$D,"PO",'caseload data'!$B:$B,"custody")/SUMIFS('caseload data'!H:H,'caseload data'!$B:$B,"custody",'caseload data'!$C:$C,'custody %'!$B$22),"")</f>
        <v/>
      </c>
      <c r="G24" s="167" t="str">
        <f>IFERROR(SUMIFS('caseload data'!I:I,'caseload data'!$C:$C,'custody %'!$B$22,'caseload data'!$D:$D,"PO",'caseload data'!$B:$B,"custody")/SUMIFS('caseload data'!I:I,'caseload data'!$B:$B,"custody",'caseload data'!$C:$C,'custody %'!$B$22),"")</f>
        <v/>
      </c>
      <c r="H24" s="167" t="str">
        <f>IFERROR(SUMIFS('caseload data'!J:J,'caseload data'!$C:$C,'custody %'!$B$22,'caseload data'!$D:$D,"PO",'caseload data'!$B:$B,"custody")/SUMIFS('caseload data'!J:J,'caseload data'!$B:$B,"custody",'caseload data'!$C:$C,'custody %'!$B$22),"")</f>
        <v/>
      </c>
      <c r="I24" s="167" t="str">
        <f>IFERROR(SUMIFS('caseload data'!K:K,'caseload data'!$C:$C,'custody %'!$B$22,'caseload data'!$D:$D,"PO",'caseload data'!$B:$B,"custody")/SUMIFS('caseload data'!K:K,'caseload data'!$B:$B,"custody",'caseload data'!$C:$C,'custody %'!$B$22),"")</f>
        <v/>
      </c>
      <c r="J24" s="167" t="str">
        <f>IFERROR(SUMIFS('caseload data'!L:L,'caseload data'!$C:$C,'custody %'!$B$22,'caseload data'!$D:$D,"PO",'caseload data'!$B:$B,"custody")/SUMIFS('caseload data'!L:L,'caseload data'!$B:$B,"custody",'caseload data'!$C:$C,'custody %'!$B$22),"")</f>
        <v/>
      </c>
      <c r="K24" s="167" t="str">
        <f>IFERROR(SUMIFS('caseload data'!M:M,'caseload data'!$C:$C,'custody %'!$B$22,'caseload data'!$D:$D,"PO",'caseload data'!$B:$B,"custody")/SUMIFS('caseload data'!M:M,'caseload data'!$B:$B,"custody",'caseload data'!$C:$C,'custody %'!$B$22),"")</f>
        <v/>
      </c>
      <c r="L24" s="167" t="str">
        <f>IFERROR(SUMIFS('caseload data'!N:N,'caseload data'!$C:$C,'custody %'!$B$22,'caseload data'!$D:$D,"PO",'caseload data'!$B:$B,"custody")/SUMIFS('caseload data'!N:N,'caseload data'!$B:$B,"custody",'caseload data'!$C:$C,'custody %'!$B$22),"")</f>
        <v/>
      </c>
      <c r="M24" s="167" t="str">
        <f>IFERROR(SUMIFS('caseload data'!O:O,'caseload data'!$C:$C,'custody %'!$B$22,'caseload data'!$D:$D,"PO",'caseload data'!$B:$B,"custody")/SUMIFS('caseload data'!O:O,'caseload data'!$B:$B,"custody",'caseload data'!$C:$C,'custody %'!$B$22),"")</f>
        <v/>
      </c>
      <c r="N24" s="167" t="str">
        <f>IFERROR(SUMIFS('caseload data'!P:P,'caseload data'!$C:$C,'custody %'!$B$22,'caseload data'!$D:$D,"PO",'caseload data'!$B:$B,"custody")/SUMIFS('caseload data'!P:P,'caseload data'!$B:$B,"custody",'caseload data'!$C:$C,'custody %'!$B$22),"")</f>
        <v/>
      </c>
      <c r="O24" s="167" t="str">
        <f>IFERROR(SUMIFS('caseload data'!Q:Q,'caseload data'!$C:$C,'custody %'!$B$22,'caseload data'!$D:$D,"PO",'caseload data'!$B:$B,"custody")/SUMIFS('caseload data'!Q:Q,'caseload data'!$B:$B,"custody",'caseload data'!$C:$C,'custody %'!$B$22),"")</f>
        <v/>
      </c>
      <c r="P24" s="167" t="str">
        <f>IFERROR(SUMIFS('caseload data'!R:R,'caseload data'!$C:$C,'custody %'!$B$22,'caseload data'!$D:$D,"PO",'caseload data'!$B:$B,"custody")/SUMIFS('caseload data'!R:R,'caseload data'!$B:$B,"custody",'caseload data'!$C:$C,'custody %'!$B$22),"")</f>
        <v/>
      </c>
      <c r="Q24" s="167" t="str">
        <f>IFERROR(SUMIFS('caseload data'!S:S,'caseload data'!$C:$C,'custody %'!$B$22,'caseload data'!$D:$D,"PO",'caseload data'!$B:$B,"custody")/SUMIFS('caseload data'!S:S,'caseload data'!$B:$B,"custody",'caseload data'!$C:$C,'custody %'!$B$22),"")</f>
        <v/>
      </c>
      <c r="R24" s="167" t="str">
        <f>IFERROR(SUMIFS('caseload data'!T:T,'caseload data'!$C:$C,'custody %'!$B$22,'caseload data'!$D:$D,"PO",'caseload data'!$B:$B,"custody")/SUMIFS('caseload data'!T:T,'caseload data'!$B:$B,"custody",'caseload data'!$C:$C,'custody %'!$B$22),"")</f>
        <v/>
      </c>
      <c r="S24" s="64"/>
      <c r="T24" s="96" t="s">
        <v>997</v>
      </c>
      <c r="U24" s="167" t="str">
        <f>IFERROR(SUMIFS('caseload data'!E:E,'caseload data'!$C:$C,'custody %'!$T$22,'caseload data'!$D:$D,"PO",'caseload data'!$B:$B,"custody")/SUMIFS('caseload data'!E:E,'caseload data'!$B:$B,"custody",'caseload data'!$C:$C,'custody %'!$T$22),"")</f>
        <v/>
      </c>
      <c r="V24" s="167" t="str">
        <f>IFERROR(SUMIFS('caseload data'!F:F,'caseload data'!$C:$C,'custody %'!$T$22,'caseload data'!$D:$D,"PO",'caseload data'!$B:$B,"custody")/SUMIFS('caseload data'!F:F,'caseload data'!$B:$B,"custody",'caseload data'!$C:$C,'custody %'!$T$22),"")</f>
        <v/>
      </c>
      <c r="W24" s="167" t="str">
        <f>IFERROR(SUMIFS('caseload data'!G:G,'caseload data'!$C:$C,'custody %'!$T$22,'caseload data'!$D:$D,"PO",'caseload data'!$B:$B,"custody")/SUMIFS('caseload data'!G:G,'caseload data'!$B:$B,"custody",'caseload data'!$C:$C,'custody %'!$T$22),"")</f>
        <v/>
      </c>
      <c r="X24" s="167" t="str">
        <f>IFERROR(SUMIFS('caseload data'!H:H,'caseload data'!$C:$C,'custody %'!$T$22,'caseload data'!$D:$D,"PO",'caseload data'!$B:$B,"custody")/SUMIFS('caseload data'!H:H,'caseload data'!$B:$B,"custody",'caseload data'!$C:$C,'custody %'!$T$22),"")</f>
        <v/>
      </c>
      <c r="Y24" s="167" t="str">
        <f>IFERROR(SUMIFS('caseload data'!I:I,'caseload data'!$C:$C,'custody %'!$T$22,'caseload data'!$D:$D,"PO",'caseload data'!$B:$B,"custody")/SUMIFS('caseload data'!I:I,'caseload data'!$B:$B,"custody",'caseload data'!$C:$C,'custody %'!$T$22),"")</f>
        <v/>
      </c>
      <c r="Z24" s="167" t="str">
        <f>IFERROR(SUMIFS('caseload data'!J:J,'caseload data'!$C:$C,'custody %'!$T$22,'caseload data'!$D:$D,"PO",'caseload data'!$B:$B,"custody")/SUMIFS('caseload data'!J:J,'caseload data'!$B:$B,"custody",'caseload data'!$C:$C,'custody %'!$T$22),"")</f>
        <v/>
      </c>
      <c r="AA24" s="167" t="str">
        <f>IFERROR(SUMIFS('caseload data'!K:K,'caseload data'!$C:$C,'custody %'!$T$22,'caseload data'!$D:$D,"PO",'caseload data'!$B:$B,"custody")/SUMIFS('caseload data'!K:K,'caseload data'!$B:$B,"custody",'caseload data'!$C:$C,'custody %'!$T$22),"")</f>
        <v/>
      </c>
      <c r="AB24" s="167" t="str">
        <f>IFERROR(SUMIFS('caseload data'!L:L,'caseload data'!$C:$C,'custody %'!$T$22,'caseload data'!$D:$D,"PO",'caseload data'!$B:$B,"custody")/SUMIFS('caseload data'!L:L,'caseload data'!$B:$B,"custody",'caseload data'!$C:$C,'custody %'!$T$22),"")</f>
        <v/>
      </c>
      <c r="AC24" s="167" t="str">
        <f>IFERROR(SUMIFS('caseload data'!M:M,'caseload data'!$C:$C,'custody %'!$T$22,'caseload data'!$D:$D,"PO",'caseload data'!$B:$B,"custody")/SUMIFS('caseload data'!M:M,'caseload data'!$B:$B,"custody",'caseload data'!$C:$C,'custody %'!$T$22),"")</f>
        <v/>
      </c>
      <c r="AD24" s="167" t="str">
        <f>IFERROR(SUMIFS('caseload data'!N:N,'caseload data'!$C:$C,'custody %'!$T$22,'caseload data'!$D:$D,"PO",'caseload data'!$B:$B,"custody")/SUMIFS('caseload data'!N:N,'caseload data'!$B:$B,"custody",'caseload data'!$C:$C,'custody %'!$T$22),"")</f>
        <v/>
      </c>
      <c r="AE24" s="167" t="str">
        <f>IFERROR(SUMIFS('caseload data'!O:O,'caseload data'!$C:$C,'custody %'!$T$22,'caseload data'!$D:$D,"PO",'caseload data'!$B:$B,"custody")/SUMIFS('caseload data'!O:O,'caseload data'!$B:$B,"custody",'caseload data'!$C:$C,'custody %'!$T$22),"")</f>
        <v/>
      </c>
      <c r="AF24" s="167" t="str">
        <f>IFERROR(SUMIFS('caseload data'!P:P,'caseload data'!$C:$C,'custody %'!$T$22,'caseload data'!$D:$D,"PO",'caseload data'!$B:$B,"custody")/SUMIFS('caseload data'!P:P,'caseload data'!$B:$B,"custody",'caseload data'!$C:$C,'custody %'!$T$22),"")</f>
        <v/>
      </c>
      <c r="AG24" s="167" t="str">
        <f>IFERROR(SUMIFS('caseload data'!Q:Q,'caseload data'!$C:$C,'custody %'!$T$22,'caseload data'!$D:$D,"PO",'caseload data'!$B:$B,"custody")/SUMIFS('caseload data'!Q:Q,'caseload data'!$B:$B,"custody",'caseload data'!$C:$C,'custody %'!$T$22),"")</f>
        <v/>
      </c>
      <c r="AH24" s="167" t="str">
        <f>IFERROR(SUMIFS('caseload data'!R:R,'caseload data'!$C:$C,'custody %'!$T$22,'caseload data'!$D:$D,"PO",'caseload data'!$B:$B,"custody")/SUMIFS('caseload data'!R:R,'caseload data'!$B:$B,"custody",'caseload data'!$C:$C,'custody %'!$T$22),"")</f>
        <v/>
      </c>
      <c r="AI24" s="167"/>
      <c r="AJ24" s="167"/>
    </row>
    <row r="25" spans="2:36" x14ac:dyDescent="0.15">
      <c r="B25" s="97" t="s">
        <v>1002</v>
      </c>
      <c r="C25" s="167" t="str">
        <f>IFERROR(SUMIFS('caseload data'!E:E,'caseload data'!$C:$C,'custody %'!$B$22,'caseload data'!$D:$D,"PSO",'caseload data'!$B:$B,"custody")/SUMIFS('caseload data'!E:E,'caseload data'!$B:$B,"custody",'caseload data'!$C:$C,'custody %'!$B$22),"")</f>
        <v/>
      </c>
      <c r="D25" s="167" t="str">
        <f>IFERROR(SUMIFS('caseload data'!F:F,'caseload data'!$C:$C,'custody %'!$B$22,'caseload data'!$D:$D,"PSO",'caseload data'!$B:$B,"custody")/SUMIFS('caseload data'!F:F,'caseload data'!$B:$B,"custody",'caseload data'!$C:$C,'custody %'!$B$22),"")</f>
        <v/>
      </c>
      <c r="E25" s="167" t="str">
        <f>IFERROR(SUMIFS('caseload data'!G:G,'caseload data'!$C:$C,'custody %'!$B$22,'caseload data'!$D:$D,"PSO",'caseload data'!$B:$B,"custody")/SUMIFS('caseload data'!G:G,'caseload data'!$B:$B,"custody",'caseload data'!$C:$C,'custody %'!$B$22),"")</f>
        <v/>
      </c>
      <c r="F25" s="167" t="str">
        <f>IFERROR(SUMIFS('caseload data'!H:H,'caseload data'!$C:$C,'custody %'!$B$22,'caseload data'!$D:$D,"PSO",'caseload data'!$B:$B,"custody")/SUMIFS('caseload data'!H:H,'caseload data'!$B:$B,"custody",'caseload data'!$C:$C,'custody %'!$B$22),"")</f>
        <v/>
      </c>
      <c r="G25" s="167" t="str">
        <f>IFERROR(SUMIFS('caseload data'!I:I,'caseload data'!$C:$C,'custody %'!$B$22,'caseload data'!$D:$D,"PSO",'caseload data'!$B:$B,"custody")/SUMIFS('caseload data'!I:I,'caseload data'!$B:$B,"custody",'caseload data'!$C:$C,'custody %'!$B$22),"")</f>
        <v/>
      </c>
      <c r="H25" s="167" t="str">
        <f>IFERROR(SUMIFS('caseload data'!J:J,'caseload data'!$C:$C,'custody %'!$B$22,'caseload data'!$D:$D,"PSO",'caseload data'!$B:$B,"custody")/SUMIFS('caseload data'!J:J,'caseload data'!$B:$B,"custody",'caseload data'!$C:$C,'custody %'!$B$22),"")</f>
        <v/>
      </c>
      <c r="I25" s="167" t="str">
        <f>IFERROR(SUMIFS('caseload data'!K:K,'caseload data'!$C:$C,'custody %'!$B$22,'caseload data'!$D:$D,"PSO",'caseload data'!$B:$B,"custody")/SUMIFS('caseload data'!K:K,'caseload data'!$B:$B,"custody",'caseload data'!$C:$C,'custody %'!$B$22),"")</f>
        <v/>
      </c>
      <c r="J25" s="167" t="str">
        <f>IFERROR(SUMIFS('caseload data'!L:L,'caseload data'!$C:$C,'custody %'!$B$22,'caseload data'!$D:$D,"PSO",'caseload data'!$B:$B,"custody")/SUMIFS('caseload data'!L:L,'caseload data'!$B:$B,"custody",'caseload data'!$C:$C,'custody %'!$B$22),"")</f>
        <v/>
      </c>
      <c r="K25" s="167" t="str">
        <f>IFERROR(SUMIFS('caseload data'!M:M,'caseload data'!$C:$C,'custody %'!$B$22,'caseload data'!$D:$D,"PSO",'caseload data'!$B:$B,"custody")/SUMIFS('caseload data'!M:M,'caseload data'!$B:$B,"custody",'caseload data'!$C:$C,'custody %'!$B$22),"")</f>
        <v/>
      </c>
      <c r="L25" s="167" t="str">
        <f>IFERROR(SUMIFS('caseload data'!N:N,'caseload data'!$C:$C,'custody %'!$B$22,'caseload data'!$D:$D,"PSO",'caseload data'!$B:$B,"custody")/SUMIFS('caseload data'!N:N,'caseload data'!$B:$B,"custody",'caseload data'!$C:$C,'custody %'!$B$22),"")</f>
        <v/>
      </c>
      <c r="M25" s="167" t="str">
        <f>IFERROR(SUMIFS('caseload data'!O:O,'caseload data'!$C:$C,'custody %'!$B$22,'caseload data'!$D:$D,"PSO",'caseload data'!$B:$B,"custody")/SUMIFS('caseload data'!O:O,'caseload data'!$B:$B,"custody",'caseload data'!$C:$C,'custody %'!$B$22),"")</f>
        <v/>
      </c>
      <c r="N25" s="167" t="str">
        <f>IFERROR(SUMIFS('caseload data'!P:P,'caseload data'!$C:$C,'custody %'!$B$22,'caseload data'!$D:$D,"PSO",'caseload data'!$B:$B,"custody")/SUMIFS('caseload data'!P:P,'caseload data'!$B:$B,"custody",'caseload data'!$C:$C,'custody %'!$B$22),"")</f>
        <v/>
      </c>
      <c r="O25" s="167" t="str">
        <f>IFERROR(SUMIFS('caseload data'!Q:Q,'caseload data'!$C:$C,'custody %'!$B$22,'caseload data'!$D:$D,"PSO",'caseload data'!$B:$B,"custody")/SUMIFS('caseload data'!Q:Q,'caseload data'!$B:$B,"custody",'caseload data'!$C:$C,'custody %'!$B$22),"")</f>
        <v/>
      </c>
      <c r="P25" s="167" t="str">
        <f>IFERROR(SUMIFS('caseload data'!R:R,'caseload data'!$C:$C,'custody %'!$B$22,'caseload data'!$D:$D,"PSO",'caseload data'!$B:$B,"custody")/SUMIFS('caseload data'!R:R,'caseload data'!$B:$B,"custody",'caseload data'!$C:$C,'custody %'!$B$22),"")</f>
        <v/>
      </c>
      <c r="Q25" s="167" t="str">
        <f>IFERROR(SUMIFS('caseload data'!S:S,'caseload data'!$C:$C,'custody %'!$B$22,'caseload data'!$D:$D,"PSO",'caseload data'!$B:$B,"custody")/SUMIFS('caseload data'!S:S,'caseload data'!$B:$B,"custody",'caseload data'!$C:$C,'custody %'!$B$22),"")</f>
        <v/>
      </c>
      <c r="R25" s="167" t="str">
        <f>IFERROR(SUMIFS('caseload data'!T:T,'caseload data'!$C:$C,'custody %'!$B$22,'caseload data'!$D:$D,"PSO",'caseload data'!$B:$B,"custody")/SUMIFS('caseload data'!T:T,'caseload data'!$B:$B,"custody",'caseload data'!$C:$C,'custody %'!$B$22),"")</f>
        <v/>
      </c>
      <c r="S25" s="64"/>
      <c r="T25" s="97" t="s">
        <v>1002</v>
      </c>
      <c r="U25" s="167" t="str">
        <f>IFERROR(SUMIFS('caseload data'!E:E,'caseload data'!$C:$C,'custody %'!$T$22,'caseload data'!$D:$D,"PSO",'caseload data'!$B:$B,"custody")/SUMIFS('caseload data'!E:E,'caseload data'!$B:$B,"custody",'caseload data'!$C:$C,'custody %'!$T$22),"")</f>
        <v/>
      </c>
      <c r="V25" s="167" t="str">
        <f>IFERROR(SUMIFS('caseload data'!F:F,'caseload data'!$C:$C,'custody %'!$T$22,'caseload data'!$D:$D,"PSO",'caseload data'!$B:$B,"custody")/SUMIFS('caseload data'!F:F,'caseload data'!$B:$B,"custody",'caseload data'!$C:$C,'custody %'!$T$22),"")</f>
        <v/>
      </c>
      <c r="W25" s="167" t="str">
        <f>IFERROR(SUMIFS('caseload data'!G:G,'caseload data'!$C:$C,'custody %'!$T$22,'caseload data'!$D:$D,"PSO",'caseload data'!$B:$B,"custody")/SUMIFS('caseload data'!G:G,'caseload data'!$B:$B,"custody",'caseload data'!$C:$C,'custody %'!$T$22),"")</f>
        <v/>
      </c>
      <c r="X25" s="167" t="str">
        <f>IFERROR(SUMIFS('caseload data'!H:H,'caseload data'!$C:$C,'custody %'!$T$22,'caseload data'!$D:$D,"PSO",'caseload data'!$B:$B,"custody")/SUMIFS('caseload data'!H:H,'caseload data'!$B:$B,"custody",'caseload data'!$C:$C,'custody %'!$T$22),"")</f>
        <v/>
      </c>
      <c r="Y25" s="167" t="str">
        <f>IFERROR(SUMIFS('caseload data'!I:I,'caseload data'!$C:$C,'custody %'!$T$22,'caseload data'!$D:$D,"PSO",'caseload data'!$B:$B,"custody")/SUMIFS('caseload data'!I:I,'caseload data'!$B:$B,"custody",'caseload data'!$C:$C,'custody %'!$T$22),"")</f>
        <v/>
      </c>
      <c r="Z25" s="167" t="str">
        <f>IFERROR(SUMIFS('caseload data'!J:J,'caseload data'!$C:$C,'custody %'!$T$22,'caseload data'!$D:$D,"PSO",'caseload data'!$B:$B,"custody")/SUMIFS('caseload data'!J:J,'caseload data'!$B:$B,"custody",'caseload data'!$C:$C,'custody %'!$T$22),"")</f>
        <v/>
      </c>
      <c r="AA25" s="167" t="str">
        <f>IFERROR(SUMIFS('caseload data'!K:K,'caseload data'!$C:$C,'custody %'!$T$22,'caseload data'!$D:$D,"PSO",'caseload data'!$B:$B,"custody")/SUMIFS('caseload data'!K:K,'caseload data'!$B:$B,"custody",'caseload data'!$C:$C,'custody %'!$T$22),"")</f>
        <v/>
      </c>
      <c r="AB25" s="167" t="str">
        <f>IFERROR(SUMIFS('caseload data'!L:L,'caseload data'!$C:$C,'custody %'!$T$22,'caseload data'!$D:$D,"PSO",'caseload data'!$B:$B,"custody")/SUMIFS('caseload data'!L:L,'caseload data'!$B:$B,"custody",'caseload data'!$C:$C,'custody %'!$T$22),"")</f>
        <v/>
      </c>
      <c r="AC25" s="167" t="str">
        <f>IFERROR(SUMIFS('caseload data'!M:M,'caseload data'!$C:$C,'custody %'!$T$22,'caseload data'!$D:$D,"PSO",'caseload data'!$B:$B,"custody")/SUMIFS('caseload data'!M:M,'caseload data'!$B:$B,"custody",'caseload data'!$C:$C,'custody %'!$T$22),"")</f>
        <v/>
      </c>
      <c r="AD25" s="167" t="str">
        <f>IFERROR(SUMIFS('caseload data'!N:N,'caseload data'!$C:$C,'custody %'!$T$22,'caseload data'!$D:$D,"PSO",'caseload data'!$B:$B,"custody")/SUMIFS('caseload data'!N:N,'caseload data'!$B:$B,"custody",'caseload data'!$C:$C,'custody %'!$T$22),"")</f>
        <v/>
      </c>
      <c r="AE25" s="167" t="str">
        <f>IFERROR(SUMIFS('caseload data'!O:O,'caseload data'!$C:$C,'custody %'!$T$22,'caseload data'!$D:$D,"PSO",'caseload data'!$B:$B,"custody")/SUMIFS('caseload data'!O:O,'caseload data'!$B:$B,"custody",'caseload data'!$C:$C,'custody %'!$T$22),"")</f>
        <v/>
      </c>
      <c r="AF25" s="167" t="str">
        <f>IFERROR(SUMIFS('caseload data'!P:P,'caseload data'!$C:$C,'custody %'!$T$22,'caseload data'!$D:$D,"PSO",'caseload data'!$B:$B,"custody")/SUMIFS('caseload data'!P:P,'caseload data'!$B:$B,"custody",'caseload data'!$C:$C,'custody %'!$T$22),"")</f>
        <v/>
      </c>
      <c r="AG25" s="167" t="str">
        <f>IFERROR(SUMIFS('caseload data'!Q:Q,'caseload data'!$C:$C,'custody %'!$T$22,'caseload data'!$D:$D,"PSO",'caseload data'!$B:$B,"custody")/SUMIFS('caseload data'!Q:Q,'caseload data'!$B:$B,"custody",'caseload data'!$C:$C,'custody %'!$T$22),"")</f>
        <v/>
      </c>
      <c r="AH25" s="167" t="str">
        <f>IFERROR(SUMIFS('caseload data'!R:R,'caseload data'!$C:$C,'custody %'!$T$22,'caseload data'!$D:$D,"PSO",'caseload data'!$B:$B,"custody")/SUMIFS('caseload data'!R:R,'caseload data'!$B:$B,"custody",'caseload data'!$C:$C,'custody %'!$T$22),"")</f>
        <v/>
      </c>
      <c r="AI25" s="167"/>
      <c r="AJ25" s="167"/>
    </row>
    <row r="26" spans="2:36" x14ac:dyDescent="0.15">
      <c r="B26" s="97" t="s">
        <v>1003</v>
      </c>
      <c r="C26" s="167" t="str">
        <f>IFERROR(SUMIFS('caseload data'!E:E,'caseload data'!$C:$C,'custody %'!$B$22,'caseload data'!$D:$D,"TPO",'caseload data'!$B:$B,"custody")/SUMIFS('caseload data'!E:E,'caseload data'!$B:$B,"custody",'caseload data'!$C:$C,'custody %'!$B$22),"")</f>
        <v/>
      </c>
      <c r="D26" s="167" t="str">
        <f>IFERROR(SUMIFS('caseload data'!F:F,'caseload data'!$C:$C,'custody %'!$B$22,'caseload data'!$D:$D,"TPO",'caseload data'!$B:$B,"custody")/SUMIFS('caseload data'!F:F,'caseload data'!$B:$B,"custody",'caseload data'!$C:$C,'custody %'!$B$22),"")</f>
        <v/>
      </c>
      <c r="E26" s="167" t="str">
        <f>IFERROR(SUMIFS('caseload data'!G:G,'caseload data'!$C:$C,'custody %'!$B$22,'caseload data'!$D:$D,"TPO",'caseload data'!$B:$B,"custody")/SUMIFS('caseload data'!G:G,'caseload data'!$B:$B,"custody",'caseload data'!$C:$C,'custody %'!$B$22),"")</f>
        <v/>
      </c>
      <c r="F26" s="167" t="str">
        <f>IFERROR(SUMIFS('caseload data'!H:H,'caseload data'!$C:$C,'custody %'!$B$22,'caseload data'!$D:$D,"TPO",'caseload data'!$B:$B,"custody")/SUMIFS('caseload data'!H:H,'caseload data'!$B:$B,"custody",'caseload data'!$C:$C,'custody %'!$B$22),"")</f>
        <v/>
      </c>
      <c r="G26" s="167" t="str">
        <f>IFERROR(SUMIFS('caseload data'!I:I,'caseload data'!$C:$C,'custody %'!$B$22,'caseload data'!$D:$D,"TPO",'caseload data'!$B:$B,"custody")/SUMIFS('caseload data'!I:I,'caseload data'!$B:$B,"custody",'caseload data'!$C:$C,'custody %'!$B$22),"")</f>
        <v/>
      </c>
      <c r="H26" s="167" t="str">
        <f>IFERROR(SUMIFS('caseload data'!J:J,'caseload data'!$C:$C,'custody %'!$B$22,'caseload data'!$D:$D,"TPO",'caseload data'!$B:$B,"custody")/SUMIFS('caseload data'!J:J,'caseload data'!$B:$B,"custody",'caseload data'!$C:$C,'custody %'!$B$22),"")</f>
        <v/>
      </c>
      <c r="I26" s="167" t="str">
        <f>IFERROR(SUMIFS('caseload data'!K:K,'caseload data'!$C:$C,'custody %'!$B$22,'caseload data'!$D:$D,"TPO",'caseload data'!$B:$B,"custody")/SUMIFS('caseload data'!K:K,'caseload data'!$B:$B,"custody",'caseload data'!$C:$C,'custody %'!$B$22),"")</f>
        <v/>
      </c>
      <c r="J26" s="167" t="str">
        <f>IFERROR(SUMIFS('caseload data'!L:L,'caseload data'!$C:$C,'custody %'!$B$22,'caseload data'!$D:$D,"TPO",'caseload data'!$B:$B,"custody")/SUMIFS('caseload data'!L:L,'caseload data'!$B:$B,"custody",'caseload data'!$C:$C,'custody %'!$B$22),"")</f>
        <v/>
      </c>
      <c r="K26" s="167" t="str">
        <f>IFERROR(SUMIFS('caseload data'!M:M,'caseload data'!$C:$C,'custody %'!$B$22,'caseload data'!$D:$D,"TPO",'caseload data'!$B:$B,"custody")/SUMIFS('caseload data'!M:M,'caseload data'!$B:$B,"custody",'caseload data'!$C:$C,'custody %'!$B$22),"")</f>
        <v/>
      </c>
      <c r="L26" s="167" t="str">
        <f>IFERROR(SUMIFS('caseload data'!N:N,'caseload data'!$C:$C,'custody %'!$B$22,'caseload data'!$D:$D,"TPO",'caseload data'!$B:$B,"custody")/SUMIFS('caseload data'!N:N,'caseload data'!$B:$B,"custody",'caseload data'!$C:$C,'custody %'!$B$22),"")</f>
        <v/>
      </c>
      <c r="M26" s="167" t="str">
        <f>IFERROR(SUMIFS('caseload data'!O:O,'caseload data'!$C:$C,'custody %'!$B$22,'caseload data'!$D:$D,"TPO",'caseload data'!$B:$B,"custody")/SUMIFS('caseload data'!O:O,'caseload data'!$B:$B,"custody",'caseload data'!$C:$C,'custody %'!$B$22),"")</f>
        <v/>
      </c>
      <c r="N26" s="167" t="str">
        <f>IFERROR(SUMIFS('caseload data'!P:P,'caseload data'!$C:$C,'custody %'!$B$22,'caseload data'!$D:$D,"TPO",'caseload data'!$B:$B,"custody")/SUMIFS('caseload data'!P:P,'caseload data'!$B:$B,"custody",'caseload data'!$C:$C,'custody %'!$B$22),"")</f>
        <v/>
      </c>
      <c r="O26" s="167" t="str">
        <f>IFERROR(SUMIFS('caseload data'!Q:Q,'caseload data'!$C:$C,'custody %'!$B$22,'caseload data'!$D:$D,"TPO",'caseload data'!$B:$B,"custody")/SUMIFS('caseload data'!Q:Q,'caseload data'!$B:$B,"custody",'caseload data'!$C:$C,'custody %'!$B$22),"")</f>
        <v/>
      </c>
      <c r="P26" s="167" t="str">
        <f>IFERROR(SUMIFS('caseload data'!R:R,'caseload data'!$C:$C,'custody %'!$B$22,'caseload data'!$D:$D,"TPO",'caseload data'!$B:$B,"custody")/SUMIFS('caseload data'!R:R,'caseload data'!$B:$B,"custody",'caseload data'!$C:$C,'custody %'!$B$22),"")</f>
        <v/>
      </c>
      <c r="Q26" s="167" t="str">
        <f>IFERROR(SUMIFS('caseload data'!S:S,'caseload data'!$C:$C,'custody %'!$B$22,'caseload data'!$D:$D,"TPO",'caseload data'!$B:$B,"custody")/SUMIFS('caseload data'!S:S,'caseload data'!$B:$B,"custody",'caseload data'!$C:$C,'custody %'!$B$22),"")</f>
        <v/>
      </c>
      <c r="R26" s="167" t="str">
        <f>IFERROR(SUMIFS('caseload data'!T:T,'caseload data'!$C:$C,'custody %'!$B$22,'caseload data'!$D:$D,"TPO",'caseload data'!$B:$B,"custody")/SUMIFS('caseload data'!T:T,'caseload data'!$B:$B,"custody",'caseload data'!$C:$C,'custody %'!$B$22),"")</f>
        <v/>
      </c>
      <c r="S26" s="64"/>
      <c r="T26" s="97" t="s">
        <v>1003</v>
      </c>
      <c r="U26" s="167" t="str">
        <f>IFERROR(SUMIFS('caseload data'!E:E,'caseload data'!$C:$C,'custody %'!$T$22,'caseload data'!$D:$D,"TPO",'caseload data'!$B:$B,"custody")/SUMIFS('caseload data'!E:E,'caseload data'!$B:$B,"custody",'caseload data'!$C:$C,'custody %'!$T$22),"")</f>
        <v/>
      </c>
      <c r="V26" s="167" t="str">
        <f>IFERROR(SUMIFS('caseload data'!F:F,'caseload data'!$C:$C,'custody %'!$T$22,'caseload data'!$D:$D,"TPO",'caseload data'!$B:$B,"custody")/SUMIFS('caseload data'!F:F,'caseload data'!$B:$B,"custody",'caseload data'!$C:$C,'custody %'!$T$22),"")</f>
        <v/>
      </c>
      <c r="W26" s="167" t="str">
        <f>IFERROR(SUMIFS('caseload data'!G:G,'caseload data'!$C:$C,'custody %'!$T$22,'caseload data'!$D:$D,"TPO",'caseload data'!$B:$B,"custody")/SUMIFS('caseload data'!G:G,'caseload data'!$B:$B,"custody",'caseload data'!$C:$C,'custody %'!$T$22),"")</f>
        <v/>
      </c>
      <c r="X26" s="167" t="str">
        <f>IFERROR(SUMIFS('caseload data'!H:H,'caseload data'!$C:$C,'custody %'!$T$22,'caseload data'!$D:$D,"TPO",'caseload data'!$B:$B,"custody")/SUMIFS('caseload data'!H:H,'caseload data'!$B:$B,"custody",'caseload data'!$C:$C,'custody %'!$T$22),"")</f>
        <v/>
      </c>
      <c r="Y26" s="167" t="str">
        <f>IFERROR(SUMIFS('caseload data'!I:I,'caseload data'!$C:$C,'custody %'!$T$22,'caseload data'!$D:$D,"TPO",'caseload data'!$B:$B,"custody")/SUMIFS('caseload data'!I:I,'caseload data'!$B:$B,"custody",'caseload data'!$C:$C,'custody %'!$T$22),"")</f>
        <v/>
      </c>
      <c r="Z26" s="167" t="str">
        <f>IFERROR(SUMIFS('caseload data'!J:J,'caseload data'!$C:$C,'custody %'!$T$22,'caseload data'!$D:$D,"TPO",'caseload data'!$B:$B,"custody")/SUMIFS('caseload data'!J:J,'caseload data'!$B:$B,"custody",'caseload data'!$C:$C,'custody %'!$T$22),"")</f>
        <v/>
      </c>
      <c r="AA26" s="167" t="str">
        <f>IFERROR(SUMIFS('caseload data'!K:K,'caseload data'!$C:$C,'custody %'!$T$22,'caseload data'!$D:$D,"TPO",'caseload data'!$B:$B,"custody")/SUMIFS('caseload data'!K:K,'caseload data'!$B:$B,"custody",'caseload data'!$C:$C,'custody %'!$T$22),"")</f>
        <v/>
      </c>
      <c r="AB26" s="167" t="str">
        <f>IFERROR(SUMIFS('caseload data'!L:L,'caseload data'!$C:$C,'custody %'!$T$22,'caseload data'!$D:$D,"TPO",'caseload data'!$B:$B,"custody")/SUMIFS('caseload data'!L:L,'caseload data'!$B:$B,"custody",'caseload data'!$C:$C,'custody %'!$T$22),"")</f>
        <v/>
      </c>
      <c r="AC26" s="167" t="str">
        <f>IFERROR(SUMIFS('caseload data'!M:M,'caseload data'!$C:$C,'custody %'!$T$22,'caseload data'!$D:$D,"TPO",'caseload data'!$B:$B,"custody")/SUMIFS('caseload data'!M:M,'caseload data'!$B:$B,"custody",'caseload data'!$C:$C,'custody %'!$T$22),"")</f>
        <v/>
      </c>
      <c r="AD26" s="167" t="str">
        <f>IFERROR(SUMIFS('caseload data'!N:N,'caseload data'!$C:$C,'custody %'!$T$22,'caseload data'!$D:$D,"TPO",'caseload data'!$B:$B,"custody")/SUMIFS('caseload data'!N:N,'caseload data'!$B:$B,"custody",'caseload data'!$C:$C,'custody %'!$T$22),"")</f>
        <v/>
      </c>
      <c r="AE26" s="167" t="str">
        <f>IFERROR(SUMIFS('caseload data'!O:O,'caseload data'!$C:$C,'custody %'!$T$22,'caseload data'!$D:$D,"TPO",'caseload data'!$B:$B,"custody")/SUMIFS('caseload data'!O:O,'caseload data'!$B:$B,"custody",'caseload data'!$C:$C,'custody %'!$T$22),"")</f>
        <v/>
      </c>
      <c r="AF26" s="167" t="str">
        <f>IFERROR(SUMIFS('caseload data'!P:P,'caseload data'!$C:$C,'custody %'!$T$22,'caseload data'!$D:$D,"TPO",'caseload data'!$B:$B,"custody")/SUMIFS('caseload data'!P:P,'caseload data'!$B:$B,"custody",'caseload data'!$C:$C,'custody %'!$T$22),"")</f>
        <v/>
      </c>
      <c r="AG26" s="167" t="str">
        <f>IFERROR(SUMIFS('caseload data'!Q:Q,'caseload data'!$C:$C,'custody %'!$T$22,'caseload data'!$D:$D,"TPO",'caseload data'!$B:$B,"custody")/SUMIFS('caseload data'!Q:Q,'caseload data'!$B:$B,"custody",'caseload data'!$C:$C,'custody %'!$T$22),"")</f>
        <v/>
      </c>
      <c r="AH26" s="167" t="str">
        <f>IFERROR(SUMIFS('caseload data'!R:R,'caseload data'!$C:$C,'custody %'!$T$22,'caseload data'!$D:$D,"TPO",'caseload data'!$B:$B,"custody")/SUMIFS('caseload data'!R:R,'caseload data'!$B:$B,"custody",'caseload data'!$C:$C,'custody %'!$T$22),"")</f>
        <v/>
      </c>
      <c r="AI26" s="167"/>
      <c r="AJ26" s="167"/>
    </row>
    <row r="27" spans="2:36" x14ac:dyDescent="0.15">
      <c r="B27" s="98" t="s">
        <v>1004</v>
      </c>
      <c r="C27" s="167" t="str">
        <f>IFERROR(SUMIFS('caseload data'!E:E,'caseload data'!$C:$C,'custody %'!$B$22,'caseload data'!$D:$D,"SPO",'caseload data'!$B:$B,"custody")/SUMIFS('caseload data'!E:E,'caseload data'!$B:$B,"custody",'caseload data'!$C:$C,'custody %'!$B$22),"")</f>
        <v/>
      </c>
      <c r="D27" s="167" t="str">
        <f>IFERROR(SUMIFS('caseload data'!F:F,'caseload data'!$C:$C,'custody %'!$B$22,'caseload data'!$D:$D,"SPO",'caseload data'!$B:$B,"custody")/SUMIFS('caseload data'!F:F,'caseload data'!$B:$B,"custody",'caseload data'!$C:$C,'custody %'!$B$22),"")</f>
        <v/>
      </c>
      <c r="E27" s="167" t="str">
        <f>IFERROR(SUMIFS('caseload data'!G:G,'caseload data'!$C:$C,'custody %'!$B$22,'caseload data'!$D:$D,"SPO",'caseload data'!$B:$B,"custody")/SUMIFS('caseload data'!G:G,'caseload data'!$B:$B,"custody",'caseload data'!$C:$C,'custody %'!$B$22),"")</f>
        <v/>
      </c>
      <c r="F27" s="167" t="str">
        <f>IFERROR(SUMIFS('caseload data'!H:H,'caseload data'!$C:$C,'custody %'!$B$22,'caseload data'!$D:$D,"SPO",'caseload data'!$B:$B,"custody")/SUMIFS('caseload data'!H:H,'caseload data'!$B:$B,"custody",'caseload data'!$C:$C,'custody %'!$B$22),"")</f>
        <v/>
      </c>
      <c r="G27" s="167" t="str">
        <f>IFERROR(SUMIFS('caseload data'!I:I,'caseload data'!$C:$C,'custody %'!$B$22,'caseload data'!$D:$D,"SPO",'caseload data'!$B:$B,"custody")/SUMIFS('caseload data'!I:I,'caseload data'!$B:$B,"custody",'caseload data'!$C:$C,'custody %'!$B$22),"")</f>
        <v/>
      </c>
      <c r="H27" s="167" t="str">
        <f>IFERROR(SUMIFS('caseload data'!J:J,'caseload data'!$C:$C,'custody %'!$B$22,'caseload data'!$D:$D,"SPO",'caseload data'!$B:$B,"custody")/SUMIFS('caseload data'!J:J,'caseload data'!$B:$B,"custody",'caseload data'!$C:$C,'custody %'!$B$22),"")</f>
        <v/>
      </c>
      <c r="I27" s="167" t="str">
        <f>IFERROR(SUMIFS('caseload data'!K:K,'caseload data'!$C:$C,'custody %'!$B$22,'caseload data'!$D:$D,"SPO",'caseload data'!$B:$B,"custody")/SUMIFS('caseload data'!K:K,'caseload data'!$B:$B,"custody",'caseload data'!$C:$C,'custody %'!$B$22),"")</f>
        <v/>
      </c>
      <c r="J27" s="167" t="str">
        <f>IFERROR(SUMIFS('caseload data'!L:L,'caseload data'!$C:$C,'custody %'!$B$22,'caseload data'!$D:$D,"SPO",'caseload data'!$B:$B,"custody")/SUMIFS('caseload data'!L:L,'caseload data'!$B:$B,"custody",'caseload data'!$C:$C,'custody %'!$B$22),"")</f>
        <v/>
      </c>
      <c r="K27" s="167" t="str">
        <f>IFERROR(SUMIFS('caseload data'!M:M,'caseload data'!$C:$C,'custody %'!$B$22,'caseload data'!$D:$D,"SPO",'caseload data'!$B:$B,"custody")/SUMIFS('caseload data'!M:M,'caseload data'!$B:$B,"custody",'caseload data'!$C:$C,'custody %'!$B$22),"")</f>
        <v/>
      </c>
      <c r="L27" s="167" t="str">
        <f>IFERROR(SUMIFS('caseload data'!N:N,'caseload data'!$C:$C,'custody %'!$B$22,'caseload data'!$D:$D,"SPO",'caseload data'!$B:$B,"custody")/SUMIFS('caseload data'!N:N,'caseload data'!$B:$B,"custody",'caseload data'!$C:$C,'custody %'!$B$22),"")</f>
        <v/>
      </c>
      <c r="M27" s="167" t="str">
        <f>IFERROR(SUMIFS('caseload data'!O:O,'caseload data'!$C:$C,'custody %'!$B$22,'caseload data'!$D:$D,"SPO",'caseload data'!$B:$B,"custody")/SUMIFS('caseload data'!O:O,'caseload data'!$B:$B,"custody",'caseload data'!$C:$C,'custody %'!$B$22),"")</f>
        <v/>
      </c>
      <c r="N27" s="167" t="str">
        <f>IFERROR(SUMIFS('caseload data'!P:P,'caseload data'!$C:$C,'custody %'!$B$22,'caseload data'!$D:$D,"SPO",'caseload data'!$B:$B,"custody")/SUMIFS('caseload data'!P:P,'caseload data'!$B:$B,"custody",'caseload data'!$C:$C,'custody %'!$B$22),"")</f>
        <v/>
      </c>
      <c r="O27" s="167" t="str">
        <f>IFERROR(SUMIFS('caseload data'!Q:Q,'caseload data'!$C:$C,'custody %'!$B$22,'caseload data'!$D:$D,"SPO",'caseload data'!$B:$B,"custody")/SUMIFS('caseload data'!Q:Q,'caseload data'!$B:$B,"custody",'caseload data'!$C:$C,'custody %'!$B$22),"")</f>
        <v/>
      </c>
      <c r="P27" s="167" t="str">
        <f>IFERROR(SUMIFS('caseload data'!R:R,'caseload data'!$C:$C,'custody %'!$B$22,'caseload data'!$D:$D,"SPO",'caseload data'!$B:$B,"custody")/SUMIFS('caseload data'!R:R,'caseload data'!$B:$B,"custody",'caseload data'!$C:$C,'custody %'!$B$22),"")</f>
        <v/>
      </c>
      <c r="Q27" s="167" t="str">
        <f>IFERROR(SUMIFS('caseload data'!S:S,'caseload data'!$C:$C,'custody %'!$B$22,'caseload data'!$D:$D,"SPO",'caseload data'!$B:$B,"custody")/SUMIFS('caseload data'!S:S,'caseload data'!$B:$B,"custody",'caseload data'!$C:$C,'custody %'!$B$22),"")</f>
        <v/>
      </c>
      <c r="R27" s="167" t="str">
        <f>IFERROR(SUMIFS('caseload data'!T:T,'caseload data'!$C:$C,'custody %'!$B$22,'caseload data'!$D:$D,"SPO",'caseload data'!$B:$B,"custody")/SUMIFS('caseload data'!T:T,'caseload data'!$B:$B,"custody",'caseload data'!$C:$C,'custody %'!$B$22),"")</f>
        <v/>
      </c>
      <c r="S27" s="64"/>
      <c r="T27" s="98" t="s">
        <v>1004</v>
      </c>
      <c r="U27" s="167" t="str">
        <f>IFERROR(SUMIFS('caseload data'!E:E,'caseload data'!$C:$C,'custody %'!$T$22,'caseload data'!$D:$D,"SPO",'caseload data'!$B:$B,"custody")/SUMIFS('caseload data'!E:E,'caseload data'!$B:$B,"custody",'caseload data'!$C:$C,'custody %'!$T$22),"")</f>
        <v/>
      </c>
      <c r="V27" s="167" t="str">
        <f>IFERROR(SUMIFS('caseload data'!F:F,'caseload data'!$C:$C,'custody %'!$T$22,'caseload data'!$D:$D,"SPO",'caseload data'!$B:$B,"custody")/SUMIFS('caseload data'!F:F,'caseload data'!$B:$B,"custody",'caseload data'!$C:$C,'custody %'!$T$22),"")</f>
        <v/>
      </c>
      <c r="W27" s="167" t="str">
        <f>IFERROR(SUMIFS('caseload data'!G:G,'caseload data'!$C:$C,'custody %'!$T$22,'caseload data'!$D:$D,"SPO",'caseload data'!$B:$B,"custody")/SUMIFS('caseload data'!G:G,'caseload data'!$B:$B,"custody",'caseload data'!$C:$C,'custody %'!$T$22),"")</f>
        <v/>
      </c>
      <c r="X27" s="167" t="str">
        <f>IFERROR(SUMIFS('caseload data'!H:H,'caseload data'!$C:$C,'custody %'!$T$22,'caseload data'!$D:$D,"SPO",'caseload data'!$B:$B,"custody")/SUMIFS('caseload data'!H:H,'caseload data'!$B:$B,"custody",'caseload data'!$C:$C,'custody %'!$T$22),"")</f>
        <v/>
      </c>
      <c r="Y27" s="167" t="str">
        <f>IFERROR(SUMIFS('caseload data'!I:I,'caseload data'!$C:$C,'custody %'!$T$22,'caseload data'!$D:$D,"SPO",'caseload data'!$B:$B,"custody")/SUMIFS('caseload data'!I:I,'caseload data'!$B:$B,"custody",'caseload data'!$C:$C,'custody %'!$T$22),"")</f>
        <v/>
      </c>
      <c r="Z27" s="167" t="str">
        <f>IFERROR(SUMIFS('caseload data'!J:J,'caseload data'!$C:$C,'custody %'!$T$22,'caseload data'!$D:$D,"SPO",'caseload data'!$B:$B,"custody")/SUMIFS('caseload data'!J:J,'caseload data'!$B:$B,"custody",'caseload data'!$C:$C,'custody %'!$T$22),"")</f>
        <v/>
      </c>
      <c r="AA27" s="167" t="str">
        <f>IFERROR(SUMIFS('caseload data'!K:K,'caseload data'!$C:$C,'custody %'!$T$22,'caseload data'!$D:$D,"SPO",'caseload data'!$B:$B,"custody")/SUMIFS('caseload data'!K:K,'caseload data'!$B:$B,"custody",'caseload data'!$C:$C,'custody %'!$T$22),"")</f>
        <v/>
      </c>
      <c r="AB27" s="167" t="str">
        <f>IFERROR(SUMIFS('caseload data'!L:L,'caseload data'!$C:$C,'custody %'!$T$22,'caseload data'!$D:$D,"SPO",'caseload data'!$B:$B,"custody")/SUMIFS('caseload data'!L:L,'caseload data'!$B:$B,"custody",'caseload data'!$C:$C,'custody %'!$T$22),"")</f>
        <v/>
      </c>
      <c r="AC27" s="167" t="str">
        <f>IFERROR(SUMIFS('caseload data'!M:M,'caseload data'!$C:$C,'custody %'!$T$22,'caseload data'!$D:$D,"SPO",'caseload data'!$B:$B,"custody")/SUMIFS('caseload data'!M:M,'caseload data'!$B:$B,"custody",'caseload data'!$C:$C,'custody %'!$T$22),"")</f>
        <v/>
      </c>
      <c r="AD27" s="167" t="str">
        <f>IFERROR(SUMIFS('caseload data'!N:N,'caseload data'!$C:$C,'custody %'!$T$22,'caseload data'!$D:$D,"SPO",'caseload data'!$B:$B,"custody")/SUMIFS('caseload data'!N:N,'caseload data'!$B:$B,"custody",'caseload data'!$C:$C,'custody %'!$T$22),"")</f>
        <v/>
      </c>
      <c r="AE27" s="167" t="str">
        <f>IFERROR(SUMIFS('caseload data'!O:O,'caseload data'!$C:$C,'custody %'!$T$22,'caseload data'!$D:$D,"SPO",'caseload data'!$B:$B,"custody")/SUMIFS('caseload data'!O:O,'caseload data'!$B:$B,"custody",'caseload data'!$C:$C,'custody %'!$T$22),"")</f>
        <v/>
      </c>
      <c r="AF27" s="167" t="str">
        <f>IFERROR(SUMIFS('caseload data'!P:P,'caseload data'!$C:$C,'custody %'!$T$22,'caseload data'!$D:$D,"SPO",'caseload data'!$B:$B,"custody")/SUMIFS('caseload data'!P:P,'caseload data'!$B:$B,"custody",'caseload data'!$C:$C,'custody %'!$T$22),"")</f>
        <v/>
      </c>
      <c r="AG27" s="167" t="str">
        <f>IFERROR(SUMIFS('caseload data'!Q:Q,'caseload data'!$C:$C,'custody %'!$T$22,'caseload data'!$D:$D,"SPO",'caseload data'!$B:$B,"custody")/SUMIFS('caseload data'!Q:Q,'caseload data'!$B:$B,"custody",'caseload data'!$C:$C,'custody %'!$T$22),"")</f>
        <v/>
      </c>
      <c r="AH27" s="167" t="str">
        <f>IFERROR(SUMIFS('caseload data'!R:R,'caseload data'!$C:$C,'custody %'!$T$22,'caseload data'!$D:$D,"SPO",'caseload data'!$B:$B,"custody")/SUMIFS('caseload data'!R:R,'caseload data'!$B:$B,"custody",'caseload data'!$C:$C,'custody %'!$T$22),"")</f>
        <v/>
      </c>
      <c r="AI27" s="167"/>
      <c r="AJ27" s="167"/>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row>
    <row r="29" spans="2:36" ht="29.25" customHeight="1" x14ac:dyDescent="0.15">
      <c r="B29" s="289" t="str">
        <f>HLOOKUP($B$5,Region_Table,8,0)</f>
        <v>Nottinghamshire - N53</v>
      </c>
      <c r="C29" s="517" t="s">
        <v>1126</v>
      </c>
      <c r="D29" s="518"/>
      <c r="E29" s="518"/>
      <c r="F29" s="518"/>
      <c r="G29" s="518"/>
      <c r="H29" s="518"/>
      <c r="I29" s="518"/>
      <c r="J29" s="518"/>
      <c r="K29" s="518"/>
      <c r="L29" s="518"/>
      <c r="M29" s="537"/>
      <c r="N29" s="537"/>
      <c r="O29" s="538"/>
      <c r="P29" s="512">
        <f>SUMIF('caseload data'!$C:$C,'custody %'!B29,'caseload data'!V:V)</f>
        <v>0</v>
      </c>
      <c r="Q29" s="529"/>
      <c r="R29" s="530"/>
      <c r="S29" s="64"/>
      <c r="T29" s="289" t="str">
        <f>HLOOKUP($B$5,Region_Table,9,0)</f>
        <v>Unpaid Work and Attendance Centres - N53</v>
      </c>
      <c r="U29" s="517" t="s">
        <v>1126</v>
      </c>
      <c r="V29" s="518"/>
      <c r="W29" s="518"/>
      <c r="X29" s="518"/>
      <c r="Y29" s="518"/>
      <c r="Z29" s="518"/>
      <c r="AA29" s="518"/>
      <c r="AB29" s="518"/>
      <c r="AC29" s="537"/>
      <c r="AD29" s="537"/>
      <c r="AE29" s="538"/>
      <c r="AF29" s="512">
        <f>SUMIF('caseload data'!$C:$C,'custody %'!T29,'caseload data'!V:V)</f>
        <v>0</v>
      </c>
      <c r="AG29" s="529"/>
      <c r="AH29" s="530"/>
    </row>
    <row r="30" spans="2:36" x14ac:dyDescent="0.15">
      <c r="B30" s="95" t="s">
        <v>1000</v>
      </c>
      <c r="C30" s="38" t="s">
        <v>864</v>
      </c>
      <c r="D30" s="38" t="s">
        <v>865</v>
      </c>
      <c r="E30" s="38" t="s">
        <v>866</v>
      </c>
      <c r="F30" s="38" t="s">
        <v>867</v>
      </c>
      <c r="G30" s="38" t="s">
        <v>868</v>
      </c>
      <c r="H30" s="38" t="s">
        <v>869</v>
      </c>
      <c r="I30" s="38" t="s">
        <v>870</v>
      </c>
      <c r="J30" s="38" t="s">
        <v>871</v>
      </c>
      <c r="K30" s="38" t="s">
        <v>872</v>
      </c>
      <c r="L30" s="38" t="s">
        <v>873</v>
      </c>
      <c r="M30" s="38" t="s">
        <v>874</v>
      </c>
      <c r="N30" s="38" t="s">
        <v>875</v>
      </c>
      <c r="O30" s="38" t="s">
        <v>876</v>
      </c>
      <c r="P30" s="38" t="s">
        <v>877</v>
      </c>
      <c r="Q30" s="38" t="s">
        <v>878</v>
      </c>
      <c r="R30" s="38" t="s">
        <v>879</v>
      </c>
      <c r="S30" s="64"/>
      <c r="T30" s="95" t="s">
        <v>1000</v>
      </c>
      <c r="U30" s="38" t="s">
        <v>864</v>
      </c>
      <c r="V30" s="38" t="s">
        <v>865</v>
      </c>
      <c r="W30" s="38" t="s">
        <v>866</v>
      </c>
      <c r="X30" s="38" t="s">
        <v>867</v>
      </c>
      <c r="Y30" s="38" t="s">
        <v>868</v>
      </c>
      <c r="Z30" s="38" t="s">
        <v>869</v>
      </c>
      <c r="AA30" s="38" t="s">
        <v>870</v>
      </c>
      <c r="AB30" s="38" t="s">
        <v>871</v>
      </c>
      <c r="AC30" s="38" t="s">
        <v>872</v>
      </c>
      <c r="AD30" s="38" t="s">
        <v>873</v>
      </c>
      <c r="AE30" s="38" t="s">
        <v>874</v>
      </c>
      <c r="AF30" s="38" t="s">
        <v>875</v>
      </c>
      <c r="AG30" s="38" t="s">
        <v>876</v>
      </c>
      <c r="AH30" s="38" t="s">
        <v>877</v>
      </c>
      <c r="AI30" s="38" t="s">
        <v>878</v>
      </c>
      <c r="AJ30" s="38" t="s">
        <v>879</v>
      </c>
    </row>
    <row r="31" spans="2:36" x14ac:dyDescent="0.15">
      <c r="B31" s="96" t="s">
        <v>997</v>
      </c>
      <c r="C31" s="167" t="str">
        <f>IFERROR(SUMIFS('caseload data'!E:E,'caseload data'!$C:$C,'custody %'!$B$29,'caseload data'!$D:$D,"PO",'caseload data'!$B:$B,"custody")/SUMIFS('caseload data'!E:E,'caseload data'!$B:$B,"custody",'caseload data'!$C:$C,'custody %'!$B$29),"")</f>
        <v/>
      </c>
      <c r="D31" s="167" t="str">
        <f>IFERROR(SUMIFS('caseload data'!F:F,'caseload data'!$C:$C,'custody %'!$B$29,'caseload data'!$D:$D,"PO",'caseload data'!$B:$B,"custody")/SUMIFS('caseload data'!F:F,'caseload data'!$B:$B,"custody",'caseload data'!$C:$C,'custody %'!$B$29),"")</f>
        <v/>
      </c>
      <c r="E31" s="167" t="str">
        <f>IFERROR(SUMIFS('caseload data'!G:G,'caseload data'!$C:$C,'custody %'!$B$29,'caseload data'!$D:$D,"PO",'caseload data'!$B:$B,"custody")/SUMIFS('caseload data'!G:G,'caseload data'!$B:$B,"custody",'caseload data'!$C:$C,'custody %'!$B$29),"")</f>
        <v/>
      </c>
      <c r="F31" s="167" t="str">
        <f>IFERROR(SUMIFS('caseload data'!H:H,'caseload data'!$C:$C,'custody %'!$B$29,'caseload data'!$D:$D,"PO",'caseload data'!$B:$B,"custody")/SUMIFS('caseload data'!H:H,'caseload data'!$B:$B,"custody",'caseload data'!$C:$C,'custody %'!$B$29),"")</f>
        <v/>
      </c>
      <c r="G31" s="167" t="str">
        <f>IFERROR(SUMIFS('caseload data'!I:I,'caseload data'!$C:$C,'custody %'!$B$29,'caseload data'!$D:$D,"PO",'caseload data'!$B:$B,"custody")/SUMIFS('caseload data'!I:I,'caseload data'!$B:$B,"custody",'caseload data'!$C:$C,'custody %'!$B$29),"")</f>
        <v/>
      </c>
      <c r="H31" s="167" t="str">
        <f>IFERROR(SUMIFS('caseload data'!J:J,'caseload data'!$C:$C,'custody %'!$B$29,'caseload data'!$D:$D,"PO",'caseload data'!$B:$B,"custody")/SUMIFS('caseload data'!J:J,'caseload data'!$B:$B,"custody",'caseload data'!$C:$C,'custody %'!$B$29),"")</f>
        <v/>
      </c>
      <c r="I31" s="167" t="str">
        <f>IFERROR(SUMIFS('caseload data'!K:K,'caseload data'!$C:$C,'custody %'!$B$29,'caseload data'!$D:$D,"PO",'caseload data'!$B:$B,"custody")/SUMIFS('caseload data'!K:K,'caseload data'!$B:$B,"custody",'caseload data'!$C:$C,'custody %'!$B$29),"")</f>
        <v/>
      </c>
      <c r="J31" s="167" t="str">
        <f>IFERROR(SUMIFS('caseload data'!L:L,'caseload data'!$C:$C,'custody %'!$B$29,'caseload data'!$D:$D,"PO",'caseload data'!$B:$B,"custody")/SUMIFS('caseload data'!L:L,'caseload data'!$B:$B,"custody",'caseload data'!$C:$C,'custody %'!$B$29),"")</f>
        <v/>
      </c>
      <c r="K31" s="167" t="str">
        <f>IFERROR(SUMIFS('caseload data'!M:M,'caseload data'!$C:$C,'custody %'!$B$29,'caseload data'!$D:$D,"PO",'caseload data'!$B:$B,"custody")/SUMIFS('caseload data'!M:M,'caseload data'!$B:$B,"custody",'caseload data'!$C:$C,'custody %'!$B$29),"")</f>
        <v/>
      </c>
      <c r="L31" s="167" t="str">
        <f>IFERROR(SUMIFS('caseload data'!N:N,'caseload data'!$C:$C,'custody %'!$B$29,'caseload data'!$D:$D,"PO",'caseload data'!$B:$B,"custody")/SUMIFS('caseload data'!N:N,'caseload data'!$B:$B,"custody",'caseload data'!$C:$C,'custody %'!$B$29),"")</f>
        <v/>
      </c>
      <c r="M31" s="167" t="str">
        <f>IFERROR(SUMIFS('caseload data'!O:O,'caseload data'!$C:$C,'custody %'!$B$29,'caseload data'!$D:$D,"PO",'caseload data'!$B:$B,"custody")/SUMIFS('caseload data'!O:O,'caseload data'!$B:$B,"custody",'caseload data'!$C:$C,'custody %'!$B$29),"")</f>
        <v/>
      </c>
      <c r="N31" s="167" t="str">
        <f>IFERROR(SUMIFS('caseload data'!P:P,'caseload data'!$C:$C,'custody %'!$B$29,'caseload data'!$D:$D,"PO",'caseload data'!$B:$B,"custody")/SUMIFS('caseload data'!P:P,'caseload data'!$B:$B,"custody",'caseload data'!$C:$C,'custody %'!$B$29),"")</f>
        <v/>
      </c>
      <c r="O31" s="167" t="str">
        <f>IFERROR(SUMIFS('caseload data'!Q:Q,'caseload data'!$C:$C,'custody %'!$B$29,'caseload data'!$D:$D,"PO",'caseload data'!$B:$B,"custody")/SUMIFS('caseload data'!Q:Q,'caseload data'!$B:$B,"custody",'caseload data'!$C:$C,'custody %'!$B$29),"")</f>
        <v/>
      </c>
      <c r="P31" s="167" t="str">
        <f>IFERROR(SUMIFS('caseload data'!R:R,'caseload data'!$C:$C,'custody %'!$B$29,'caseload data'!$D:$D,"PO",'caseload data'!$B:$B,"custody")/SUMIFS('caseload data'!R:R,'caseload data'!$B:$B,"custody",'caseload data'!$C:$C,'custody %'!$B$29),"")</f>
        <v/>
      </c>
      <c r="Q31" s="167" t="str">
        <f>IFERROR(SUMIFS('caseload data'!S:S,'caseload data'!$C:$C,'custody %'!$B$29,'caseload data'!$D:$D,"PO",'caseload data'!$B:$B,"custody")/SUMIFS('caseload data'!S:S,'caseload data'!$B:$B,"custody",'caseload data'!$C:$C,'custody %'!$B$29),"")</f>
        <v/>
      </c>
      <c r="R31" s="167" t="str">
        <f>IFERROR(SUMIFS('caseload data'!T:T,'caseload data'!$C:$C,'custody %'!$B$29,'caseload data'!$D:$D,"PO",'caseload data'!$B:$B,"custody")/SUMIFS('caseload data'!T:T,'caseload data'!$B:$B,"custody",'caseload data'!$C:$C,'custody %'!$B$29),"")</f>
        <v/>
      </c>
      <c r="S31" s="64"/>
      <c r="T31" s="96" t="s">
        <v>997</v>
      </c>
      <c r="U31" s="167" t="str">
        <f>IFERROR(SUMIFS('caseload data'!E:E,'caseload data'!$C:$C,'custody %'!$T$29,'caseload data'!$D:$D,"PO",'caseload data'!$B:$B,"custody")/SUMIFS('caseload data'!E:E,'caseload data'!$B:$B,"custody",'caseload data'!$C:$C,'custody %'!$T$29),"")</f>
        <v/>
      </c>
      <c r="V31" s="167" t="str">
        <f>IFERROR(SUMIFS('caseload data'!F:F,'caseload data'!$C:$C,'custody %'!$T$29,'caseload data'!$D:$D,"PO",'caseload data'!$B:$B,"custody")/SUMIFS('caseload data'!F:F,'caseload data'!$B:$B,"custody",'caseload data'!$C:$C,'custody %'!$T$29),"")</f>
        <v/>
      </c>
      <c r="W31" s="167" t="str">
        <f>IFERROR(SUMIFS('caseload data'!G:G,'caseload data'!$C:$C,'custody %'!$T$29,'caseload data'!$D:$D,"PO",'caseload data'!$B:$B,"custody")/SUMIFS('caseload data'!G:G,'caseload data'!$B:$B,"custody",'caseload data'!$C:$C,'custody %'!$T$29),"")</f>
        <v/>
      </c>
      <c r="X31" s="167" t="str">
        <f>IFERROR(SUMIFS('caseload data'!H:H,'caseload data'!$C:$C,'custody %'!$T$29,'caseload data'!$D:$D,"PO",'caseload data'!$B:$B,"custody")/SUMIFS('caseload data'!H:H,'caseload data'!$B:$B,"custody",'caseload data'!$C:$C,'custody %'!$T$29),"")</f>
        <v/>
      </c>
      <c r="Y31" s="167" t="str">
        <f>IFERROR(SUMIFS('caseload data'!I:I,'caseload data'!$C:$C,'custody %'!$T$29,'caseload data'!$D:$D,"PO",'caseload data'!$B:$B,"custody")/SUMIFS('caseload data'!I:I,'caseload data'!$B:$B,"custody",'caseload data'!$C:$C,'custody %'!$T$29),"")</f>
        <v/>
      </c>
      <c r="Z31" s="167" t="str">
        <f>IFERROR(SUMIFS('caseload data'!J:J,'caseload data'!$C:$C,'custody %'!$T$29,'caseload data'!$D:$D,"PO",'caseload data'!$B:$B,"custody")/SUMIFS('caseload data'!J:J,'caseload data'!$B:$B,"custody",'caseload data'!$C:$C,'custody %'!$T$29),"")</f>
        <v/>
      </c>
      <c r="AA31" s="167" t="str">
        <f>IFERROR(SUMIFS('caseload data'!K:K,'caseload data'!$C:$C,'custody %'!$T$29,'caseload data'!$D:$D,"PO",'caseload data'!$B:$B,"custody")/SUMIFS('caseload data'!K:K,'caseload data'!$B:$B,"custody",'caseload data'!$C:$C,'custody %'!$T$29),"")</f>
        <v/>
      </c>
      <c r="AB31" s="167" t="str">
        <f>IFERROR(SUMIFS('caseload data'!L:L,'caseload data'!$C:$C,'custody %'!$T$29,'caseload data'!$D:$D,"PO",'caseload data'!$B:$B,"custody")/SUMIFS('caseload data'!L:L,'caseload data'!$B:$B,"custody",'caseload data'!$C:$C,'custody %'!$T$29),"")</f>
        <v/>
      </c>
      <c r="AC31" s="167" t="str">
        <f>IFERROR(SUMIFS('caseload data'!M:M,'caseload data'!$C:$C,'custody %'!$T$29,'caseload data'!$D:$D,"PO",'caseload data'!$B:$B,"custody")/SUMIFS('caseload data'!M:M,'caseload data'!$B:$B,"custody",'caseload data'!$C:$C,'custody %'!$T$29),"")</f>
        <v/>
      </c>
      <c r="AD31" s="167" t="str">
        <f>IFERROR(SUMIFS('caseload data'!N:N,'caseload data'!$C:$C,'custody %'!$T$29,'caseload data'!$D:$D,"PO",'caseload data'!$B:$B,"custody")/SUMIFS('caseload data'!N:N,'caseload data'!$B:$B,"custody",'caseload data'!$C:$C,'custody %'!$T$29),"")</f>
        <v/>
      </c>
      <c r="AE31" s="167" t="str">
        <f>IFERROR(SUMIFS('caseload data'!O:O,'caseload data'!$C:$C,'custody %'!$T$29,'caseload data'!$D:$D,"PO",'caseload data'!$B:$B,"custody")/SUMIFS('caseload data'!O:O,'caseload data'!$B:$B,"custody",'caseload data'!$C:$C,'custody %'!$T$29),"")</f>
        <v/>
      </c>
      <c r="AF31" s="167" t="str">
        <f>IFERROR(SUMIFS('caseload data'!P:P,'caseload data'!$C:$C,'custody %'!$T$29,'caseload data'!$D:$D,"PO",'caseload data'!$B:$B,"custody")/SUMIFS('caseload data'!P:P,'caseload data'!$B:$B,"custody",'caseload data'!$C:$C,'custody %'!$T$29),"")</f>
        <v/>
      </c>
      <c r="AG31" s="167" t="str">
        <f>IFERROR(SUMIFS('caseload data'!Q:Q,'caseload data'!$C:$C,'custody %'!$T$29,'caseload data'!$D:$D,"PO",'caseload data'!$B:$B,"custody")/SUMIFS('caseload data'!Q:Q,'caseload data'!$B:$B,"custody",'caseload data'!$C:$C,'custody %'!$T$29),"")</f>
        <v/>
      </c>
      <c r="AH31" s="167" t="str">
        <f>IFERROR(SUMIFS('caseload data'!R:R,'caseload data'!$C:$C,'custody %'!$T$29,'caseload data'!$D:$D,"PO",'caseload data'!$B:$B,"custody")/SUMIFS('caseload data'!R:R,'caseload data'!$B:$B,"custody",'caseload data'!$C:$C,'custody %'!$T$29),"")</f>
        <v/>
      </c>
      <c r="AI31" s="167"/>
      <c r="AJ31" s="167"/>
    </row>
    <row r="32" spans="2:36" x14ac:dyDescent="0.15">
      <c r="B32" s="97" t="s">
        <v>1002</v>
      </c>
      <c r="C32" s="167" t="str">
        <f>IFERROR(SUMIFS('caseload data'!E:E,'caseload data'!$C:$C,'custody %'!$B$29,'caseload data'!$D:$D,"PSO",'caseload data'!$B:$B,"custody")/SUMIFS('caseload data'!E:E,'caseload data'!$B:$B,"custody",'caseload data'!$C:$C,'custody %'!$B$29),"")</f>
        <v/>
      </c>
      <c r="D32" s="167" t="str">
        <f>IFERROR(SUMIFS('caseload data'!F:F,'caseload data'!$C:$C,'custody %'!$B$29,'caseload data'!$D:$D,"PSO",'caseload data'!$B:$B,"custody")/SUMIFS('caseload data'!F:F,'caseload data'!$B:$B,"custody",'caseload data'!$C:$C,'custody %'!$B$29),"")</f>
        <v/>
      </c>
      <c r="E32" s="167" t="str">
        <f>IFERROR(SUMIFS('caseload data'!G:G,'caseload data'!$C:$C,'custody %'!$B$29,'caseload data'!$D:$D,"PSO",'caseload data'!$B:$B,"custody")/SUMIFS('caseload data'!G:G,'caseload data'!$B:$B,"custody",'caseload data'!$C:$C,'custody %'!$B$29),"")</f>
        <v/>
      </c>
      <c r="F32" s="167" t="str">
        <f>IFERROR(SUMIFS('caseload data'!H:H,'caseload data'!$C:$C,'custody %'!$B$29,'caseload data'!$D:$D,"PSO",'caseload data'!$B:$B,"custody")/SUMIFS('caseload data'!H:H,'caseload data'!$B:$B,"custody",'caseload data'!$C:$C,'custody %'!$B$29),"")</f>
        <v/>
      </c>
      <c r="G32" s="167" t="str">
        <f>IFERROR(SUMIFS('caseload data'!I:I,'caseload data'!$C:$C,'custody %'!$B$29,'caseload data'!$D:$D,"PSO",'caseload data'!$B:$B,"custody")/SUMIFS('caseload data'!I:I,'caseload data'!$B:$B,"custody",'caseload data'!$C:$C,'custody %'!$B$29),"")</f>
        <v/>
      </c>
      <c r="H32" s="167" t="str">
        <f>IFERROR(SUMIFS('caseload data'!J:J,'caseload data'!$C:$C,'custody %'!$B$29,'caseload data'!$D:$D,"PSO",'caseload data'!$B:$B,"custody")/SUMIFS('caseload data'!J:J,'caseload data'!$B:$B,"custody",'caseload data'!$C:$C,'custody %'!$B$29),"")</f>
        <v/>
      </c>
      <c r="I32" s="167" t="str">
        <f>IFERROR(SUMIFS('caseload data'!K:K,'caseload data'!$C:$C,'custody %'!$B$29,'caseload data'!$D:$D,"PSO",'caseload data'!$B:$B,"custody")/SUMIFS('caseload data'!K:K,'caseload data'!$B:$B,"custody",'caseload data'!$C:$C,'custody %'!$B$29),"")</f>
        <v/>
      </c>
      <c r="J32" s="167" t="str">
        <f>IFERROR(SUMIFS('caseload data'!L:L,'caseload data'!$C:$C,'custody %'!$B$29,'caseload data'!$D:$D,"PSO",'caseload data'!$B:$B,"custody")/SUMIFS('caseload data'!L:L,'caseload data'!$B:$B,"custody",'caseload data'!$C:$C,'custody %'!$B$29),"")</f>
        <v/>
      </c>
      <c r="K32" s="167" t="str">
        <f>IFERROR(SUMIFS('caseload data'!M:M,'caseload data'!$C:$C,'custody %'!$B$29,'caseload data'!$D:$D,"PSO",'caseload data'!$B:$B,"custody")/SUMIFS('caseload data'!M:M,'caseload data'!$B:$B,"custody",'caseload data'!$C:$C,'custody %'!$B$29),"")</f>
        <v/>
      </c>
      <c r="L32" s="167" t="str">
        <f>IFERROR(SUMIFS('caseload data'!N:N,'caseload data'!$C:$C,'custody %'!$B$29,'caseload data'!$D:$D,"PSO",'caseload data'!$B:$B,"custody")/SUMIFS('caseload data'!N:N,'caseload data'!$B:$B,"custody",'caseload data'!$C:$C,'custody %'!$B$29),"")</f>
        <v/>
      </c>
      <c r="M32" s="167" t="str">
        <f>IFERROR(SUMIFS('caseload data'!O:O,'caseload data'!$C:$C,'custody %'!$B$29,'caseload data'!$D:$D,"PSO",'caseload data'!$B:$B,"custody")/SUMIFS('caseload data'!O:O,'caseload data'!$B:$B,"custody",'caseload data'!$C:$C,'custody %'!$B$29),"")</f>
        <v/>
      </c>
      <c r="N32" s="167" t="str">
        <f>IFERROR(SUMIFS('caseload data'!P:P,'caseload data'!$C:$C,'custody %'!$B$29,'caseload data'!$D:$D,"PSO",'caseload data'!$B:$B,"custody")/SUMIFS('caseload data'!P:P,'caseload data'!$B:$B,"custody",'caseload data'!$C:$C,'custody %'!$B$29),"")</f>
        <v/>
      </c>
      <c r="O32" s="167" t="str">
        <f>IFERROR(SUMIFS('caseload data'!Q:Q,'caseload data'!$C:$C,'custody %'!$B$29,'caseload data'!$D:$D,"PSO",'caseload data'!$B:$B,"custody")/SUMIFS('caseload data'!Q:Q,'caseload data'!$B:$B,"custody",'caseload data'!$C:$C,'custody %'!$B$29),"")</f>
        <v/>
      </c>
      <c r="P32" s="167" t="str">
        <f>IFERROR(SUMIFS('caseload data'!R:R,'caseload data'!$C:$C,'custody %'!$B$29,'caseload data'!$D:$D,"PSO",'caseload data'!$B:$B,"custody")/SUMIFS('caseload data'!R:R,'caseload data'!$B:$B,"custody",'caseload data'!$C:$C,'custody %'!$B$29),"")</f>
        <v/>
      </c>
      <c r="Q32" s="167" t="str">
        <f>IFERROR(SUMIFS('caseload data'!S:S,'caseload data'!$C:$C,'custody %'!$B$29,'caseload data'!$D:$D,"PSO",'caseload data'!$B:$B,"custody")/SUMIFS('caseload data'!S:S,'caseload data'!$B:$B,"custody",'caseload data'!$C:$C,'custody %'!$B$29),"")</f>
        <v/>
      </c>
      <c r="R32" s="167" t="str">
        <f>IFERROR(SUMIFS('caseload data'!T:T,'caseload data'!$C:$C,'custody %'!$B$29,'caseload data'!$D:$D,"PSO",'caseload data'!$B:$B,"custody")/SUMIFS('caseload data'!T:T,'caseload data'!$B:$B,"custody",'caseload data'!$C:$C,'custody %'!$B$29),"")</f>
        <v/>
      </c>
      <c r="S32" s="64"/>
      <c r="T32" s="97" t="s">
        <v>1002</v>
      </c>
      <c r="U32" s="167" t="str">
        <f>IFERROR(SUMIFS('caseload data'!E:E,'caseload data'!$C:$C,'custody %'!$T$29,'caseload data'!$D:$D,"PSO",'caseload data'!$B:$B,"custody")/SUMIFS('caseload data'!E:E,'caseload data'!$B:$B,"custody",'caseload data'!$C:$C,'custody %'!$T$29),"")</f>
        <v/>
      </c>
      <c r="V32" s="167" t="str">
        <f>IFERROR(SUMIFS('caseload data'!F:F,'caseload data'!$C:$C,'custody %'!$T$29,'caseload data'!$D:$D,"PSO",'caseload data'!$B:$B,"custody")/SUMIFS('caseload data'!F:F,'caseload data'!$B:$B,"custody",'caseload data'!$C:$C,'custody %'!$T$29),"")</f>
        <v/>
      </c>
      <c r="W32" s="167" t="str">
        <f>IFERROR(SUMIFS('caseload data'!G:G,'caseload data'!$C:$C,'custody %'!$T$29,'caseload data'!$D:$D,"PSO",'caseload data'!$B:$B,"custody")/SUMIFS('caseload data'!G:G,'caseload data'!$B:$B,"custody",'caseload data'!$C:$C,'custody %'!$T$29),"")</f>
        <v/>
      </c>
      <c r="X32" s="167" t="str">
        <f>IFERROR(SUMIFS('caseload data'!H:H,'caseload data'!$C:$C,'custody %'!$T$29,'caseload data'!$D:$D,"PSO",'caseload data'!$B:$B,"custody")/SUMIFS('caseload data'!H:H,'caseload data'!$B:$B,"custody",'caseload data'!$C:$C,'custody %'!$T$29),"")</f>
        <v/>
      </c>
      <c r="Y32" s="167" t="str">
        <f>IFERROR(SUMIFS('caseload data'!I:I,'caseload data'!$C:$C,'custody %'!$T$29,'caseload data'!$D:$D,"PSO",'caseload data'!$B:$B,"custody")/SUMIFS('caseload data'!I:I,'caseload data'!$B:$B,"custody",'caseload data'!$C:$C,'custody %'!$T$29),"")</f>
        <v/>
      </c>
      <c r="Z32" s="167" t="str">
        <f>IFERROR(SUMIFS('caseload data'!J:J,'caseload data'!$C:$C,'custody %'!$T$29,'caseload data'!$D:$D,"PSO",'caseload data'!$B:$B,"custody")/SUMIFS('caseload data'!J:J,'caseload data'!$B:$B,"custody",'caseload data'!$C:$C,'custody %'!$T$29),"")</f>
        <v/>
      </c>
      <c r="AA32" s="167" t="str">
        <f>IFERROR(SUMIFS('caseload data'!K:K,'caseload data'!$C:$C,'custody %'!$T$29,'caseload data'!$D:$D,"PSO",'caseload data'!$B:$B,"custody")/SUMIFS('caseload data'!K:K,'caseload data'!$B:$B,"custody",'caseload data'!$C:$C,'custody %'!$T$29),"")</f>
        <v/>
      </c>
      <c r="AB32" s="167" t="str">
        <f>IFERROR(SUMIFS('caseload data'!L:L,'caseload data'!$C:$C,'custody %'!$T$29,'caseload data'!$D:$D,"PSO",'caseload data'!$B:$B,"custody")/SUMIFS('caseload data'!L:L,'caseload data'!$B:$B,"custody",'caseload data'!$C:$C,'custody %'!$T$29),"")</f>
        <v/>
      </c>
      <c r="AC32" s="167" t="str">
        <f>IFERROR(SUMIFS('caseload data'!M:M,'caseload data'!$C:$C,'custody %'!$T$29,'caseload data'!$D:$D,"PSO",'caseload data'!$B:$B,"custody")/SUMIFS('caseload data'!M:M,'caseload data'!$B:$B,"custody",'caseload data'!$C:$C,'custody %'!$T$29),"")</f>
        <v/>
      </c>
      <c r="AD32" s="167" t="str">
        <f>IFERROR(SUMIFS('caseload data'!N:N,'caseload data'!$C:$C,'custody %'!$T$29,'caseload data'!$D:$D,"PSO",'caseload data'!$B:$B,"custody")/SUMIFS('caseload data'!N:N,'caseload data'!$B:$B,"custody",'caseload data'!$C:$C,'custody %'!$T$29),"")</f>
        <v/>
      </c>
      <c r="AE32" s="167" t="str">
        <f>IFERROR(SUMIFS('caseload data'!O:O,'caseload data'!$C:$C,'custody %'!$T$29,'caseload data'!$D:$D,"PSO",'caseload data'!$B:$B,"custody")/SUMIFS('caseload data'!O:O,'caseload data'!$B:$B,"custody",'caseload data'!$C:$C,'custody %'!$T$29),"")</f>
        <v/>
      </c>
      <c r="AF32" s="167" t="str">
        <f>IFERROR(SUMIFS('caseload data'!P:P,'caseload data'!$C:$C,'custody %'!$T$29,'caseload data'!$D:$D,"PSO",'caseload data'!$B:$B,"custody")/SUMIFS('caseload data'!P:P,'caseload data'!$B:$B,"custody",'caseload data'!$C:$C,'custody %'!$T$29),"")</f>
        <v/>
      </c>
      <c r="AG32" s="167" t="str">
        <f>IFERROR(SUMIFS('caseload data'!Q:Q,'caseload data'!$C:$C,'custody %'!$T$29,'caseload data'!$D:$D,"PSO",'caseload data'!$B:$B,"custody")/SUMIFS('caseload data'!Q:Q,'caseload data'!$B:$B,"custody",'caseload data'!$C:$C,'custody %'!$T$29),"")</f>
        <v/>
      </c>
      <c r="AH32" s="167" t="str">
        <f>IFERROR(SUMIFS('caseload data'!R:R,'caseload data'!$C:$C,'custody %'!$T$29,'caseload data'!$D:$D,"PSO",'caseload data'!$B:$B,"custody")/SUMIFS('caseload data'!R:R,'caseload data'!$B:$B,"custody",'caseload data'!$C:$C,'custody %'!$T$29),"")</f>
        <v/>
      </c>
      <c r="AI32" s="167"/>
      <c r="AJ32" s="167"/>
    </row>
    <row r="33" spans="2:36" x14ac:dyDescent="0.15">
      <c r="B33" s="97" t="s">
        <v>1003</v>
      </c>
      <c r="C33" s="167" t="str">
        <f>IFERROR(SUMIFS('caseload data'!E:E,'caseload data'!$C:$C,'custody %'!$B$29,'caseload data'!$D:$D,"TPO",'caseload data'!$B:$B,"custody")/SUMIFS('caseload data'!E:E,'caseload data'!$B:$B,"custody",'caseload data'!$C:$C,'custody %'!$B$29),"")</f>
        <v/>
      </c>
      <c r="D33" s="167" t="str">
        <f>IFERROR(SUMIFS('caseload data'!F:F,'caseload data'!$C:$C,'custody %'!$B$29,'caseload data'!$D:$D,"TPO",'caseload data'!$B:$B,"custody")/SUMIFS('caseload data'!F:F,'caseload data'!$B:$B,"custody",'caseload data'!$C:$C,'custody %'!$B$29),"")</f>
        <v/>
      </c>
      <c r="E33" s="167" t="str">
        <f>IFERROR(SUMIFS('caseload data'!G:G,'caseload data'!$C:$C,'custody %'!$B$29,'caseload data'!$D:$D,"TPO",'caseload data'!$B:$B,"custody")/SUMIFS('caseload data'!G:G,'caseload data'!$B:$B,"custody",'caseload data'!$C:$C,'custody %'!$B$29),"")</f>
        <v/>
      </c>
      <c r="F33" s="167" t="str">
        <f>IFERROR(SUMIFS('caseload data'!H:H,'caseload data'!$C:$C,'custody %'!$B$29,'caseload data'!$D:$D,"TPO",'caseload data'!$B:$B,"custody")/SUMIFS('caseload data'!H:H,'caseload data'!$B:$B,"custody",'caseload data'!$C:$C,'custody %'!$B$29),"")</f>
        <v/>
      </c>
      <c r="G33" s="167" t="str">
        <f>IFERROR(SUMIFS('caseload data'!I:I,'caseload data'!$C:$C,'custody %'!$B$29,'caseload data'!$D:$D,"TPO",'caseload data'!$B:$B,"custody")/SUMIFS('caseload data'!I:I,'caseload data'!$B:$B,"custody",'caseload data'!$C:$C,'custody %'!$B$29),"")</f>
        <v/>
      </c>
      <c r="H33" s="167" t="str">
        <f>IFERROR(SUMIFS('caseload data'!J:J,'caseload data'!$C:$C,'custody %'!$B$29,'caseload data'!$D:$D,"TPO",'caseload data'!$B:$B,"custody")/SUMIFS('caseload data'!J:J,'caseload data'!$B:$B,"custody",'caseload data'!$C:$C,'custody %'!$B$29),"")</f>
        <v/>
      </c>
      <c r="I33" s="167" t="str">
        <f>IFERROR(SUMIFS('caseload data'!K:K,'caseload data'!$C:$C,'custody %'!$B$29,'caseload data'!$D:$D,"TPO",'caseload data'!$B:$B,"custody")/SUMIFS('caseload data'!K:K,'caseload data'!$B:$B,"custody",'caseload data'!$C:$C,'custody %'!$B$29),"")</f>
        <v/>
      </c>
      <c r="J33" s="167" t="str">
        <f>IFERROR(SUMIFS('caseload data'!L:L,'caseload data'!$C:$C,'custody %'!$B$29,'caseload data'!$D:$D,"TPO",'caseload data'!$B:$B,"custody")/SUMIFS('caseload data'!L:L,'caseload data'!$B:$B,"custody",'caseload data'!$C:$C,'custody %'!$B$29),"")</f>
        <v/>
      </c>
      <c r="K33" s="167" t="str">
        <f>IFERROR(SUMIFS('caseload data'!M:M,'caseload data'!$C:$C,'custody %'!$B$29,'caseload data'!$D:$D,"TPO",'caseload data'!$B:$B,"custody")/SUMIFS('caseload data'!M:M,'caseload data'!$B:$B,"custody",'caseload data'!$C:$C,'custody %'!$B$29),"")</f>
        <v/>
      </c>
      <c r="L33" s="167" t="str">
        <f>IFERROR(SUMIFS('caseload data'!N:N,'caseload data'!$C:$C,'custody %'!$B$29,'caseload data'!$D:$D,"TPO",'caseload data'!$B:$B,"custody")/SUMIFS('caseload data'!N:N,'caseload data'!$B:$B,"custody",'caseload data'!$C:$C,'custody %'!$B$29),"")</f>
        <v/>
      </c>
      <c r="M33" s="167" t="str">
        <f>IFERROR(SUMIFS('caseload data'!O:O,'caseload data'!$C:$C,'custody %'!$B$29,'caseload data'!$D:$D,"TPO",'caseload data'!$B:$B,"custody")/SUMIFS('caseload data'!O:O,'caseload data'!$B:$B,"custody",'caseload data'!$C:$C,'custody %'!$B$29),"")</f>
        <v/>
      </c>
      <c r="N33" s="167" t="str">
        <f>IFERROR(SUMIFS('caseload data'!P:P,'caseload data'!$C:$C,'custody %'!$B$29,'caseload data'!$D:$D,"TPO",'caseload data'!$B:$B,"custody")/SUMIFS('caseload data'!P:P,'caseload data'!$B:$B,"custody",'caseload data'!$C:$C,'custody %'!$B$29),"")</f>
        <v/>
      </c>
      <c r="O33" s="167" t="str">
        <f>IFERROR(SUMIFS('caseload data'!Q:Q,'caseload data'!$C:$C,'custody %'!$B$29,'caseload data'!$D:$D,"TPO",'caseload data'!$B:$B,"custody")/SUMIFS('caseload data'!Q:Q,'caseload data'!$B:$B,"custody",'caseload data'!$C:$C,'custody %'!$B$29),"")</f>
        <v/>
      </c>
      <c r="P33" s="167" t="str">
        <f>IFERROR(SUMIFS('caseload data'!R:R,'caseload data'!$C:$C,'custody %'!$B$29,'caseload data'!$D:$D,"TPO",'caseload data'!$B:$B,"custody")/SUMIFS('caseload data'!R:R,'caseload data'!$B:$B,"custody",'caseload data'!$C:$C,'custody %'!$B$29),"")</f>
        <v/>
      </c>
      <c r="Q33" s="167" t="str">
        <f>IFERROR(SUMIFS('caseload data'!S:S,'caseload data'!$C:$C,'custody %'!$B$29,'caseload data'!$D:$D,"TPO",'caseload data'!$B:$B,"custody")/SUMIFS('caseload data'!S:S,'caseload data'!$B:$B,"custody",'caseload data'!$C:$C,'custody %'!$B$29),"")</f>
        <v/>
      </c>
      <c r="R33" s="167" t="str">
        <f>IFERROR(SUMIFS('caseload data'!T:T,'caseload data'!$C:$C,'custody %'!$B$29,'caseload data'!$D:$D,"TPO",'caseload data'!$B:$B,"custody")/SUMIFS('caseload data'!T:T,'caseload data'!$B:$B,"custody",'caseload data'!$C:$C,'custody %'!$B$29),"")</f>
        <v/>
      </c>
      <c r="S33" s="64"/>
      <c r="T33" s="97" t="s">
        <v>1003</v>
      </c>
      <c r="U33" s="167" t="str">
        <f>IFERROR(SUMIFS('caseload data'!E:E,'caseload data'!$C:$C,'custody %'!$T$29,'caseload data'!$D:$D,"TPO",'caseload data'!$B:$B,"custody")/SUMIFS('caseload data'!E:E,'caseload data'!$B:$B,"custody",'caseload data'!$C:$C,'custody %'!$T$29),"")</f>
        <v/>
      </c>
      <c r="V33" s="167" t="str">
        <f>IFERROR(SUMIFS('caseload data'!F:F,'caseload data'!$C:$C,'custody %'!$T$29,'caseload data'!$D:$D,"TPO",'caseload data'!$B:$B,"custody")/SUMIFS('caseload data'!F:F,'caseload data'!$B:$B,"custody",'caseload data'!$C:$C,'custody %'!$T$29),"")</f>
        <v/>
      </c>
      <c r="W33" s="167" t="str">
        <f>IFERROR(SUMIFS('caseload data'!G:G,'caseload data'!$C:$C,'custody %'!$T$29,'caseload data'!$D:$D,"TPO",'caseload data'!$B:$B,"custody")/SUMIFS('caseload data'!G:G,'caseload data'!$B:$B,"custody",'caseload data'!$C:$C,'custody %'!$T$29),"")</f>
        <v/>
      </c>
      <c r="X33" s="167" t="str">
        <f>IFERROR(SUMIFS('caseload data'!H:H,'caseload data'!$C:$C,'custody %'!$T$29,'caseload data'!$D:$D,"TPO",'caseload data'!$B:$B,"custody")/SUMIFS('caseload data'!H:H,'caseload data'!$B:$B,"custody",'caseload data'!$C:$C,'custody %'!$T$29),"")</f>
        <v/>
      </c>
      <c r="Y33" s="167" t="str">
        <f>IFERROR(SUMIFS('caseload data'!I:I,'caseload data'!$C:$C,'custody %'!$T$29,'caseload data'!$D:$D,"TPO",'caseload data'!$B:$B,"custody")/SUMIFS('caseload data'!I:I,'caseload data'!$B:$B,"custody",'caseload data'!$C:$C,'custody %'!$T$29),"")</f>
        <v/>
      </c>
      <c r="Z33" s="167" t="str">
        <f>IFERROR(SUMIFS('caseload data'!J:J,'caseload data'!$C:$C,'custody %'!$T$29,'caseload data'!$D:$D,"TPO",'caseload data'!$B:$B,"custody")/SUMIFS('caseload data'!J:J,'caseload data'!$B:$B,"custody",'caseload data'!$C:$C,'custody %'!$T$29),"")</f>
        <v/>
      </c>
      <c r="AA33" s="167" t="str">
        <f>IFERROR(SUMIFS('caseload data'!K:K,'caseload data'!$C:$C,'custody %'!$T$29,'caseload data'!$D:$D,"TPO",'caseload data'!$B:$B,"custody")/SUMIFS('caseload data'!K:K,'caseload data'!$B:$B,"custody",'caseload data'!$C:$C,'custody %'!$T$29),"")</f>
        <v/>
      </c>
      <c r="AB33" s="167" t="str">
        <f>IFERROR(SUMIFS('caseload data'!L:L,'caseload data'!$C:$C,'custody %'!$T$29,'caseload data'!$D:$D,"TPO",'caseload data'!$B:$B,"custody")/SUMIFS('caseload data'!L:L,'caseload data'!$B:$B,"custody",'caseload data'!$C:$C,'custody %'!$T$29),"")</f>
        <v/>
      </c>
      <c r="AC33" s="167" t="str">
        <f>IFERROR(SUMIFS('caseload data'!M:M,'caseload data'!$C:$C,'custody %'!$T$29,'caseload data'!$D:$D,"TPO",'caseload data'!$B:$B,"custody")/SUMIFS('caseload data'!M:M,'caseload data'!$B:$B,"custody",'caseload data'!$C:$C,'custody %'!$T$29),"")</f>
        <v/>
      </c>
      <c r="AD33" s="167" t="str">
        <f>IFERROR(SUMIFS('caseload data'!N:N,'caseload data'!$C:$C,'custody %'!$T$29,'caseload data'!$D:$D,"TPO",'caseload data'!$B:$B,"custody")/SUMIFS('caseload data'!N:N,'caseload data'!$B:$B,"custody",'caseload data'!$C:$C,'custody %'!$T$29),"")</f>
        <v/>
      </c>
      <c r="AE33" s="167" t="str">
        <f>IFERROR(SUMIFS('caseload data'!O:O,'caseload data'!$C:$C,'custody %'!$T$29,'caseload data'!$D:$D,"TPO",'caseload data'!$B:$B,"custody")/SUMIFS('caseload data'!O:O,'caseload data'!$B:$B,"custody",'caseload data'!$C:$C,'custody %'!$T$29),"")</f>
        <v/>
      </c>
      <c r="AF33" s="167" t="str">
        <f>IFERROR(SUMIFS('caseload data'!P:P,'caseload data'!$C:$C,'custody %'!$T$29,'caseload data'!$D:$D,"TPO",'caseload data'!$B:$B,"custody")/SUMIFS('caseload data'!P:P,'caseload data'!$B:$B,"custody",'caseload data'!$C:$C,'custody %'!$T$29),"")</f>
        <v/>
      </c>
      <c r="AG33" s="167" t="str">
        <f>IFERROR(SUMIFS('caseload data'!Q:Q,'caseload data'!$C:$C,'custody %'!$T$29,'caseload data'!$D:$D,"TPO",'caseload data'!$B:$B,"custody")/SUMIFS('caseload data'!Q:Q,'caseload data'!$B:$B,"custody",'caseload data'!$C:$C,'custody %'!$T$29),"")</f>
        <v/>
      </c>
      <c r="AH33" s="167" t="str">
        <f>IFERROR(SUMIFS('caseload data'!R:R,'caseload data'!$C:$C,'custody %'!$T$29,'caseload data'!$D:$D,"TPO",'caseload data'!$B:$B,"custody")/SUMIFS('caseload data'!R:R,'caseload data'!$B:$B,"custody",'caseload data'!$C:$C,'custody %'!$T$29),"")</f>
        <v/>
      </c>
      <c r="AI33" s="167"/>
      <c r="AJ33" s="167"/>
    </row>
    <row r="34" spans="2:36" x14ac:dyDescent="0.15">
      <c r="B34" s="98" t="s">
        <v>1004</v>
      </c>
      <c r="C34" s="167" t="str">
        <f>IFERROR(SUMIFS('caseload data'!E:E,'caseload data'!$C:$C,'custody %'!$B$29,'caseload data'!$D:$D,"SPO",'caseload data'!$B:$B,"custody")/SUMIFS('caseload data'!E:E,'caseload data'!$B:$B,"custody",'caseload data'!$C:$C,'custody %'!$B$29),"")</f>
        <v/>
      </c>
      <c r="D34" s="167" t="str">
        <f>IFERROR(SUMIFS('caseload data'!F:F,'caseload data'!$C:$C,'custody %'!$B$29,'caseload data'!$D:$D,"SPO",'caseload data'!$B:$B,"custody")/SUMIFS('caseload data'!F:F,'caseload data'!$B:$B,"custody",'caseload data'!$C:$C,'custody %'!$B$29),"")</f>
        <v/>
      </c>
      <c r="E34" s="167" t="str">
        <f>IFERROR(SUMIFS('caseload data'!G:G,'caseload data'!$C:$C,'custody %'!$B$29,'caseload data'!$D:$D,"SPO",'caseload data'!$B:$B,"custody")/SUMIFS('caseload data'!G:G,'caseload data'!$B:$B,"custody",'caseload data'!$C:$C,'custody %'!$B$29),"")</f>
        <v/>
      </c>
      <c r="F34" s="167" t="str">
        <f>IFERROR(SUMIFS('caseload data'!H:H,'caseload data'!$C:$C,'custody %'!$B$29,'caseload data'!$D:$D,"SPO",'caseload data'!$B:$B,"custody")/SUMIFS('caseload data'!H:H,'caseload data'!$B:$B,"custody",'caseload data'!$C:$C,'custody %'!$B$29),"")</f>
        <v/>
      </c>
      <c r="G34" s="167" t="str">
        <f>IFERROR(SUMIFS('caseload data'!I:I,'caseload data'!$C:$C,'custody %'!$B$29,'caseload data'!$D:$D,"SPO",'caseload data'!$B:$B,"custody")/SUMIFS('caseload data'!I:I,'caseload data'!$B:$B,"custody",'caseload data'!$C:$C,'custody %'!$B$29),"")</f>
        <v/>
      </c>
      <c r="H34" s="167" t="str">
        <f>IFERROR(SUMIFS('caseload data'!J:J,'caseload data'!$C:$C,'custody %'!$B$29,'caseload data'!$D:$D,"SPO",'caseload data'!$B:$B,"custody")/SUMIFS('caseload data'!J:J,'caseload data'!$B:$B,"custody",'caseload data'!$C:$C,'custody %'!$B$29),"")</f>
        <v/>
      </c>
      <c r="I34" s="167" t="str">
        <f>IFERROR(SUMIFS('caseload data'!K:K,'caseload data'!$C:$C,'custody %'!$B$29,'caseload data'!$D:$D,"SPO",'caseload data'!$B:$B,"custody")/SUMIFS('caseload data'!K:K,'caseload data'!$B:$B,"custody",'caseload data'!$C:$C,'custody %'!$B$29),"")</f>
        <v/>
      </c>
      <c r="J34" s="167" t="str">
        <f>IFERROR(SUMIFS('caseload data'!L:L,'caseload data'!$C:$C,'custody %'!$B$29,'caseload data'!$D:$D,"SPO",'caseload data'!$B:$B,"custody")/SUMIFS('caseload data'!L:L,'caseload data'!$B:$B,"custody",'caseload data'!$C:$C,'custody %'!$B$29),"")</f>
        <v/>
      </c>
      <c r="K34" s="167" t="str">
        <f>IFERROR(SUMIFS('caseload data'!M:M,'caseload data'!$C:$C,'custody %'!$B$29,'caseload data'!$D:$D,"SPO",'caseload data'!$B:$B,"custody")/SUMIFS('caseload data'!M:M,'caseload data'!$B:$B,"custody",'caseload data'!$C:$C,'custody %'!$B$29),"")</f>
        <v/>
      </c>
      <c r="L34" s="167" t="str">
        <f>IFERROR(SUMIFS('caseload data'!N:N,'caseload data'!$C:$C,'custody %'!$B$29,'caseload data'!$D:$D,"SPO",'caseload data'!$B:$B,"custody")/SUMIFS('caseload data'!N:N,'caseload data'!$B:$B,"custody",'caseload data'!$C:$C,'custody %'!$B$29),"")</f>
        <v/>
      </c>
      <c r="M34" s="167" t="str">
        <f>IFERROR(SUMIFS('caseload data'!O:O,'caseload data'!$C:$C,'custody %'!$B$29,'caseload data'!$D:$D,"SPO",'caseload data'!$B:$B,"custody")/SUMIFS('caseload data'!O:O,'caseload data'!$B:$B,"custody",'caseload data'!$C:$C,'custody %'!$B$29),"")</f>
        <v/>
      </c>
      <c r="N34" s="167" t="str">
        <f>IFERROR(SUMIFS('caseload data'!P:P,'caseload data'!$C:$C,'custody %'!$B$29,'caseload data'!$D:$D,"SPO",'caseload data'!$B:$B,"custody")/SUMIFS('caseload data'!P:P,'caseload data'!$B:$B,"custody",'caseload data'!$C:$C,'custody %'!$B$29),"")</f>
        <v/>
      </c>
      <c r="O34" s="167" t="str">
        <f>IFERROR(SUMIFS('caseload data'!Q:Q,'caseload data'!$C:$C,'custody %'!$B$29,'caseload data'!$D:$D,"SPO",'caseload data'!$B:$B,"custody")/SUMIFS('caseload data'!Q:Q,'caseload data'!$B:$B,"custody",'caseload data'!$C:$C,'custody %'!$B$29),"")</f>
        <v/>
      </c>
      <c r="P34" s="167" t="str">
        <f>IFERROR(SUMIFS('caseload data'!R:R,'caseload data'!$C:$C,'custody %'!$B$29,'caseload data'!$D:$D,"SPO",'caseload data'!$B:$B,"custody")/SUMIFS('caseload data'!R:R,'caseload data'!$B:$B,"custody",'caseload data'!$C:$C,'custody %'!$B$29),"")</f>
        <v/>
      </c>
      <c r="Q34" s="167" t="str">
        <f>IFERROR(SUMIFS('caseload data'!S:S,'caseload data'!$C:$C,'custody %'!$B$29,'caseload data'!$D:$D,"SPO",'caseload data'!$B:$B,"custody")/SUMIFS('caseload data'!S:S,'caseload data'!$B:$B,"custody",'caseload data'!$C:$C,'custody %'!$B$29),"")</f>
        <v/>
      </c>
      <c r="R34" s="167" t="str">
        <f>IFERROR(SUMIFS('caseload data'!T:T,'caseload data'!$C:$C,'custody %'!$B$29,'caseload data'!$D:$D,"SPO",'caseload data'!$B:$B,"custody")/SUMIFS('caseload data'!T:T,'caseload data'!$B:$B,"custody",'caseload data'!$C:$C,'custody %'!$B$29),"")</f>
        <v/>
      </c>
      <c r="S34" s="64"/>
      <c r="T34" s="98" t="s">
        <v>1004</v>
      </c>
      <c r="U34" s="167" t="str">
        <f>IFERROR(SUMIFS('caseload data'!E:E,'caseload data'!$C:$C,'custody %'!$T$29,'caseload data'!$D:$D,"SPO",'caseload data'!$B:$B,"custody")/SUMIFS('caseload data'!E:E,'caseload data'!$B:$B,"custody",'caseload data'!$C:$C,'custody %'!$T$29),"")</f>
        <v/>
      </c>
      <c r="V34" s="167" t="str">
        <f>IFERROR(SUMIFS('caseload data'!F:F,'caseload data'!$C:$C,'custody %'!$T$29,'caseload data'!$D:$D,"SPO",'caseload data'!$B:$B,"custody")/SUMIFS('caseload data'!F:F,'caseload data'!$B:$B,"custody",'caseload data'!$C:$C,'custody %'!$T$29),"")</f>
        <v/>
      </c>
      <c r="W34" s="167" t="str">
        <f>IFERROR(SUMIFS('caseload data'!G:G,'caseload data'!$C:$C,'custody %'!$T$29,'caseload data'!$D:$D,"SPO",'caseload data'!$B:$B,"custody")/SUMIFS('caseload data'!G:G,'caseload data'!$B:$B,"custody",'caseload data'!$C:$C,'custody %'!$T$29),"")</f>
        <v/>
      </c>
      <c r="X34" s="167" t="str">
        <f>IFERROR(SUMIFS('caseload data'!H:H,'caseload data'!$C:$C,'custody %'!$T$29,'caseload data'!$D:$D,"SPO",'caseload data'!$B:$B,"custody")/SUMIFS('caseload data'!H:H,'caseload data'!$B:$B,"custody",'caseload data'!$C:$C,'custody %'!$T$29),"")</f>
        <v/>
      </c>
      <c r="Y34" s="167" t="str">
        <f>IFERROR(SUMIFS('caseload data'!I:I,'caseload data'!$C:$C,'custody %'!$T$29,'caseload data'!$D:$D,"SPO",'caseload data'!$B:$B,"custody")/SUMIFS('caseload data'!I:I,'caseload data'!$B:$B,"custody",'caseload data'!$C:$C,'custody %'!$T$29),"")</f>
        <v/>
      </c>
      <c r="Z34" s="167" t="str">
        <f>IFERROR(SUMIFS('caseload data'!J:J,'caseload data'!$C:$C,'custody %'!$T$29,'caseload data'!$D:$D,"SPO",'caseload data'!$B:$B,"custody")/SUMIFS('caseload data'!J:J,'caseload data'!$B:$B,"custody",'caseload data'!$C:$C,'custody %'!$T$29),"")</f>
        <v/>
      </c>
      <c r="AA34" s="167" t="str">
        <f>IFERROR(SUMIFS('caseload data'!K:K,'caseload data'!$C:$C,'custody %'!$T$29,'caseload data'!$D:$D,"SPO",'caseload data'!$B:$B,"custody")/SUMIFS('caseload data'!K:K,'caseload data'!$B:$B,"custody",'caseload data'!$C:$C,'custody %'!$T$29),"")</f>
        <v/>
      </c>
      <c r="AB34" s="167" t="str">
        <f>IFERROR(SUMIFS('caseload data'!L:L,'caseload data'!$C:$C,'custody %'!$T$29,'caseload data'!$D:$D,"SPO",'caseload data'!$B:$B,"custody")/SUMIFS('caseload data'!L:L,'caseload data'!$B:$B,"custody",'caseload data'!$C:$C,'custody %'!$T$29),"")</f>
        <v/>
      </c>
      <c r="AC34" s="167" t="str">
        <f>IFERROR(SUMIFS('caseload data'!M:M,'caseload data'!$C:$C,'custody %'!$T$29,'caseload data'!$D:$D,"SPO",'caseload data'!$B:$B,"custody")/SUMIFS('caseload data'!M:M,'caseload data'!$B:$B,"custody",'caseload data'!$C:$C,'custody %'!$T$29),"")</f>
        <v/>
      </c>
      <c r="AD34" s="167" t="str">
        <f>IFERROR(SUMIFS('caseload data'!N:N,'caseload data'!$C:$C,'custody %'!$T$29,'caseload data'!$D:$D,"SPO",'caseload data'!$B:$B,"custody")/SUMIFS('caseload data'!N:N,'caseload data'!$B:$B,"custody",'caseload data'!$C:$C,'custody %'!$T$29),"")</f>
        <v/>
      </c>
      <c r="AE34" s="167" t="str">
        <f>IFERROR(SUMIFS('caseload data'!O:O,'caseload data'!$C:$C,'custody %'!$T$29,'caseload data'!$D:$D,"SPO",'caseload data'!$B:$B,"custody")/SUMIFS('caseload data'!O:O,'caseload data'!$B:$B,"custody",'caseload data'!$C:$C,'custody %'!$T$29),"")</f>
        <v/>
      </c>
      <c r="AF34" s="167" t="str">
        <f>IFERROR(SUMIFS('caseload data'!P:P,'caseload data'!$C:$C,'custody %'!$T$29,'caseload data'!$D:$D,"SPO",'caseload data'!$B:$B,"custody")/SUMIFS('caseload data'!P:P,'caseload data'!$B:$B,"custody",'caseload data'!$C:$C,'custody %'!$T$29),"")</f>
        <v/>
      </c>
      <c r="AG34" s="167" t="str">
        <f>IFERROR(SUMIFS('caseload data'!Q:Q,'caseload data'!$C:$C,'custody %'!$T$29,'caseload data'!$D:$D,"SPO",'caseload data'!$B:$B,"custody")/SUMIFS('caseload data'!Q:Q,'caseload data'!$B:$B,"custody",'caseload data'!$C:$C,'custody %'!$T$29),"")</f>
        <v/>
      </c>
      <c r="AH34" s="167" t="str">
        <f>IFERROR(SUMIFS('caseload data'!R:R,'caseload data'!$C:$C,'custody %'!$T$29,'caseload data'!$D:$D,"SPO",'caseload data'!$B:$B,"custody")/SUMIFS('caseload data'!R:R,'caseload data'!$B:$B,"custody",'caseload data'!$C:$C,'custody %'!$T$29),"")</f>
        <v/>
      </c>
      <c r="AI34" s="167"/>
      <c r="AJ34" s="167"/>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row>
    <row r="36" spans="2:36" ht="27.75" customHeight="1" x14ac:dyDescent="0.15">
      <c r="B36" s="289">
        <f>HLOOKUP($B$5,Region_Table,10,0)</f>
        <v>0</v>
      </c>
      <c r="C36" s="517" t="s">
        <v>1126</v>
      </c>
      <c r="D36" s="518"/>
      <c r="E36" s="518"/>
      <c r="F36" s="518"/>
      <c r="G36" s="518"/>
      <c r="H36" s="518"/>
      <c r="I36" s="518"/>
      <c r="J36" s="518"/>
      <c r="K36" s="518"/>
      <c r="L36" s="518"/>
      <c r="M36" s="537"/>
      <c r="N36" s="537"/>
      <c r="O36" s="538"/>
      <c r="P36" s="512">
        <f>SUMIF('caseload data'!$C:$C,'custody %'!B36,'caseload data'!V:V)</f>
        <v>0</v>
      </c>
      <c r="Q36" s="529"/>
      <c r="R36" s="530"/>
      <c r="S36" s="64"/>
      <c r="T36" s="289">
        <f>HLOOKUP($B$5,Region_Table,11,0)</f>
        <v>0</v>
      </c>
      <c r="U36" s="517" t="s">
        <v>1126</v>
      </c>
      <c r="V36" s="518"/>
      <c r="W36" s="518"/>
      <c r="X36" s="518"/>
      <c r="Y36" s="518"/>
      <c r="Z36" s="518"/>
      <c r="AA36" s="518"/>
      <c r="AB36" s="518"/>
      <c r="AC36" s="537"/>
      <c r="AD36" s="537"/>
      <c r="AE36" s="538"/>
      <c r="AF36" s="512">
        <f>SUMIF('caseload data'!$C:$C,'custody %'!T36,'caseload data'!V:V)</f>
        <v>0</v>
      </c>
      <c r="AG36" s="529"/>
      <c r="AH36" s="530"/>
    </row>
    <row r="37" spans="2:36" x14ac:dyDescent="0.15">
      <c r="B37" s="95" t="s">
        <v>1000</v>
      </c>
      <c r="C37" s="38" t="s">
        <v>864</v>
      </c>
      <c r="D37" s="38" t="s">
        <v>865</v>
      </c>
      <c r="E37" s="38" t="s">
        <v>866</v>
      </c>
      <c r="F37" s="38" t="s">
        <v>867</v>
      </c>
      <c r="G37" s="38" t="s">
        <v>868</v>
      </c>
      <c r="H37" s="38" t="s">
        <v>869</v>
      </c>
      <c r="I37" s="38" t="s">
        <v>870</v>
      </c>
      <c r="J37" s="38" t="s">
        <v>871</v>
      </c>
      <c r="K37" s="38" t="s">
        <v>872</v>
      </c>
      <c r="L37" s="38" t="s">
        <v>873</v>
      </c>
      <c r="M37" s="38" t="s">
        <v>874</v>
      </c>
      <c r="N37" s="38" t="s">
        <v>875</v>
      </c>
      <c r="O37" s="38" t="s">
        <v>876</v>
      </c>
      <c r="P37" s="38" t="s">
        <v>877</v>
      </c>
      <c r="Q37" s="38" t="s">
        <v>878</v>
      </c>
      <c r="R37" s="38" t="s">
        <v>879</v>
      </c>
      <c r="S37" s="64"/>
      <c r="T37" s="95" t="s">
        <v>1000</v>
      </c>
      <c r="U37" s="38" t="s">
        <v>864</v>
      </c>
      <c r="V37" s="38" t="s">
        <v>865</v>
      </c>
      <c r="W37" s="38" t="s">
        <v>866</v>
      </c>
      <c r="X37" s="38" t="s">
        <v>867</v>
      </c>
      <c r="Y37" s="38" t="s">
        <v>868</v>
      </c>
      <c r="Z37" s="38" t="s">
        <v>869</v>
      </c>
      <c r="AA37" s="38" t="s">
        <v>870</v>
      </c>
      <c r="AB37" s="38" t="s">
        <v>871</v>
      </c>
      <c r="AC37" s="38" t="s">
        <v>872</v>
      </c>
      <c r="AD37" s="38" t="s">
        <v>873</v>
      </c>
      <c r="AE37" s="38" t="s">
        <v>874</v>
      </c>
      <c r="AF37" s="38" t="s">
        <v>875</v>
      </c>
      <c r="AG37" s="38" t="s">
        <v>876</v>
      </c>
      <c r="AH37" s="38" t="s">
        <v>877</v>
      </c>
      <c r="AI37" s="38" t="s">
        <v>878</v>
      </c>
      <c r="AJ37" s="38" t="s">
        <v>879</v>
      </c>
    </row>
    <row r="38" spans="2:36" x14ac:dyDescent="0.15">
      <c r="B38" s="96" t="s">
        <v>997</v>
      </c>
      <c r="C38" s="167" t="str">
        <f>IFERROR(SUMIFS('caseload data'!E:E,'caseload data'!$C:$C,'custody %'!$B$36,'caseload data'!$D:$D,"PO",'caseload data'!$B:$B,"custody")/SUMIFS('caseload data'!E:E,'caseload data'!$B:$B,"custody",'caseload data'!$C:$C,'custody %'!$B$36),"")</f>
        <v/>
      </c>
      <c r="D38" s="167" t="str">
        <f>IFERROR(SUMIFS('caseload data'!F:F,'caseload data'!$C:$C,'custody %'!$B$36,'caseload data'!$D:$D,"PO",'caseload data'!$B:$B,"custody")/SUMIFS('caseload data'!F:F,'caseload data'!$B:$B,"custody",'caseload data'!$C:$C,'custody %'!$B$36),"")</f>
        <v/>
      </c>
      <c r="E38" s="167" t="str">
        <f>IFERROR(SUMIFS('caseload data'!G:G,'caseload data'!$C:$C,'custody %'!$B$36,'caseload data'!$D:$D,"PO",'caseload data'!$B:$B,"custody")/SUMIFS('caseload data'!G:G,'caseload data'!$B:$B,"custody",'caseload data'!$C:$C,'custody %'!$B$36),"")</f>
        <v/>
      </c>
      <c r="F38" s="167" t="str">
        <f>IFERROR(SUMIFS('caseload data'!H:H,'caseload data'!$C:$C,'custody %'!$B$36,'caseload data'!$D:$D,"PO",'caseload data'!$B:$B,"custody")/SUMIFS('caseload data'!H:H,'caseload data'!$B:$B,"custody",'caseload data'!$C:$C,'custody %'!$B$36),"")</f>
        <v/>
      </c>
      <c r="G38" s="167" t="str">
        <f>IFERROR(SUMIFS('caseload data'!I:I,'caseload data'!$C:$C,'custody %'!$B$36,'caseload data'!$D:$D,"PO",'caseload data'!$B:$B,"custody")/SUMIFS('caseload data'!I:I,'caseload data'!$B:$B,"custody",'caseload data'!$C:$C,'custody %'!$B$36),"")</f>
        <v/>
      </c>
      <c r="H38" s="167" t="str">
        <f>IFERROR(SUMIFS('caseload data'!J:J,'caseload data'!$C:$C,'custody %'!$B$36,'caseload data'!$D:$D,"PO",'caseload data'!$B:$B,"custody")/SUMIFS('caseload data'!J:J,'caseload data'!$B:$B,"custody",'caseload data'!$C:$C,'custody %'!$B$36),"")</f>
        <v/>
      </c>
      <c r="I38" s="167" t="str">
        <f>IFERROR(SUMIFS('caseload data'!K:K,'caseload data'!$C:$C,'custody %'!$B$36,'caseload data'!$D:$D,"PO",'caseload data'!$B:$B,"custody")/SUMIFS('caseload data'!K:K,'caseload data'!$B:$B,"custody",'caseload data'!$C:$C,'custody %'!$B$36),"")</f>
        <v/>
      </c>
      <c r="J38" s="167" t="str">
        <f>IFERROR(SUMIFS('caseload data'!L:L,'caseload data'!$C:$C,'custody %'!$B$36,'caseload data'!$D:$D,"PO",'caseload data'!$B:$B,"custody")/SUMIFS('caseload data'!L:L,'caseload data'!$B:$B,"custody",'caseload data'!$C:$C,'custody %'!$B$36),"")</f>
        <v/>
      </c>
      <c r="K38" s="167" t="str">
        <f>IFERROR(SUMIFS('caseload data'!M:M,'caseload data'!$C:$C,'custody %'!$B$36,'caseload data'!$D:$D,"PO",'caseload data'!$B:$B,"custody")/SUMIFS('caseload data'!M:M,'caseload data'!$B:$B,"custody",'caseload data'!$C:$C,'custody %'!$B$36),"")</f>
        <v/>
      </c>
      <c r="L38" s="167" t="str">
        <f>IFERROR(SUMIFS('caseload data'!N:N,'caseload data'!$C:$C,'custody %'!$B$36,'caseload data'!$D:$D,"PO",'caseload data'!$B:$B,"custody")/SUMIFS('caseload data'!N:N,'caseload data'!$B:$B,"custody",'caseload data'!$C:$C,'custody %'!$B$36),"")</f>
        <v/>
      </c>
      <c r="M38" s="167" t="str">
        <f>IFERROR(SUMIFS('caseload data'!O:O,'caseload data'!$C:$C,'custody %'!$B$36,'caseload data'!$D:$D,"PO",'caseload data'!$B:$B,"custody")/SUMIFS('caseload data'!O:O,'caseload data'!$B:$B,"custody",'caseload data'!$C:$C,'custody %'!$B$36),"")</f>
        <v/>
      </c>
      <c r="N38" s="167" t="str">
        <f>IFERROR(SUMIFS('caseload data'!P:P,'caseload data'!$C:$C,'custody %'!$B$36,'caseload data'!$D:$D,"PO",'caseload data'!$B:$B,"custody")/SUMIFS('caseload data'!P:P,'caseload data'!$B:$B,"custody",'caseload data'!$C:$C,'custody %'!$B$36),"")</f>
        <v/>
      </c>
      <c r="O38" s="167" t="str">
        <f>IFERROR(SUMIFS('caseload data'!Q:Q,'caseload data'!$C:$C,'custody %'!$B$36,'caseload data'!$D:$D,"PO",'caseload data'!$B:$B,"custody")/SUMIFS('caseload data'!Q:Q,'caseload data'!$B:$B,"custody",'caseload data'!$C:$C,'custody %'!$B$36),"")</f>
        <v/>
      </c>
      <c r="P38" s="167" t="str">
        <f>IFERROR(SUMIFS('caseload data'!R:R,'caseload data'!$C:$C,'custody %'!$B$36,'caseload data'!$D:$D,"PO",'caseload data'!$B:$B,"custody")/SUMIFS('caseload data'!R:R,'caseload data'!$B:$B,"custody",'caseload data'!$C:$C,'custody %'!$B$36),"")</f>
        <v/>
      </c>
      <c r="Q38" s="167" t="str">
        <f>IFERROR(SUMIFS('caseload data'!S:S,'caseload data'!$C:$C,'custody %'!$B$36,'caseload data'!$D:$D,"PO",'caseload data'!$B:$B,"custody")/SUMIFS('caseload data'!S:S,'caseload data'!$B:$B,"custody",'caseload data'!$C:$C,'custody %'!$B$36),"")</f>
        <v/>
      </c>
      <c r="R38" s="167" t="str">
        <f>IFERROR(SUMIFS('caseload data'!T:T,'caseload data'!$C:$C,'custody %'!$B$36,'caseload data'!$D:$D,"PO",'caseload data'!$B:$B,"custody")/SUMIFS('caseload data'!T:T,'caseload data'!$B:$B,"custody",'caseload data'!$C:$C,'custody %'!$B$36),"")</f>
        <v/>
      </c>
      <c r="S38" s="64"/>
      <c r="T38" s="96" t="s">
        <v>997</v>
      </c>
      <c r="U38" s="167" t="str">
        <f>IFERROR(SUMIFS('caseload data'!E:E,'caseload data'!$C:$C,'custody %'!$T$36,'caseload data'!$D:$D,"PO",'caseload data'!$B:$B,"custody")/SUMIFS('caseload data'!E:E,'caseload data'!$B:$B,"custody",'caseload data'!$C:$C,'custody %'!$T$36),"")</f>
        <v/>
      </c>
      <c r="V38" s="167" t="str">
        <f>IFERROR(SUMIFS('caseload data'!F:F,'caseload data'!$C:$C,'custody %'!$T$36,'caseload data'!$D:$D,"PO",'caseload data'!$B:$B,"custody")/SUMIFS('caseload data'!F:F,'caseload data'!$B:$B,"custody",'caseload data'!$C:$C,'custody %'!$T$36),"")</f>
        <v/>
      </c>
      <c r="W38" s="167" t="str">
        <f>IFERROR(SUMIFS('caseload data'!G:G,'caseload data'!$C:$C,'custody %'!$T$36,'caseload data'!$D:$D,"PO",'caseload data'!$B:$B,"custody")/SUMIFS('caseload data'!G:G,'caseload data'!$B:$B,"custody",'caseload data'!$C:$C,'custody %'!$T$36),"")</f>
        <v/>
      </c>
      <c r="X38" s="167" t="str">
        <f>IFERROR(SUMIFS('caseload data'!H:H,'caseload data'!$C:$C,'custody %'!$T$36,'caseload data'!$D:$D,"PO",'caseload data'!$B:$B,"custody")/SUMIFS('caseload data'!H:H,'caseload data'!$B:$B,"custody",'caseload data'!$C:$C,'custody %'!$T$36),"")</f>
        <v/>
      </c>
      <c r="Y38" s="167" t="str">
        <f>IFERROR(SUMIFS('caseload data'!I:I,'caseload data'!$C:$C,'custody %'!$T$36,'caseload data'!$D:$D,"PO",'caseload data'!$B:$B,"custody")/SUMIFS('caseload data'!I:I,'caseload data'!$B:$B,"custody",'caseload data'!$C:$C,'custody %'!$T$36),"")</f>
        <v/>
      </c>
      <c r="Z38" s="167" t="str">
        <f>IFERROR(SUMIFS('caseload data'!J:J,'caseload data'!$C:$C,'custody %'!$T$36,'caseload data'!$D:$D,"PO",'caseload data'!$B:$B,"custody")/SUMIFS('caseload data'!J:J,'caseload data'!$B:$B,"custody",'caseload data'!$C:$C,'custody %'!$T$36),"")</f>
        <v/>
      </c>
      <c r="AA38" s="167" t="str">
        <f>IFERROR(SUMIFS('caseload data'!K:K,'caseload data'!$C:$C,'custody %'!$T$36,'caseload data'!$D:$D,"PO",'caseload data'!$B:$B,"custody")/SUMIFS('caseload data'!K:K,'caseload data'!$B:$B,"custody",'caseload data'!$C:$C,'custody %'!$T$36),"")</f>
        <v/>
      </c>
      <c r="AB38" s="167" t="str">
        <f>IFERROR(SUMIFS('caseload data'!L:L,'caseload data'!$C:$C,'custody %'!$T$36,'caseload data'!$D:$D,"PO",'caseload data'!$B:$B,"custody")/SUMIFS('caseload data'!L:L,'caseload data'!$B:$B,"custody",'caseload data'!$C:$C,'custody %'!$T$36),"")</f>
        <v/>
      </c>
      <c r="AC38" s="167" t="str">
        <f>IFERROR(SUMIFS('caseload data'!M:M,'caseload data'!$C:$C,'custody %'!$T$36,'caseload data'!$D:$D,"PO",'caseload data'!$B:$B,"custody")/SUMIFS('caseload data'!M:M,'caseload data'!$B:$B,"custody",'caseload data'!$C:$C,'custody %'!$T$36),"")</f>
        <v/>
      </c>
      <c r="AD38" s="167" t="str">
        <f>IFERROR(SUMIFS('caseload data'!N:N,'caseload data'!$C:$C,'custody %'!$T$36,'caseload data'!$D:$D,"PO",'caseload data'!$B:$B,"custody")/SUMIFS('caseload data'!N:N,'caseload data'!$B:$B,"custody",'caseload data'!$C:$C,'custody %'!$T$36),"")</f>
        <v/>
      </c>
      <c r="AE38" s="167" t="str">
        <f>IFERROR(SUMIFS('caseload data'!O:O,'caseload data'!$C:$C,'custody %'!$T$36,'caseload data'!$D:$D,"PO",'caseload data'!$B:$B,"custody")/SUMIFS('caseload data'!O:O,'caseload data'!$B:$B,"custody",'caseload data'!$C:$C,'custody %'!$T$36),"")</f>
        <v/>
      </c>
      <c r="AF38" s="167" t="str">
        <f>IFERROR(SUMIFS('caseload data'!P:P,'caseload data'!$C:$C,'custody %'!$T$36,'caseload data'!$D:$D,"PO",'caseload data'!$B:$B,"custody")/SUMIFS('caseload data'!P:P,'caseload data'!$B:$B,"custody",'caseload data'!$C:$C,'custody %'!$T$36),"")</f>
        <v/>
      </c>
      <c r="AG38" s="167" t="str">
        <f>IFERROR(SUMIFS('caseload data'!Q:Q,'caseload data'!$C:$C,'custody %'!$T$36,'caseload data'!$D:$D,"PO",'caseload data'!$B:$B,"custody")/SUMIFS('caseload data'!Q:Q,'caseload data'!$B:$B,"custody",'caseload data'!$C:$C,'custody %'!$T$36),"")</f>
        <v/>
      </c>
      <c r="AH38" s="167" t="str">
        <f>IFERROR(SUMIFS('caseload data'!R:R,'caseload data'!$C:$C,'custody %'!$T$36,'caseload data'!$D:$D,"PO",'caseload data'!$B:$B,"custody")/SUMIFS('caseload data'!R:R,'caseload data'!$B:$B,"custody",'caseload data'!$C:$C,'custody %'!$T$36),"")</f>
        <v/>
      </c>
      <c r="AI38" s="167"/>
      <c r="AJ38" s="167"/>
    </row>
    <row r="39" spans="2:36" x14ac:dyDescent="0.15">
      <c r="B39" s="97" t="s">
        <v>1002</v>
      </c>
      <c r="C39" s="167" t="str">
        <f>IFERROR(SUMIFS('caseload data'!E:E,'caseload data'!$C:$C,'custody %'!$B$36,'caseload data'!$D:$D,"PSO",'caseload data'!$B:$B,"custody")/SUMIFS('caseload data'!E:E,'caseload data'!$B:$B,"custody",'caseload data'!$C:$C,'custody %'!$B$36),"")</f>
        <v/>
      </c>
      <c r="D39" s="167" t="str">
        <f>IFERROR(SUMIFS('caseload data'!F:F,'caseload data'!$C:$C,'custody %'!$B$36,'caseload data'!$D:$D,"PSO",'caseload data'!$B:$B,"custody")/SUMIFS('caseload data'!F:F,'caseload data'!$B:$B,"custody",'caseload data'!$C:$C,'custody %'!$B$36),"")</f>
        <v/>
      </c>
      <c r="E39" s="167" t="str">
        <f>IFERROR(SUMIFS('caseload data'!G:G,'caseload data'!$C:$C,'custody %'!$B$36,'caseload data'!$D:$D,"PSO",'caseload data'!$B:$B,"custody")/SUMIFS('caseload data'!G:G,'caseload data'!$B:$B,"custody",'caseload data'!$C:$C,'custody %'!$B$36),"")</f>
        <v/>
      </c>
      <c r="F39" s="167" t="str">
        <f>IFERROR(SUMIFS('caseload data'!H:H,'caseload data'!$C:$C,'custody %'!$B$36,'caseload data'!$D:$D,"PSO",'caseload data'!$B:$B,"custody")/SUMIFS('caseload data'!H:H,'caseload data'!$B:$B,"custody",'caseload data'!$C:$C,'custody %'!$B$36),"")</f>
        <v/>
      </c>
      <c r="G39" s="167" t="str">
        <f>IFERROR(SUMIFS('caseload data'!I:I,'caseload data'!$C:$C,'custody %'!$B$36,'caseload data'!$D:$D,"PSO",'caseload data'!$B:$B,"custody")/SUMIFS('caseload data'!I:I,'caseload data'!$B:$B,"custody",'caseload data'!$C:$C,'custody %'!$B$36),"")</f>
        <v/>
      </c>
      <c r="H39" s="167" t="str">
        <f>IFERROR(SUMIFS('caseload data'!J:J,'caseload data'!$C:$C,'custody %'!$B$36,'caseload data'!$D:$D,"PSO",'caseload data'!$B:$B,"custody")/SUMIFS('caseload data'!J:J,'caseload data'!$B:$B,"custody",'caseload data'!$C:$C,'custody %'!$B$36),"")</f>
        <v/>
      </c>
      <c r="I39" s="167" t="str">
        <f>IFERROR(SUMIFS('caseload data'!K:K,'caseload data'!$C:$C,'custody %'!$B$36,'caseload data'!$D:$D,"PSO",'caseload data'!$B:$B,"custody")/SUMIFS('caseload data'!K:K,'caseload data'!$B:$B,"custody",'caseload data'!$C:$C,'custody %'!$B$36),"")</f>
        <v/>
      </c>
      <c r="J39" s="167" t="str">
        <f>IFERROR(SUMIFS('caseload data'!L:L,'caseload data'!$C:$C,'custody %'!$B$36,'caseload data'!$D:$D,"PSO",'caseload data'!$B:$B,"custody")/SUMIFS('caseload data'!L:L,'caseload data'!$B:$B,"custody",'caseload data'!$C:$C,'custody %'!$B$36),"")</f>
        <v/>
      </c>
      <c r="K39" s="167" t="str">
        <f>IFERROR(SUMIFS('caseload data'!M:M,'caseload data'!$C:$C,'custody %'!$B$36,'caseload data'!$D:$D,"PSO",'caseload data'!$B:$B,"custody")/SUMIFS('caseload data'!M:M,'caseload data'!$B:$B,"custody",'caseload data'!$C:$C,'custody %'!$B$36),"")</f>
        <v/>
      </c>
      <c r="L39" s="167" t="str">
        <f>IFERROR(SUMIFS('caseload data'!N:N,'caseload data'!$C:$C,'custody %'!$B$36,'caseload data'!$D:$D,"PSO",'caseload data'!$B:$B,"custody")/SUMIFS('caseload data'!N:N,'caseload data'!$B:$B,"custody",'caseload data'!$C:$C,'custody %'!$B$36),"")</f>
        <v/>
      </c>
      <c r="M39" s="167" t="str">
        <f>IFERROR(SUMIFS('caseload data'!O:O,'caseload data'!$C:$C,'custody %'!$B$36,'caseload data'!$D:$D,"PSO",'caseload data'!$B:$B,"custody")/SUMIFS('caseload data'!O:O,'caseload data'!$B:$B,"custody",'caseload data'!$C:$C,'custody %'!$B$36),"")</f>
        <v/>
      </c>
      <c r="N39" s="167" t="str">
        <f>IFERROR(SUMIFS('caseload data'!P:P,'caseload data'!$C:$C,'custody %'!$B$36,'caseload data'!$D:$D,"PSO",'caseload data'!$B:$B,"custody")/SUMIFS('caseload data'!P:P,'caseload data'!$B:$B,"custody",'caseload data'!$C:$C,'custody %'!$B$36),"")</f>
        <v/>
      </c>
      <c r="O39" s="167" t="str">
        <f>IFERROR(SUMIFS('caseload data'!Q:Q,'caseload data'!$C:$C,'custody %'!$B$36,'caseload data'!$D:$D,"PSO",'caseload data'!$B:$B,"custody")/SUMIFS('caseload data'!Q:Q,'caseload data'!$B:$B,"custody",'caseload data'!$C:$C,'custody %'!$B$36),"")</f>
        <v/>
      </c>
      <c r="P39" s="167" t="str">
        <f>IFERROR(SUMIFS('caseload data'!R:R,'caseload data'!$C:$C,'custody %'!$B$36,'caseload data'!$D:$D,"PSO",'caseload data'!$B:$B,"custody")/SUMIFS('caseload data'!R:R,'caseload data'!$B:$B,"custody",'caseload data'!$C:$C,'custody %'!$B$36),"")</f>
        <v/>
      </c>
      <c r="Q39" s="167" t="str">
        <f>IFERROR(SUMIFS('caseload data'!S:S,'caseload data'!$C:$C,'custody %'!$B$36,'caseload data'!$D:$D,"PSO",'caseload data'!$B:$B,"custody")/SUMIFS('caseload data'!S:S,'caseload data'!$B:$B,"custody",'caseload data'!$C:$C,'custody %'!$B$36),"")</f>
        <v/>
      </c>
      <c r="R39" s="167" t="str">
        <f>IFERROR(SUMIFS('caseload data'!T:T,'caseload data'!$C:$C,'custody %'!$B$36,'caseload data'!$D:$D,"PSO",'caseload data'!$B:$B,"custody")/SUMIFS('caseload data'!T:T,'caseload data'!$B:$B,"custody",'caseload data'!$C:$C,'custody %'!$B$36),"")</f>
        <v/>
      </c>
      <c r="S39" s="64"/>
      <c r="T39" s="97" t="s">
        <v>1002</v>
      </c>
      <c r="U39" s="167" t="str">
        <f>IFERROR(SUMIFS('caseload data'!E:E,'caseload data'!$C:$C,'custody %'!$T$36,'caseload data'!$D:$D,"PSO",'caseload data'!$B:$B,"custody")/SUMIFS('caseload data'!E:E,'caseload data'!$B:$B,"custody",'caseload data'!$C:$C,'custody %'!$T$36),"")</f>
        <v/>
      </c>
      <c r="V39" s="167" t="str">
        <f>IFERROR(SUMIFS('caseload data'!F:F,'caseload data'!$C:$C,'custody %'!$T$36,'caseload data'!$D:$D,"PSO",'caseload data'!$B:$B,"custody")/SUMIFS('caseload data'!F:F,'caseload data'!$B:$B,"custody",'caseload data'!$C:$C,'custody %'!$T$36),"")</f>
        <v/>
      </c>
      <c r="W39" s="167" t="str">
        <f>IFERROR(SUMIFS('caseload data'!G:G,'caseload data'!$C:$C,'custody %'!$T$36,'caseload data'!$D:$D,"PSO",'caseload data'!$B:$B,"custody")/SUMIFS('caseload data'!G:G,'caseload data'!$B:$B,"custody",'caseload data'!$C:$C,'custody %'!$T$36),"")</f>
        <v/>
      </c>
      <c r="X39" s="167" t="str">
        <f>IFERROR(SUMIFS('caseload data'!H:H,'caseload data'!$C:$C,'custody %'!$T$36,'caseload data'!$D:$D,"PSO",'caseload data'!$B:$B,"custody")/SUMIFS('caseload data'!H:H,'caseload data'!$B:$B,"custody",'caseload data'!$C:$C,'custody %'!$T$36),"")</f>
        <v/>
      </c>
      <c r="Y39" s="167" t="str">
        <f>IFERROR(SUMIFS('caseload data'!I:I,'caseload data'!$C:$C,'custody %'!$T$36,'caseload data'!$D:$D,"PSO",'caseload data'!$B:$B,"custody")/SUMIFS('caseload data'!I:I,'caseload data'!$B:$B,"custody",'caseload data'!$C:$C,'custody %'!$T$36),"")</f>
        <v/>
      </c>
      <c r="Z39" s="167" t="str">
        <f>IFERROR(SUMIFS('caseload data'!J:J,'caseload data'!$C:$C,'custody %'!$T$36,'caseload data'!$D:$D,"PSO",'caseload data'!$B:$B,"custody")/SUMIFS('caseload data'!J:J,'caseload data'!$B:$B,"custody",'caseload data'!$C:$C,'custody %'!$T$36),"")</f>
        <v/>
      </c>
      <c r="AA39" s="167" t="str">
        <f>IFERROR(SUMIFS('caseload data'!K:K,'caseload data'!$C:$C,'custody %'!$T$36,'caseload data'!$D:$D,"PSO",'caseload data'!$B:$B,"custody")/SUMIFS('caseload data'!K:K,'caseload data'!$B:$B,"custody",'caseload data'!$C:$C,'custody %'!$T$36),"")</f>
        <v/>
      </c>
      <c r="AB39" s="167" t="str">
        <f>IFERROR(SUMIFS('caseload data'!L:L,'caseload data'!$C:$C,'custody %'!$T$36,'caseload data'!$D:$D,"PSO",'caseload data'!$B:$B,"custody")/SUMIFS('caseload data'!L:L,'caseload data'!$B:$B,"custody",'caseload data'!$C:$C,'custody %'!$T$36),"")</f>
        <v/>
      </c>
      <c r="AC39" s="167" t="str">
        <f>IFERROR(SUMIFS('caseload data'!M:M,'caseload data'!$C:$C,'custody %'!$T$36,'caseload data'!$D:$D,"PSO",'caseload data'!$B:$B,"custody")/SUMIFS('caseload data'!M:M,'caseload data'!$B:$B,"custody",'caseload data'!$C:$C,'custody %'!$T$36),"")</f>
        <v/>
      </c>
      <c r="AD39" s="167" t="str">
        <f>IFERROR(SUMIFS('caseload data'!N:N,'caseload data'!$C:$C,'custody %'!$T$36,'caseload data'!$D:$D,"PSO",'caseload data'!$B:$B,"custody")/SUMIFS('caseload data'!N:N,'caseload data'!$B:$B,"custody",'caseload data'!$C:$C,'custody %'!$T$36),"")</f>
        <v/>
      </c>
      <c r="AE39" s="167" t="str">
        <f>IFERROR(SUMIFS('caseload data'!O:O,'caseload data'!$C:$C,'custody %'!$T$36,'caseload data'!$D:$D,"PSO",'caseload data'!$B:$B,"custody")/SUMIFS('caseload data'!O:O,'caseload data'!$B:$B,"custody",'caseload data'!$C:$C,'custody %'!$T$36),"")</f>
        <v/>
      </c>
      <c r="AF39" s="167" t="str">
        <f>IFERROR(SUMIFS('caseload data'!P:P,'caseload data'!$C:$C,'custody %'!$T$36,'caseload data'!$D:$D,"PSO",'caseload data'!$B:$B,"custody")/SUMIFS('caseload data'!P:P,'caseload data'!$B:$B,"custody",'caseload data'!$C:$C,'custody %'!$T$36),"")</f>
        <v/>
      </c>
      <c r="AG39" s="167" t="str">
        <f>IFERROR(SUMIFS('caseload data'!Q:Q,'caseload data'!$C:$C,'custody %'!$T$36,'caseload data'!$D:$D,"PSO",'caseload data'!$B:$B,"custody")/SUMIFS('caseload data'!Q:Q,'caseload data'!$B:$B,"custody",'caseload data'!$C:$C,'custody %'!$T$36),"")</f>
        <v/>
      </c>
      <c r="AH39" s="167" t="str">
        <f>IFERROR(SUMIFS('caseload data'!R:R,'caseload data'!$C:$C,'custody %'!$T$36,'caseload data'!$D:$D,"PSO",'caseload data'!$B:$B,"custody")/SUMIFS('caseload data'!R:R,'caseload data'!$B:$B,"custody",'caseload data'!$C:$C,'custody %'!$T$36),"")</f>
        <v/>
      </c>
      <c r="AI39" s="167"/>
      <c r="AJ39" s="167"/>
    </row>
    <row r="40" spans="2:36" x14ac:dyDescent="0.15">
      <c r="B40" s="97" t="s">
        <v>1003</v>
      </c>
      <c r="C40" s="167" t="str">
        <f>IFERROR(SUMIFS('caseload data'!E:E,'caseload data'!$C:$C,'custody %'!$B$36,'caseload data'!$D:$D,"TPO",'caseload data'!$B:$B,"custody")/SUMIFS('caseload data'!E:E,'caseload data'!$B:$B,"custody",'caseload data'!$C:$C,'custody %'!$B$36),"")</f>
        <v/>
      </c>
      <c r="D40" s="167" t="str">
        <f>IFERROR(SUMIFS('caseload data'!F:F,'caseload data'!$C:$C,'custody %'!$B$36,'caseload data'!$D:$D,"TPO",'caseload data'!$B:$B,"custody")/SUMIFS('caseload data'!F:F,'caseload data'!$B:$B,"custody",'caseload data'!$C:$C,'custody %'!$B$36),"")</f>
        <v/>
      </c>
      <c r="E40" s="167" t="str">
        <f>IFERROR(SUMIFS('caseload data'!G:G,'caseload data'!$C:$C,'custody %'!$B$36,'caseload data'!$D:$D,"TPO",'caseload data'!$B:$B,"custody")/SUMIFS('caseload data'!G:G,'caseload data'!$B:$B,"custody",'caseload data'!$C:$C,'custody %'!$B$36),"")</f>
        <v/>
      </c>
      <c r="F40" s="167" t="str">
        <f>IFERROR(SUMIFS('caseload data'!H:H,'caseload data'!$C:$C,'custody %'!$B$36,'caseload data'!$D:$D,"TPO",'caseload data'!$B:$B,"custody")/SUMIFS('caseload data'!H:H,'caseload data'!$B:$B,"custody",'caseload data'!$C:$C,'custody %'!$B$36),"")</f>
        <v/>
      </c>
      <c r="G40" s="167" t="str">
        <f>IFERROR(SUMIFS('caseload data'!I:I,'caseload data'!$C:$C,'custody %'!$B$36,'caseload data'!$D:$D,"TPO",'caseload data'!$B:$B,"custody")/SUMIFS('caseload data'!I:I,'caseload data'!$B:$B,"custody",'caseload data'!$C:$C,'custody %'!$B$36),"")</f>
        <v/>
      </c>
      <c r="H40" s="167" t="str">
        <f>IFERROR(SUMIFS('caseload data'!J:J,'caseload data'!$C:$C,'custody %'!$B$36,'caseload data'!$D:$D,"TPO",'caseload data'!$B:$B,"custody")/SUMIFS('caseload data'!J:J,'caseload data'!$B:$B,"custody",'caseload data'!$C:$C,'custody %'!$B$36),"")</f>
        <v/>
      </c>
      <c r="I40" s="167" t="str">
        <f>IFERROR(SUMIFS('caseload data'!K:K,'caseload data'!$C:$C,'custody %'!$B$36,'caseload data'!$D:$D,"TPO",'caseload data'!$B:$B,"custody")/SUMIFS('caseload data'!K:K,'caseload data'!$B:$B,"custody",'caseload data'!$C:$C,'custody %'!$B$36),"")</f>
        <v/>
      </c>
      <c r="J40" s="167" t="str">
        <f>IFERROR(SUMIFS('caseload data'!L:L,'caseload data'!$C:$C,'custody %'!$B$36,'caseload data'!$D:$D,"TPO",'caseload data'!$B:$B,"custody")/SUMIFS('caseload data'!L:L,'caseload data'!$B:$B,"custody",'caseload data'!$C:$C,'custody %'!$B$36),"")</f>
        <v/>
      </c>
      <c r="K40" s="167" t="str">
        <f>IFERROR(SUMIFS('caseload data'!M:M,'caseload data'!$C:$C,'custody %'!$B$36,'caseload data'!$D:$D,"TPO",'caseload data'!$B:$B,"custody")/SUMIFS('caseload data'!M:M,'caseload data'!$B:$B,"custody",'caseload data'!$C:$C,'custody %'!$B$36),"")</f>
        <v/>
      </c>
      <c r="L40" s="167" t="str">
        <f>IFERROR(SUMIFS('caseload data'!N:N,'caseload data'!$C:$C,'custody %'!$B$36,'caseload data'!$D:$D,"TPO",'caseload data'!$B:$B,"custody")/SUMIFS('caseload data'!N:N,'caseload data'!$B:$B,"custody",'caseload data'!$C:$C,'custody %'!$B$36),"")</f>
        <v/>
      </c>
      <c r="M40" s="167" t="str">
        <f>IFERROR(SUMIFS('caseload data'!O:O,'caseload data'!$C:$C,'custody %'!$B$36,'caseload data'!$D:$D,"TPO",'caseload data'!$B:$B,"custody")/SUMIFS('caseload data'!O:O,'caseload data'!$B:$B,"custody",'caseload data'!$C:$C,'custody %'!$B$36),"")</f>
        <v/>
      </c>
      <c r="N40" s="167" t="str">
        <f>IFERROR(SUMIFS('caseload data'!P:P,'caseload data'!$C:$C,'custody %'!$B$36,'caseload data'!$D:$D,"TPO",'caseload data'!$B:$B,"custody")/SUMIFS('caseload data'!P:P,'caseload data'!$B:$B,"custody",'caseload data'!$C:$C,'custody %'!$B$36),"")</f>
        <v/>
      </c>
      <c r="O40" s="167" t="str">
        <f>IFERROR(SUMIFS('caseload data'!Q:Q,'caseload data'!$C:$C,'custody %'!$B$36,'caseload data'!$D:$D,"TPO",'caseload data'!$B:$B,"custody")/SUMIFS('caseload data'!Q:Q,'caseload data'!$B:$B,"custody",'caseload data'!$C:$C,'custody %'!$B$36),"")</f>
        <v/>
      </c>
      <c r="P40" s="167" t="str">
        <f>IFERROR(SUMIFS('caseload data'!R:R,'caseload data'!$C:$C,'custody %'!$B$36,'caseload data'!$D:$D,"TPO",'caseload data'!$B:$B,"custody")/SUMIFS('caseload data'!R:R,'caseload data'!$B:$B,"custody",'caseload data'!$C:$C,'custody %'!$B$36),"")</f>
        <v/>
      </c>
      <c r="Q40" s="167" t="str">
        <f>IFERROR(SUMIFS('caseload data'!S:S,'caseload data'!$C:$C,'custody %'!$B$36,'caseload data'!$D:$D,"TPO",'caseload data'!$B:$B,"custody")/SUMIFS('caseload data'!S:S,'caseload data'!$B:$B,"custody",'caseload data'!$C:$C,'custody %'!$B$36),"")</f>
        <v/>
      </c>
      <c r="R40" s="167" t="str">
        <f>IFERROR(SUMIFS('caseload data'!T:T,'caseload data'!$C:$C,'custody %'!$B$36,'caseload data'!$D:$D,"TPO",'caseload data'!$B:$B,"custody")/SUMIFS('caseload data'!T:T,'caseload data'!$B:$B,"custody",'caseload data'!$C:$C,'custody %'!$B$36),"")</f>
        <v/>
      </c>
      <c r="S40" s="64"/>
      <c r="T40" s="97" t="s">
        <v>1003</v>
      </c>
      <c r="U40" s="167" t="str">
        <f>IFERROR(SUMIFS('caseload data'!E:E,'caseload data'!$C:$C,'custody %'!$T$36,'caseload data'!$D:$D,"TPO",'caseload data'!$B:$B,"custody")/SUMIFS('caseload data'!E:E,'caseload data'!$B:$B,"custody",'caseload data'!$C:$C,'custody %'!$T$36),"")</f>
        <v/>
      </c>
      <c r="V40" s="167" t="str">
        <f>IFERROR(SUMIFS('caseload data'!F:F,'caseload data'!$C:$C,'custody %'!$T$36,'caseload data'!$D:$D,"TPO",'caseload data'!$B:$B,"custody")/SUMIFS('caseload data'!F:F,'caseload data'!$B:$B,"custody",'caseload data'!$C:$C,'custody %'!$T$36),"")</f>
        <v/>
      </c>
      <c r="W40" s="167" t="str">
        <f>IFERROR(SUMIFS('caseload data'!G:G,'caseload data'!$C:$C,'custody %'!$T$36,'caseload data'!$D:$D,"TPO",'caseload data'!$B:$B,"custody")/SUMIFS('caseload data'!G:G,'caseload data'!$B:$B,"custody",'caseload data'!$C:$C,'custody %'!$T$36),"")</f>
        <v/>
      </c>
      <c r="X40" s="167" t="str">
        <f>IFERROR(SUMIFS('caseload data'!H:H,'caseload data'!$C:$C,'custody %'!$T$36,'caseload data'!$D:$D,"TPO",'caseload data'!$B:$B,"custody")/SUMIFS('caseload data'!H:H,'caseload data'!$B:$B,"custody",'caseload data'!$C:$C,'custody %'!$T$36),"")</f>
        <v/>
      </c>
      <c r="Y40" s="167" t="str">
        <f>IFERROR(SUMIFS('caseload data'!I:I,'caseload data'!$C:$C,'custody %'!$T$36,'caseload data'!$D:$D,"TPO",'caseload data'!$B:$B,"custody")/SUMIFS('caseload data'!I:I,'caseload data'!$B:$B,"custody",'caseload data'!$C:$C,'custody %'!$T$36),"")</f>
        <v/>
      </c>
      <c r="Z40" s="167" t="str">
        <f>IFERROR(SUMIFS('caseload data'!J:J,'caseload data'!$C:$C,'custody %'!$T$36,'caseload data'!$D:$D,"TPO",'caseload data'!$B:$B,"custody")/SUMIFS('caseload data'!J:J,'caseload data'!$B:$B,"custody",'caseload data'!$C:$C,'custody %'!$T$36),"")</f>
        <v/>
      </c>
      <c r="AA40" s="167" t="str">
        <f>IFERROR(SUMIFS('caseload data'!K:K,'caseload data'!$C:$C,'custody %'!$T$36,'caseload data'!$D:$D,"TPO",'caseload data'!$B:$B,"custody")/SUMIFS('caseload data'!K:K,'caseload data'!$B:$B,"custody",'caseload data'!$C:$C,'custody %'!$T$36),"")</f>
        <v/>
      </c>
      <c r="AB40" s="167" t="str">
        <f>IFERROR(SUMIFS('caseload data'!L:L,'caseload data'!$C:$C,'custody %'!$T$36,'caseload data'!$D:$D,"TPO",'caseload data'!$B:$B,"custody")/SUMIFS('caseload data'!L:L,'caseload data'!$B:$B,"custody",'caseload data'!$C:$C,'custody %'!$T$36),"")</f>
        <v/>
      </c>
      <c r="AC40" s="167" t="str">
        <f>IFERROR(SUMIFS('caseload data'!M:M,'caseload data'!$C:$C,'custody %'!$T$36,'caseload data'!$D:$D,"TPO",'caseload data'!$B:$B,"custody")/SUMIFS('caseload data'!M:M,'caseload data'!$B:$B,"custody",'caseload data'!$C:$C,'custody %'!$T$36),"")</f>
        <v/>
      </c>
      <c r="AD40" s="167" t="str">
        <f>IFERROR(SUMIFS('caseload data'!N:N,'caseload data'!$C:$C,'custody %'!$T$36,'caseload data'!$D:$D,"TPO",'caseload data'!$B:$B,"custody")/SUMIFS('caseload data'!N:N,'caseload data'!$B:$B,"custody",'caseload data'!$C:$C,'custody %'!$T$36),"")</f>
        <v/>
      </c>
      <c r="AE40" s="167" t="str">
        <f>IFERROR(SUMIFS('caseload data'!O:O,'caseload data'!$C:$C,'custody %'!$T$36,'caseload data'!$D:$D,"TPO",'caseload data'!$B:$B,"custody")/SUMIFS('caseload data'!O:O,'caseload data'!$B:$B,"custody",'caseload data'!$C:$C,'custody %'!$T$36),"")</f>
        <v/>
      </c>
      <c r="AF40" s="167" t="str">
        <f>IFERROR(SUMIFS('caseload data'!P:P,'caseload data'!$C:$C,'custody %'!$T$36,'caseload data'!$D:$D,"TPO",'caseload data'!$B:$B,"custody")/SUMIFS('caseload data'!P:P,'caseload data'!$B:$B,"custody",'caseload data'!$C:$C,'custody %'!$T$36),"")</f>
        <v/>
      </c>
      <c r="AG40" s="167" t="str">
        <f>IFERROR(SUMIFS('caseload data'!Q:Q,'caseload data'!$C:$C,'custody %'!$T$36,'caseload data'!$D:$D,"TPO",'caseload data'!$B:$B,"custody")/SUMIFS('caseload data'!Q:Q,'caseload data'!$B:$B,"custody",'caseload data'!$C:$C,'custody %'!$T$36),"")</f>
        <v/>
      </c>
      <c r="AH40" s="167" t="str">
        <f>IFERROR(SUMIFS('caseload data'!R:R,'caseload data'!$C:$C,'custody %'!$T$36,'caseload data'!$D:$D,"TPO",'caseload data'!$B:$B,"custody")/SUMIFS('caseload data'!R:R,'caseload data'!$B:$B,"custody",'caseload data'!$C:$C,'custody %'!$T$36),"")</f>
        <v/>
      </c>
      <c r="AI40" s="167"/>
      <c r="AJ40" s="167"/>
    </row>
    <row r="41" spans="2:36" x14ac:dyDescent="0.15">
      <c r="B41" s="98" t="s">
        <v>1004</v>
      </c>
      <c r="C41" s="167" t="str">
        <f>IFERROR(SUMIFS('caseload data'!E:E,'caseload data'!$C:$C,'custody %'!$B$36,'caseload data'!$D:$D,"SPO",'caseload data'!$B:$B,"custody")/SUMIFS('caseload data'!E:E,'caseload data'!$B:$B,"custody",'caseload data'!$C:$C,'custody %'!$B$36),"")</f>
        <v/>
      </c>
      <c r="D41" s="167" t="str">
        <f>IFERROR(SUMIFS('caseload data'!F:F,'caseload data'!$C:$C,'custody %'!$B$36,'caseload data'!$D:$D,"SPO",'caseload data'!$B:$B,"custody")/SUMIFS('caseload data'!F:F,'caseload data'!$B:$B,"custody",'caseload data'!$C:$C,'custody %'!$B$36),"")</f>
        <v/>
      </c>
      <c r="E41" s="167" t="str">
        <f>IFERROR(SUMIFS('caseload data'!G:G,'caseload data'!$C:$C,'custody %'!$B$36,'caseload data'!$D:$D,"SPO",'caseload data'!$B:$B,"custody")/SUMIFS('caseload data'!G:G,'caseload data'!$B:$B,"custody",'caseload data'!$C:$C,'custody %'!$B$36),"")</f>
        <v/>
      </c>
      <c r="F41" s="167" t="str">
        <f>IFERROR(SUMIFS('caseload data'!H:H,'caseload data'!$C:$C,'custody %'!$B$36,'caseload data'!$D:$D,"SPO",'caseload data'!$B:$B,"custody")/SUMIFS('caseload data'!H:H,'caseload data'!$B:$B,"custody",'caseload data'!$C:$C,'custody %'!$B$36),"")</f>
        <v/>
      </c>
      <c r="G41" s="167" t="str">
        <f>IFERROR(SUMIFS('caseload data'!I:I,'caseload data'!$C:$C,'custody %'!$B$36,'caseload data'!$D:$D,"SPO",'caseload data'!$B:$B,"custody")/SUMIFS('caseload data'!I:I,'caseload data'!$B:$B,"custody",'caseload data'!$C:$C,'custody %'!$B$36),"")</f>
        <v/>
      </c>
      <c r="H41" s="167" t="str">
        <f>IFERROR(SUMIFS('caseload data'!J:J,'caseload data'!$C:$C,'custody %'!$B$36,'caseload data'!$D:$D,"SPO",'caseload data'!$B:$B,"custody")/SUMIFS('caseload data'!J:J,'caseload data'!$B:$B,"custody",'caseload data'!$C:$C,'custody %'!$B$36),"")</f>
        <v/>
      </c>
      <c r="I41" s="167" t="str">
        <f>IFERROR(SUMIFS('caseload data'!K:K,'caseload data'!$C:$C,'custody %'!$B$36,'caseload data'!$D:$D,"SPO",'caseload data'!$B:$B,"custody")/SUMIFS('caseload data'!K:K,'caseload data'!$B:$B,"custody",'caseload data'!$C:$C,'custody %'!$B$36),"")</f>
        <v/>
      </c>
      <c r="J41" s="167" t="str">
        <f>IFERROR(SUMIFS('caseload data'!L:L,'caseload data'!$C:$C,'custody %'!$B$36,'caseload data'!$D:$D,"SPO",'caseload data'!$B:$B,"custody")/SUMIFS('caseload data'!L:L,'caseload data'!$B:$B,"custody",'caseload data'!$C:$C,'custody %'!$B$36),"")</f>
        <v/>
      </c>
      <c r="K41" s="167" t="str">
        <f>IFERROR(SUMIFS('caseload data'!M:M,'caseload data'!$C:$C,'custody %'!$B$36,'caseload data'!$D:$D,"SPO",'caseload data'!$B:$B,"custody")/SUMIFS('caseload data'!M:M,'caseload data'!$B:$B,"custody",'caseload data'!$C:$C,'custody %'!$B$36),"")</f>
        <v/>
      </c>
      <c r="L41" s="167" t="str">
        <f>IFERROR(SUMIFS('caseload data'!N:N,'caseload data'!$C:$C,'custody %'!$B$36,'caseload data'!$D:$D,"SPO",'caseload data'!$B:$B,"custody")/SUMIFS('caseload data'!N:N,'caseload data'!$B:$B,"custody",'caseload data'!$C:$C,'custody %'!$B$36),"")</f>
        <v/>
      </c>
      <c r="M41" s="167" t="str">
        <f>IFERROR(SUMIFS('caseload data'!O:O,'caseload data'!$C:$C,'custody %'!$B$36,'caseload data'!$D:$D,"SPO",'caseload data'!$B:$B,"custody")/SUMIFS('caseload data'!O:O,'caseload data'!$B:$B,"custody",'caseload data'!$C:$C,'custody %'!$B$36),"")</f>
        <v/>
      </c>
      <c r="N41" s="167" t="str">
        <f>IFERROR(SUMIFS('caseload data'!P:P,'caseload data'!$C:$C,'custody %'!$B$36,'caseload data'!$D:$D,"SPO",'caseload data'!$B:$B,"custody")/SUMIFS('caseload data'!P:P,'caseload data'!$B:$B,"custody",'caseload data'!$C:$C,'custody %'!$B$36),"")</f>
        <v/>
      </c>
      <c r="O41" s="167" t="str">
        <f>IFERROR(SUMIFS('caseload data'!Q:Q,'caseload data'!$C:$C,'custody %'!$B$36,'caseload data'!$D:$D,"SPO",'caseload data'!$B:$B,"custody")/SUMIFS('caseload data'!Q:Q,'caseload data'!$B:$B,"custody",'caseload data'!$C:$C,'custody %'!$B$36),"")</f>
        <v/>
      </c>
      <c r="P41" s="167" t="str">
        <f>IFERROR(SUMIFS('caseload data'!R:R,'caseload data'!$C:$C,'custody %'!$B$36,'caseload data'!$D:$D,"SPO",'caseload data'!$B:$B,"custody")/SUMIFS('caseload data'!R:R,'caseload data'!$B:$B,"custody",'caseload data'!$C:$C,'custody %'!$B$36),"")</f>
        <v/>
      </c>
      <c r="Q41" s="167" t="str">
        <f>IFERROR(SUMIFS('caseload data'!S:S,'caseload data'!$C:$C,'custody %'!$B$36,'caseload data'!$D:$D,"SPO",'caseload data'!$B:$B,"custody")/SUMIFS('caseload data'!S:S,'caseload data'!$B:$B,"custody",'caseload data'!$C:$C,'custody %'!$B$36),"")</f>
        <v/>
      </c>
      <c r="R41" s="167" t="str">
        <f>IFERROR(SUMIFS('caseload data'!T:T,'caseload data'!$C:$C,'custody %'!$B$36,'caseload data'!$D:$D,"SPO",'caseload data'!$B:$B,"custody")/SUMIFS('caseload data'!T:T,'caseload data'!$B:$B,"custody",'caseload data'!$C:$C,'custody %'!$B$36),"")</f>
        <v/>
      </c>
      <c r="S41" s="64"/>
      <c r="T41" s="98" t="s">
        <v>1004</v>
      </c>
      <c r="U41" s="167" t="str">
        <f>IFERROR(SUMIFS('caseload data'!E:E,'caseload data'!$C:$C,'custody %'!$T$36,'caseload data'!$D:$D,"SPO",'caseload data'!$B:$B,"custody")/SUMIFS('caseload data'!E:E,'caseload data'!$B:$B,"custody",'caseload data'!$C:$C,'custody %'!$T$36),"")</f>
        <v/>
      </c>
      <c r="V41" s="167" t="str">
        <f>IFERROR(SUMIFS('caseload data'!F:F,'caseload data'!$C:$C,'custody %'!$T$36,'caseload data'!$D:$D,"SPO",'caseload data'!$B:$B,"custody")/SUMIFS('caseload data'!F:F,'caseload data'!$B:$B,"custody",'caseload data'!$C:$C,'custody %'!$T$36),"")</f>
        <v/>
      </c>
      <c r="W41" s="167" t="str">
        <f>IFERROR(SUMIFS('caseload data'!G:G,'caseload data'!$C:$C,'custody %'!$T$36,'caseload data'!$D:$D,"SPO",'caseload data'!$B:$B,"custody")/SUMIFS('caseload data'!G:G,'caseload data'!$B:$B,"custody",'caseload data'!$C:$C,'custody %'!$T$36),"")</f>
        <v/>
      </c>
      <c r="X41" s="167" t="str">
        <f>IFERROR(SUMIFS('caseload data'!H:H,'caseload data'!$C:$C,'custody %'!$T$36,'caseload data'!$D:$D,"SPO",'caseload data'!$B:$B,"custody")/SUMIFS('caseload data'!H:H,'caseload data'!$B:$B,"custody",'caseload data'!$C:$C,'custody %'!$T$36),"")</f>
        <v/>
      </c>
      <c r="Y41" s="167" t="str">
        <f>IFERROR(SUMIFS('caseload data'!I:I,'caseload data'!$C:$C,'custody %'!$T$36,'caseload data'!$D:$D,"SPO",'caseload data'!$B:$B,"custody")/SUMIFS('caseload data'!I:I,'caseload data'!$B:$B,"custody",'caseload data'!$C:$C,'custody %'!$T$36),"")</f>
        <v/>
      </c>
      <c r="Z41" s="167" t="str">
        <f>IFERROR(SUMIFS('caseload data'!J:J,'caseload data'!$C:$C,'custody %'!$T$36,'caseload data'!$D:$D,"SPO",'caseload data'!$B:$B,"custody")/SUMIFS('caseload data'!J:J,'caseload data'!$B:$B,"custody",'caseload data'!$C:$C,'custody %'!$T$36),"")</f>
        <v/>
      </c>
      <c r="AA41" s="167" t="str">
        <f>IFERROR(SUMIFS('caseload data'!K:K,'caseload data'!$C:$C,'custody %'!$T$36,'caseload data'!$D:$D,"SPO",'caseload data'!$B:$B,"custody")/SUMIFS('caseload data'!K:K,'caseload data'!$B:$B,"custody",'caseload data'!$C:$C,'custody %'!$T$36),"")</f>
        <v/>
      </c>
      <c r="AB41" s="167" t="str">
        <f>IFERROR(SUMIFS('caseload data'!L:L,'caseload data'!$C:$C,'custody %'!$T$36,'caseload data'!$D:$D,"SPO",'caseload data'!$B:$B,"custody")/SUMIFS('caseload data'!L:L,'caseload data'!$B:$B,"custody",'caseload data'!$C:$C,'custody %'!$T$36),"")</f>
        <v/>
      </c>
      <c r="AC41" s="167" t="str">
        <f>IFERROR(SUMIFS('caseload data'!M:M,'caseload data'!$C:$C,'custody %'!$T$36,'caseload data'!$D:$D,"SPO",'caseload data'!$B:$B,"custody")/SUMIFS('caseload data'!M:M,'caseload data'!$B:$B,"custody",'caseload data'!$C:$C,'custody %'!$T$36),"")</f>
        <v/>
      </c>
      <c r="AD41" s="167" t="str">
        <f>IFERROR(SUMIFS('caseload data'!N:N,'caseload data'!$C:$C,'custody %'!$T$36,'caseload data'!$D:$D,"SPO",'caseload data'!$B:$B,"custody")/SUMIFS('caseload data'!N:N,'caseload data'!$B:$B,"custody",'caseload data'!$C:$C,'custody %'!$T$36),"")</f>
        <v/>
      </c>
      <c r="AE41" s="167" t="str">
        <f>IFERROR(SUMIFS('caseload data'!O:O,'caseload data'!$C:$C,'custody %'!$T$36,'caseload data'!$D:$D,"SPO",'caseload data'!$B:$B,"custody")/SUMIFS('caseload data'!O:O,'caseload data'!$B:$B,"custody",'caseload data'!$C:$C,'custody %'!$T$36),"")</f>
        <v/>
      </c>
      <c r="AF41" s="167" t="str">
        <f>IFERROR(SUMIFS('caseload data'!P:P,'caseload data'!$C:$C,'custody %'!$T$36,'caseload data'!$D:$D,"SPO",'caseload data'!$B:$B,"custody")/SUMIFS('caseload data'!P:P,'caseload data'!$B:$B,"custody",'caseload data'!$C:$C,'custody %'!$T$36),"")</f>
        <v/>
      </c>
      <c r="AG41" s="167" t="str">
        <f>IFERROR(SUMIFS('caseload data'!Q:Q,'caseload data'!$C:$C,'custody %'!$T$36,'caseload data'!$D:$D,"SPO",'caseload data'!$B:$B,"custody")/SUMIFS('caseload data'!Q:Q,'caseload data'!$B:$B,"custody",'caseload data'!$C:$C,'custody %'!$T$36),"")</f>
        <v/>
      </c>
      <c r="AH41" s="167" t="str">
        <f>IFERROR(SUMIFS('caseload data'!R:R,'caseload data'!$C:$C,'custody %'!$T$36,'caseload data'!$D:$D,"SPO",'caseload data'!$B:$B,"custody")/SUMIFS('caseload data'!R:R,'caseload data'!$B:$B,"custody",'caseload data'!$C:$C,'custody %'!$T$36),"")</f>
        <v/>
      </c>
      <c r="AI41" s="167"/>
      <c r="AJ41" s="167"/>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row>
    <row r="43" spans="2:36" ht="29.25" customHeight="1" x14ac:dyDescent="0.15">
      <c r="B43" s="289">
        <f>HLOOKUP($B$5,Region_Table,12,0)</f>
        <v>0</v>
      </c>
      <c r="C43" s="517" t="s">
        <v>1126</v>
      </c>
      <c r="D43" s="518"/>
      <c r="E43" s="518"/>
      <c r="F43" s="518"/>
      <c r="G43" s="518"/>
      <c r="H43" s="518"/>
      <c r="I43" s="518"/>
      <c r="J43" s="518"/>
      <c r="K43" s="518"/>
      <c r="L43" s="518"/>
      <c r="M43" s="537"/>
      <c r="N43" s="537"/>
      <c r="O43" s="538"/>
      <c r="P43" s="512">
        <f>SUMIF('caseload data'!$C:$C,'custody %'!B43,'caseload data'!V:V)</f>
        <v>0</v>
      </c>
      <c r="Q43" s="529"/>
      <c r="R43" s="530"/>
      <c r="S43" s="64"/>
      <c r="T43" s="289">
        <f>HLOOKUP($B$5,Region_Table,13,0)</f>
        <v>0</v>
      </c>
      <c r="U43" s="517" t="s">
        <v>1126</v>
      </c>
      <c r="V43" s="518"/>
      <c r="W43" s="518"/>
      <c r="X43" s="518"/>
      <c r="Y43" s="518"/>
      <c r="Z43" s="518"/>
      <c r="AA43" s="518"/>
      <c r="AB43" s="518"/>
      <c r="AC43" s="537"/>
      <c r="AD43" s="537"/>
      <c r="AE43" s="538"/>
      <c r="AF43" s="512">
        <f>SUMIF('caseload data'!$C:$C,'custody %'!T43,'caseload data'!V:V)</f>
        <v>0</v>
      </c>
      <c r="AG43" s="529"/>
      <c r="AH43" s="530"/>
    </row>
    <row r="44" spans="2:36" x14ac:dyDescent="0.15">
      <c r="B44" s="95" t="s">
        <v>1000</v>
      </c>
      <c r="C44" s="38" t="s">
        <v>864</v>
      </c>
      <c r="D44" s="38" t="s">
        <v>865</v>
      </c>
      <c r="E44" s="38" t="s">
        <v>866</v>
      </c>
      <c r="F44" s="38" t="s">
        <v>867</v>
      </c>
      <c r="G44" s="38" t="s">
        <v>868</v>
      </c>
      <c r="H44" s="38" t="s">
        <v>869</v>
      </c>
      <c r="I44" s="38" t="s">
        <v>870</v>
      </c>
      <c r="J44" s="38" t="s">
        <v>871</v>
      </c>
      <c r="K44" s="38" t="s">
        <v>872</v>
      </c>
      <c r="L44" s="38" t="s">
        <v>873</v>
      </c>
      <c r="M44" s="38" t="s">
        <v>874</v>
      </c>
      <c r="N44" s="38" t="s">
        <v>875</v>
      </c>
      <c r="O44" s="38" t="s">
        <v>876</v>
      </c>
      <c r="P44" s="38" t="s">
        <v>877</v>
      </c>
      <c r="Q44" s="38" t="s">
        <v>878</v>
      </c>
      <c r="R44" s="38" t="s">
        <v>879</v>
      </c>
      <c r="S44" s="64"/>
      <c r="T44" s="95" t="s">
        <v>1000</v>
      </c>
      <c r="U44" s="38" t="s">
        <v>864</v>
      </c>
      <c r="V44" s="38" t="s">
        <v>865</v>
      </c>
      <c r="W44" s="38" t="s">
        <v>866</v>
      </c>
      <c r="X44" s="38" t="s">
        <v>867</v>
      </c>
      <c r="Y44" s="38" t="s">
        <v>868</v>
      </c>
      <c r="Z44" s="38" t="s">
        <v>869</v>
      </c>
      <c r="AA44" s="38" t="s">
        <v>870</v>
      </c>
      <c r="AB44" s="38" t="s">
        <v>871</v>
      </c>
      <c r="AC44" s="38" t="s">
        <v>872</v>
      </c>
      <c r="AD44" s="38" t="s">
        <v>873</v>
      </c>
      <c r="AE44" s="38" t="s">
        <v>874</v>
      </c>
      <c r="AF44" s="38" t="s">
        <v>875</v>
      </c>
      <c r="AG44" s="38" t="s">
        <v>876</v>
      </c>
      <c r="AH44" s="38" t="s">
        <v>877</v>
      </c>
      <c r="AI44" s="38" t="s">
        <v>878</v>
      </c>
      <c r="AJ44" s="38" t="s">
        <v>879</v>
      </c>
    </row>
    <row r="45" spans="2:36" x14ac:dyDescent="0.15">
      <c r="B45" s="96" t="s">
        <v>997</v>
      </c>
      <c r="C45" s="167" t="str">
        <f>IFERROR(SUMIFS('caseload data'!E:E,'caseload data'!$C:$C,'custody %'!$B$43,'caseload data'!$D:$D,"PO",'caseload data'!$B:$B,"custody")/SUMIFS('caseload data'!E:E,'caseload data'!$B:$B,"custody",'caseload data'!$C:$C,'custody %'!$B$43),"")</f>
        <v/>
      </c>
      <c r="D45" s="167" t="str">
        <f>IFERROR(SUMIFS('caseload data'!F:F,'caseload data'!$C:$C,'custody %'!$B$43,'caseload data'!$D:$D,"PO",'caseload data'!$B:$B,"custody")/SUMIFS('caseload data'!F:F,'caseload data'!$B:$B,"custody",'caseload data'!$C:$C,'custody %'!$B$43),"")</f>
        <v/>
      </c>
      <c r="E45" s="167" t="str">
        <f>IFERROR(SUMIFS('caseload data'!G:G,'caseload data'!$C:$C,'custody %'!$B$43,'caseload data'!$D:$D,"PO",'caseload data'!$B:$B,"custody")/SUMIFS('caseload data'!G:G,'caseload data'!$B:$B,"custody",'caseload data'!$C:$C,'custody %'!$B$43),"")</f>
        <v/>
      </c>
      <c r="F45" s="167" t="str">
        <f>IFERROR(SUMIFS('caseload data'!H:H,'caseload data'!$C:$C,'custody %'!$B$43,'caseload data'!$D:$D,"PO",'caseload data'!$B:$B,"custody")/SUMIFS('caseload data'!H:H,'caseload data'!$B:$B,"custody",'caseload data'!$C:$C,'custody %'!$B$43),"")</f>
        <v/>
      </c>
      <c r="G45" s="167" t="str">
        <f>IFERROR(SUMIFS('caseload data'!I:I,'caseload data'!$C:$C,'custody %'!$B$43,'caseload data'!$D:$D,"PO",'caseload data'!$B:$B,"custody")/SUMIFS('caseload data'!I:I,'caseload data'!$B:$B,"custody",'caseload data'!$C:$C,'custody %'!$B$43),"")</f>
        <v/>
      </c>
      <c r="H45" s="167" t="str">
        <f>IFERROR(SUMIFS('caseload data'!J:J,'caseload data'!$C:$C,'custody %'!$B$43,'caseload data'!$D:$D,"PO",'caseload data'!$B:$B,"custody")/SUMIFS('caseload data'!J:J,'caseload data'!$B:$B,"custody",'caseload data'!$C:$C,'custody %'!$B$43),"")</f>
        <v/>
      </c>
      <c r="I45" s="167" t="str">
        <f>IFERROR(SUMIFS('caseload data'!K:K,'caseload data'!$C:$C,'custody %'!$B$43,'caseload data'!$D:$D,"PO",'caseload data'!$B:$B,"custody")/SUMIFS('caseload data'!K:K,'caseload data'!$B:$B,"custody",'caseload data'!$C:$C,'custody %'!$B$43),"")</f>
        <v/>
      </c>
      <c r="J45" s="167" t="str">
        <f>IFERROR(SUMIFS('caseload data'!L:L,'caseload data'!$C:$C,'custody %'!$B$43,'caseload data'!$D:$D,"PO",'caseload data'!$B:$B,"custody")/SUMIFS('caseload data'!L:L,'caseload data'!$B:$B,"custody",'caseload data'!$C:$C,'custody %'!$B$43),"")</f>
        <v/>
      </c>
      <c r="K45" s="167" t="str">
        <f>IFERROR(SUMIFS('caseload data'!M:M,'caseload data'!$C:$C,'custody %'!$B$43,'caseload data'!$D:$D,"PO",'caseload data'!$B:$B,"custody")/SUMIFS('caseload data'!M:M,'caseload data'!$B:$B,"custody",'caseload data'!$C:$C,'custody %'!$B$43),"")</f>
        <v/>
      </c>
      <c r="L45" s="167" t="str">
        <f>IFERROR(SUMIFS('caseload data'!N:N,'caseload data'!$C:$C,'custody %'!$B$43,'caseload data'!$D:$D,"PO",'caseload data'!$B:$B,"custody")/SUMIFS('caseload data'!N:N,'caseload data'!$B:$B,"custody",'caseload data'!$C:$C,'custody %'!$B$43),"")</f>
        <v/>
      </c>
      <c r="M45" s="167" t="str">
        <f>IFERROR(SUMIFS('caseload data'!O:O,'caseload data'!$C:$C,'custody %'!$B$43,'caseload data'!$D:$D,"PO",'caseload data'!$B:$B,"custody")/SUMIFS('caseload data'!O:O,'caseload data'!$B:$B,"custody",'caseload data'!$C:$C,'custody %'!$B$43),"")</f>
        <v/>
      </c>
      <c r="N45" s="167" t="str">
        <f>IFERROR(SUMIFS('caseload data'!P:P,'caseload data'!$C:$C,'custody %'!$B$43,'caseload data'!$D:$D,"PO",'caseload data'!$B:$B,"custody")/SUMIFS('caseload data'!P:P,'caseload data'!$B:$B,"custody",'caseload data'!$C:$C,'custody %'!$B$43),"")</f>
        <v/>
      </c>
      <c r="O45" s="167" t="str">
        <f>IFERROR(SUMIFS('caseload data'!Q:Q,'caseload data'!$C:$C,'custody %'!$B$43,'caseload data'!$D:$D,"PO",'caseload data'!$B:$B,"custody")/SUMIFS('caseload data'!Q:Q,'caseload data'!$B:$B,"custody",'caseload data'!$C:$C,'custody %'!$B$43),"")</f>
        <v/>
      </c>
      <c r="P45" s="167" t="str">
        <f>IFERROR(SUMIFS('caseload data'!R:R,'caseload data'!$C:$C,'custody %'!$B$43,'caseload data'!$D:$D,"PO",'caseload data'!$B:$B,"custody")/SUMIFS('caseload data'!R:R,'caseload data'!$B:$B,"custody",'caseload data'!$C:$C,'custody %'!$B$43),"")</f>
        <v/>
      </c>
      <c r="Q45" s="167" t="str">
        <f>IFERROR(SUMIFS('caseload data'!S:S,'caseload data'!$C:$C,'custody %'!$B$43,'caseload data'!$D:$D,"PO",'caseload data'!$B:$B,"custody")/SUMIFS('caseload data'!S:S,'caseload data'!$B:$B,"custody",'caseload data'!$C:$C,'custody %'!$B$43),"")</f>
        <v/>
      </c>
      <c r="R45" s="167" t="str">
        <f>IFERROR(SUMIFS('caseload data'!T:T,'caseload data'!$C:$C,'custody %'!$B$43,'caseload data'!$D:$D,"PO",'caseload data'!$B:$B,"custody")/SUMIFS('caseload data'!T:T,'caseload data'!$B:$B,"custody",'caseload data'!$C:$C,'custody %'!$B$43),"")</f>
        <v/>
      </c>
      <c r="S45" s="64"/>
      <c r="T45" s="96" t="s">
        <v>997</v>
      </c>
      <c r="U45" s="167" t="str">
        <f>IFERROR(SUMIFS('caseload data'!E:E,'caseload data'!$C:$C,'custody %'!$T$43,'caseload data'!$D:$D,"PO",'caseload data'!$B:$B,"custody")/SUMIFS('caseload data'!E:E,'caseload data'!$B:$B,"custody",'caseload data'!$C:$C,'custody %'!$T$43),"")</f>
        <v/>
      </c>
      <c r="V45" s="167" t="str">
        <f>IFERROR(SUMIFS('caseload data'!F:F,'caseload data'!$C:$C,'custody %'!$T$43,'caseload data'!$D:$D,"PO",'caseload data'!$B:$B,"custody")/SUMIFS('caseload data'!F:F,'caseload data'!$B:$B,"custody",'caseload data'!$C:$C,'custody %'!$T$43),"")</f>
        <v/>
      </c>
      <c r="W45" s="167" t="str">
        <f>IFERROR(SUMIFS('caseload data'!G:G,'caseload data'!$C:$C,'custody %'!$T$43,'caseload data'!$D:$D,"PO",'caseload data'!$B:$B,"custody")/SUMIFS('caseload data'!G:G,'caseload data'!$B:$B,"custody",'caseload data'!$C:$C,'custody %'!$T$43),"")</f>
        <v/>
      </c>
      <c r="X45" s="167" t="str">
        <f>IFERROR(SUMIFS('caseload data'!H:H,'caseload data'!$C:$C,'custody %'!$T$43,'caseload data'!$D:$D,"PO",'caseload data'!$B:$B,"custody")/SUMIFS('caseload data'!H:H,'caseload data'!$B:$B,"custody",'caseload data'!$C:$C,'custody %'!$T$43),"")</f>
        <v/>
      </c>
      <c r="Y45" s="167" t="str">
        <f>IFERROR(SUMIFS('caseload data'!I:I,'caseload data'!$C:$C,'custody %'!$T$43,'caseload data'!$D:$D,"PO",'caseload data'!$B:$B,"custody")/SUMIFS('caseload data'!I:I,'caseload data'!$B:$B,"custody",'caseload data'!$C:$C,'custody %'!$T$43),"")</f>
        <v/>
      </c>
      <c r="Z45" s="167" t="str">
        <f>IFERROR(SUMIFS('caseload data'!J:J,'caseload data'!$C:$C,'custody %'!$T$43,'caseload data'!$D:$D,"PO",'caseload data'!$B:$B,"custody")/SUMIFS('caseload data'!J:J,'caseload data'!$B:$B,"custody",'caseload data'!$C:$C,'custody %'!$T$43),"")</f>
        <v/>
      </c>
      <c r="AA45" s="167" t="str">
        <f>IFERROR(SUMIFS('caseload data'!K:K,'caseload data'!$C:$C,'custody %'!$T$43,'caseload data'!$D:$D,"PO",'caseload data'!$B:$B,"custody")/SUMIFS('caseload data'!K:K,'caseload data'!$B:$B,"custody",'caseload data'!$C:$C,'custody %'!$T$43),"")</f>
        <v/>
      </c>
      <c r="AB45" s="167" t="str">
        <f>IFERROR(SUMIFS('caseload data'!L:L,'caseload data'!$C:$C,'custody %'!$T$43,'caseload data'!$D:$D,"PO",'caseload data'!$B:$B,"custody")/SUMIFS('caseload data'!L:L,'caseload data'!$B:$B,"custody",'caseload data'!$C:$C,'custody %'!$T$43),"")</f>
        <v/>
      </c>
      <c r="AC45" s="167" t="str">
        <f>IFERROR(SUMIFS('caseload data'!M:M,'caseload data'!$C:$C,'custody %'!$T$43,'caseload data'!$D:$D,"PO",'caseload data'!$B:$B,"custody")/SUMIFS('caseload data'!M:M,'caseload data'!$B:$B,"custody",'caseload data'!$C:$C,'custody %'!$T$43),"")</f>
        <v/>
      </c>
      <c r="AD45" s="167" t="str">
        <f>IFERROR(SUMIFS('caseload data'!N:N,'caseload data'!$C:$C,'custody %'!$T$43,'caseload data'!$D:$D,"PO",'caseload data'!$B:$B,"custody")/SUMIFS('caseload data'!N:N,'caseload data'!$B:$B,"custody",'caseload data'!$C:$C,'custody %'!$T$43),"")</f>
        <v/>
      </c>
      <c r="AE45" s="167" t="str">
        <f>IFERROR(SUMIFS('caseload data'!O:O,'caseload data'!$C:$C,'custody %'!$T$43,'caseload data'!$D:$D,"PO",'caseload data'!$B:$B,"custody")/SUMIFS('caseload data'!O:O,'caseload data'!$B:$B,"custody",'caseload data'!$C:$C,'custody %'!$T$43),"")</f>
        <v/>
      </c>
      <c r="AF45" s="167" t="str">
        <f>IFERROR(SUMIFS('caseload data'!P:P,'caseload data'!$C:$C,'custody %'!$T$43,'caseload data'!$D:$D,"PO",'caseload data'!$B:$B,"custody")/SUMIFS('caseload data'!P:P,'caseload data'!$B:$B,"custody",'caseload data'!$C:$C,'custody %'!$T$43),"")</f>
        <v/>
      </c>
      <c r="AG45" s="167" t="str">
        <f>IFERROR(SUMIFS('caseload data'!Q:Q,'caseload data'!$C:$C,'custody %'!$T$43,'caseload data'!$D:$D,"PO",'caseload data'!$B:$B,"custody")/SUMIFS('caseload data'!Q:Q,'caseload data'!$B:$B,"custody",'caseload data'!$C:$C,'custody %'!$T$43),"")</f>
        <v/>
      </c>
      <c r="AH45" s="167" t="str">
        <f>IFERROR(SUMIFS('caseload data'!R:R,'caseload data'!$C:$C,'custody %'!$T$43,'caseload data'!$D:$D,"PO",'caseload data'!$B:$B,"custody")/SUMIFS('caseload data'!R:R,'caseload data'!$B:$B,"custody",'caseload data'!$C:$C,'custody %'!$T$43),"")</f>
        <v/>
      </c>
      <c r="AI45" s="167"/>
      <c r="AJ45" s="167"/>
    </row>
    <row r="46" spans="2:36" x14ac:dyDescent="0.15">
      <c r="B46" s="97" t="s">
        <v>1002</v>
      </c>
      <c r="C46" s="167" t="str">
        <f>IFERROR(SUMIFS('caseload data'!E:E,'caseload data'!$C:$C,'custody %'!$B$43,'caseload data'!$D:$D,"PSO",'caseload data'!$B:$B,"custody")/SUMIFS('caseload data'!E:E,'caseload data'!$B:$B,"custody",'caseload data'!$C:$C,'custody %'!$B$43),"")</f>
        <v/>
      </c>
      <c r="D46" s="167" t="str">
        <f>IFERROR(SUMIFS('caseload data'!F:F,'caseload data'!$C:$C,'custody %'!$B$43,'caseload data'!$D:$D,"PSO",'caseload data'!$B:$B,"custody")/SUMIFS('caseload data'!F:F,'caseload data'!$B:$B,"custody",'caseload data'!$C:$C,'custody %'!$B$43),"")</f>
        <v/>
      </c>
      <c r="E46" s="167" t="str">
        <f>IFERROR(SUMIFS('caseload data'!G:G,'caseload data'!$C:$C,'custody %'!$B$43,'caseload data'!$D:$D,"PSO",'caseload data'!$B:$B,"custody")/SUMIFS('caseload data'!G:G,'caseload data'!$B:$B,"custody",'caseload data'!$C:$C,'custody %'!$B$43),"")</f>
        <v/>
      </c>
      <c r="F46" s="167" t="str">
        <f>IFERROR(SUMIFS('caseload data'!H:H,'caseload data'!$C:$C,'custody %'!$B$43,'caseload data'!$D:$D,"PSO",'caseload data'!$B:$B,"custody")/SUMIFS('caseload data'!H:H,'caseload data'!$B:$B,"custody",'caseload data'!$C:$C,'custody %'!$B$43),"")</f>
        <v/>
      </c>
      <c r="G46" s="167" t="str">
        <f>IFERROR(SUMIFS('caseload data'!I:I,'caseload data'!$C:$C,'custody %'!$B$43,'caseload data'!$D:$D,"PSO",'caseload data'!$B:$B,"custody")/SUMIFS('caseload data'!I:I,'caseload data'!$B:$B,"custody",'caseload data'!$C:$C,'custody %'!$B$43),"")</f>
        <v/>
      </c>
      <c r="H46" s="167" t="str">
        <f>IFERROR(SUMIFS('caseload data'!J:J,'caseload data'!$C:$C,'custody %'!$B$43,'caseload data'!$D:$D,"PSO",'caseload data'!$B:$B,"custody")/SUMIFS('caseload data'!J:J,'caseload data'!$B:$B,"custody",'caseload data'!$C:$C,'custody %'!$B$43),"")</f>
        <v/>
      </c>
      <c r="I46" s="167" t="str">
        <f>IFERROR(SUMIFS('caseload data'!K:K,'caseload data'!$C:$C,'custody %'!$B$43,'caseload data'!$D:$D,"PSO",'caseload data'!$B:$B,"custody")/SUMIFS('caseload data'!K:K,'caseload data'!$B:$B,"custody",'caseload data'!$C:$C,'custody %'!$B$43),"")</f>
        <v/>
      </c>
      <c r="J46" s="167" t="str">
        <f>IFERROR(SUMIFS('caseload data'!L:L,'caseload data'!$C:$C,'custody %'!$B$43,'caseload data'!$D:$D,"PSO",'caseload data'!$B:$B,"custody")/SUMIFS('caseload data'!L:L,'caseload data'!$B:$B,"custody",'caseload data'!$C:$C,'custody %'!$B$43),"")</f>
        <v/>
      </c>
      <c r="K46" s="167" t="str">
        <f>IFERROR(SUMIFS('caseload data'!M:M,'caseload data'!$C:$C,'custody %'!$B$43,'caseload data'!$D:$D,"PSO",'caseload data'!$B:$B,"custody")/SUMIFS('caseload data'!M:M,'caseload data'!$B:$B,"custody",'caseload data'!$C:$C,'custody %'!$B$43),"")</f>
        <v/>
      </c>
      <c r="L46" s="167" t="str">
        <f>IFERROR(SUMIFS('caseload data'!N:N,'caseload data'!$C:$C,'custody %'!$B$43,'caseload data'!$D:$D,"PSO",'caseload data'!$B:$B,"custody")/SUMIFS('caseload data'!N:N,'caseload data'!$B:$B,"custody",'caseload data'!$C:$C,'custody %'!$B$43),"")</f>
        <v/>
      </c>
      <c r="M46" s="167" t="str">
        <f>IFERROR(SUMIFS('caseload data'!O:O,'caseload data'!$C:$C,'custody %'!$B$43,'caseload data'!$D:$D,"PSO",'caseload data'!$B:$B,"custody")/SUMIFS('caseload data'!O:O,'caseload data'!$B:$B,"custody",'caseload data'!$C:$C,'custody %'!$B$43),"")</f>
        <v/>
      </c>
      <c r="N46" s="167" t="str">
        <f>IFERROR(SUMIFS('caseload data'!P:P,'caseload data'!$C:$C,'custody %'!$B$43,'caseload data'!$D:$D,"PSO",'caseload data'!$B:$B,"custody")/SUMIFS('caseload data'!P:P,'caseload data'!$B:$B,"custody",'caseload data'!$C:$C,'custody %'!$B$43),"")</f>
        <v/>
      </c>
      <c r="O46" s="167" t="str">
        <f>IFERROR(SUMIFS('caseload data'!Q:Q,'caseload data'!$C:$C,'custody %'!$B$43,'caseload data'!$D:$D,"PSO",'caseload data'!$B:$B,"custody")/SUMIFS('caseload data'!Q:Q,'caseload data'!$B:$B,"custody",'caseload data'!$C:$C,'custody %'!$B$43),"")</f>
        <v/>
      </c>
      <c r="P46" s="167" t="str">
        <f>IFERROR(SUMIFS('caseload data'!R:R,'caseload data'!$C:$C,'custody %'!$B$43,'caseload data'!$D:$D,"PSO",'caseload data'!$B:$B,"custody")/SUMIFS('caseload data'!R:R,'caseload data'!$B:$B,"custody",'caseload data'!$C:$C,'custody %'!$B$43),"")</f>
        <v/>
      </c>
      <c r="Q46" s="167" t="str">
        <f>IFERROR(SUMIFS('caseload data'!S:S,'caseload data'!$C:$C,'custody %'!$B$43,'caseload data'!$D:$D,"PSO",'caseload data'!$B:$B,"custody")/SUMIFS('caseload data'!S:S,'caseload data'!$B:$B,"custody",'caseload data'!$C:$C,'custody %'!$B$43),"")</f>
        <v/>
      </c>
      <c r="R46" s="167" t="str">
        <f>IFERROR(SUMIFS('caseload data'!T:T,'caseload data'!$C:$C,'custody %'!$B$43,'caseload data'!$D:$D,"PSO",'caseload data'!$B:$B,"custody")/SUMIFS('caseload data'!T:T,'caseload data'!$B:$B,"custody",'caseload data'!$C:$C,'custody %'!$B$43),"")</f>
        <v/>
      </c>
      <c r="S46" s="64"/>
      <c r="T46" s="97" t="s">
        <v>1002</v>
      </c>
      <c r="U46" s="167" t="str">
        <f>IFERROR(SUMIFS('caseload data'!E:E,'caseload data'!$C:$C,'custody %'!$T$43,'caseload data'!$D:$D,"PSO",'caseload data'!$B:$B,"custody")/SUMIFS('caseload data'!E:E,'caseload data'!$B:$B,"custody",'caseload data'!$C:$C,'custody %'!$T$43),"")</f>
        <v/>
      </c>
      <c r="V46" s="167" t="str">
        <f>IFERROR(SUMIFS('caseload data'!F:F,'caseload data'!$C:$C,'custody %'!$T$43,'caseload data'!$D:$D,"PSO",'caseload data'!$B:$B,"custody")/SUMIFS('caseload data'!F:F,'caseload data'!$B:$B,"custody",'caseload data'!$C:$C,'custody %'!$T$43),"")</f>
        <v/>
      </c>
      <c r="W46" s="167" t="str">
        <f>IFERROR(SUMIFS('caseload data'!G:G,'caseload data'!$C:$C,'custody %'!$T$43,'caseload data'!$D:$D,"PSO",'caseload data'!$B:$B,"custody")/SUMIFS('caseload data'!G:G,'caseload data'!$B:$B,"custody",'caseload data'!$C:$C,'custody %'!$T$43),"")</f>
        <v/>
      </c>
      <c r="X46" s="167" t="str">
        <f>IFERROR(SUMIFS('caseload data'!H:H,'caseload data'!$C:$C,'custody %'!$T$43,'caseload data'!$D:$D,"PSO",'caseload data'!$B:$B,"custody")/SUMIFS('caseload data'!H:H,'caseload data'!$B:$B,"custody",'caseload data'!$C:$C,'custody %'!$T$43),"")</f>
        <v/>
      </c>
      <c r="Y46" s="167" t="str">
        <f>IFERROR(SUMIFS('caseload data'!I:I,'caseload data'!$C:$C,'custody %'!$T$43,'caseload data'!$D:$D,"PSO",'caseload data'!$B:$B,"custody")/SUMIFS('caseload data'!I:I,'caseload data'!$B:$B,"custody",'caseload data'!$C:$C,'custody %'!$T$43),"")</f>
        <v/>
      </c>
      <c r="Z46" s="167" t="str">
        <f>IFERROR(SUMIFS('caseload data'!J:J,'caseload data'!$C:$C,'custody %'!$T$43,'caseload data'!$D:$D,"PSO",'caseload data'!$B:$B,"custody")/SUMIFS('caseload data'!J:J,'caseload data'!$B:$B,"custody",'caseload data'!$C:$C,'custody %'!$T$43),"")</f>
        <v/>
      </c>
      <c r="AA46" s="167" t="str">
        <f>IFERROR(SUMIFS('caseload data'!K:K,'caseload data'!$C:$C,'custody %'!$T$43,'caseload data'!$D:$D,"PSO",'caseload data'!$B:$B,"custody")/SUMIFS('caseload data'!K:K,'caseload data'!$B:$B,"custody",'caseload data'!$C:$C,'custody %'!$T$43),"")</f>
        <v/>
      </c>
      <c r="AB46" s="167" t="str">
        <f>IFERROR(SUMIFS('caseload data'!L:L,'caseload data'!$C:$C,'custody %'!$T$43,'caseload data'!$D:$D,"PSO",'caseload data'!$B:$B,"custody")/SUMIFS('caseload data'!L:L,'caseload data'!$B:$B,"custody",'caseload data'!$C:$C,'custody %'!$T$43),"")</f>
        <v/>
      </c>
      <c r="AC46" s="167" t="str">
        <f>IFERROR(SUMIFS('caseload data'!M:M,'caseload data'!$C:$C,'custody %'!$T$43,'caseload data'!$D:$D,"PSO",'caseload data'!$B:$B,"custody")/SUMIFS('caseload data'!M:M,'caseload data'!$B:$B,"custody",'caseload data'!$C:$C,'custody %'!$T$43),"")</f>
        <v/>
      </c>
      <c r="AD46" s="167" t="str">
        <f>IFERROR(SUMIFS('caseload data'!N:N,'caseload data'!$C:$C,'custody %'!$T$43,'caseload data'!$D:$D,"PSO",'caseload data'!$B:$B,"custody")/SUMIFS('caseload data'!N:N,'caseload data'!$B:$B,"custody",'caseload data'!$C:$C,'custody %'!$T$43),"")</f>
        <v/>
      </c>
      <c r="AE46" s="167" t="str">
        <f>IFERROR(SUMIFS('caseload data'!O:O,'caseload data'!$C:$C,'custody %'!$T$43,'caseload data'!$D:$D,"PSO",'caseload data'!$B:$B,"custody")/SUMIFS('caseload data'!O:O,'caseload data'!$B:$B,"custody",'caseload data'!$C:$C,'custody %'!$T$43),"")</f>
        <v/>
      </c>
      <c r="AF46" s="167" t="str">
        <f>IFERROR(SUMIFS('caseload data'!P:P,'caseload data'!$C:$C,'custody %'!$T$43,'caseload data'!$D:$D,"PSO",'caseload data'!$B:$B,"custody")/SUMIFS('caseload data'!P:P,'caseload data'!$B:$B,"custody",'caseload data'!$C:$C,'custody %'!$T$43),"")</f>
        <v/>
      </c>
      <c r="AG46" s="167" t="str">
        <f>IFERROR(SUMIFS('caseload data'!Q:Q,'caseload data'!$C:$C,'custody %'!$T$43,'caseload data'!$D:$D,"PSO",'caseload data'!$B:$B,"custody")/SUMIFS('caseload data'!Q:Q,'caseload data'!$B:$B,"custody",'caseload data'!$C:$C,'custody %'!$T$43),"")</f>
        <v/>
      </c>
      <c r="AH46" s="167" t="str">
        <f>IFERROR(SUMIFS('caseload data'!R:R,'caseload data'!$C:$C,'custody %'!$T$43,'caseload data'!$D:$D,"PSO",'caseload data'!$B:$B,"custody")/SUMIFS('caseload data'!R:R,'caseload data'!$B:$B,"custody",'caseload data'!$C:$C,'custody %'!$T$43),"")</f>
        <v/>
      </c>
      <c r="AI46" s="167"/>
      <c r="AJ46" s="167"/>
    </row>
    <row r="47" spans="2:36" x14ac:dyDescent="0.15">
      <c r="B47" s="97" t="s">
        <v>1003</v>
      </c>
      <c r="C47" s="167" t="str">
        <f>IFERROR(SUMIFS('caseload data'!E:E,'caseload data'!$C:$C,'custody %'!$B$43,'caseload data'!$D:$D,"TPO",'caseload data'!$B:$B,"custody")/SUMIFS('caseload data'!E:E,'caseload data'!$B:$B,"custody",'caseload data'!$C:$C,'custody %'!$B$43),"")</f>
        <v/>
      </c>
      <c r="D47" s="167" t="str">
        <f>IFERROR(SUMIFS('caseload data'!F:F,'caseload data'!$C:$C,'custody %'!$B$43,'caseload data'!$D:$D,"TPO",'caseload data'!$B:$B,"custody")/SUMIFS('caseload data'!F:F,'caseload data'!$B:$B,"custody",'caseload data'!$C:$C,'custody %'!$B$43),"")</f>
        <v/>
      </c>
      <c r="E47" s="167" t="str">
        <f>IFERROR(SUMIFS('caseload data'!G:G,'caseload data'!$C:$C,'custody %'!$B$43,'caseload data'!$D:$D,"TPO",'caseload data'!$B:$B,"custody")/SUMIFS('caseload data'!G:G,'caseload data'!$B:$B,"custody",'caseload data'!$C:$C,'custody %'!$B$43),"")</f>
        <v/>
      </c>
      <c r="F47" s="167" t="str">
        <f>IFERROR(SUMIFS('caseload data'!H:H,'caseload data'!$C:$C,'custody %'!$B$43,'caseload data'!$D:$D,"TPO",'caseload data'!$B:$B,"custody")/SUMIFS('caseload data'!H:H,'caseload data'!$B:$B,"custody",'caseload data'!$C:$C,'custody %'!$B$43),"")</f>
        <v/>
      </c>
      <c r="G47" s="167" t="str">
        <f>IFERROR(SUMIFS('caseload data'!I:I,'caseload data'!$C:$C,'custody %'!$B$43,'caseload data'!$D:$D,"TPO",'caseload data'!$B:$B,"custody")/SUMIFS('caseload data'!I:I,'caseload data'!$B:$B,"custody",'caseload data'!$C:$C,'custody %'!$B$43),"")</f>
        <v/>
      </c>
      <c r="H47" s="167" t="str">
        <f>IFERROR(SUMIFS('caseload data'!J:J,'caseload data'!$C:$C,'custody %'!$B$43,'caseload data'!$D:$D,"TPO",'caseload data'!$B:$B,"custody")/SUMIFS('caseload data'!J:J,'caseload data'!$B:$B,"custody",'caseload data'!$C:$C,'custody %'!$B$43),"")</f>
        <v/>
      </c>
      <c r="I47" s="167" t="str">
        <f>IFERROR(SUMIFS('caseload data'!K:K,'caseload data'!$C:$C,'custody %'!$B$43,'caseload data'!$D:$D,"TPO",'caseload data'!$B:$B,"custody")/SUMIFS('caseload data'!K:K,'caseload data'!$B:$B,"custody",'caseload data'!$C:$C,'custody %'!$B$43),"")</f>
        <v/>
      </c>
      <c r="J47" s="167" t="str">
        <f>IFERROR(SUMIFS('caseload data'!L:L,'caseload data'!$C:$C,'custody %'!$B$43,'caseload data'!$D:$D,"TPO",'caseload data'!$B:$B,"custody")/SUMIFS('caseload data'!L:L,'caseload data'!$B:$B,"custody",'caseload data'!$C:$C,'custody %'!$B$43),"")</f>
        <v/>
      </c>
      <c r="K47" s="167" t="str">
        <f>IFERROR(SUMIFS('caseload data'!M:M,'caseload data'!$C:$C,'custody %'!$B$43,'caseload data'!$D:$D,"TPO",'caseload data'!$B:$B,"custody")/SUMIFS('caseload data'!M:M,'caseload data'!$B:$B,"custody",'caseload data'!$C:$C,'custody %'!$B$43),"")</f>
        <v/>
      </c>
      <c r="L47" s="167" t="str">
        <f>IFERROR(SUMIFS('caseload data'!N:N,'caseload data'!$C:$C,'custody %'!$B$43,'caseload data'!$D:$D,"TPO",'caseload data'!$B:$B,"custody")/SUMIFS('caseload data'!N:N,'caseload data'!$B:$B,"custody",'caseload data'!$C:$C,'custody %'!$B$43),"")</f>
        <v/>
      </c>
      <c r="M47" s="167" t="str">
        <f>IFERROR(SUMIFS('caseload data'!O:O,'caseload data'!$C:$C,'custody %'!$B$43,'caseload data'!$D:$D,"TPO",'caseload data'!$B:$B,"custody")/SUMIFS('caseload data'!O:O,'caseload data'!$B:$B,"custody",'caseload data'!$C:$C,'custody %'!$B$43),"")</f>
        <v/>
      </c>
      <c r="N47" s="167" t="str">
        <f>IFERROR(SUMIFS('caseload data'!P:P,'caseload data'!$C:$C,'custody %'!$B$43,'caseload data'!$D:$D,"TPO",'caseload data'!$B:$B,"custody")/SUMIFS('caseload data'!P:P,'caseload data'!$B:$B,"custody",'caseload data'!$C:$C,'custody %'!$B$43),"")</f>
        <v/>
      </c>
      <c r="O47" s="167" t="str">
        <f>IFERROR(SUMIFS('caseload data'!Q:Q,'caseload data'!$C:$C,'custody %'!$B$43,'caseload data'!$D:$D,"TPO",'caseload data'!$B:$B,"custody")/SUMIFS('caseload data'!Q:Q,'caseload data'!$B:$B,"custody",'caseload data'!$C:$C,'custody %'!$B$43),"")</f>
        <v/>
      </c>
      <c r="P47" s="167" t="str">
        <f>IFERROR(SUMIFS('caseload data'!R:R,'caseload data'!$C:$C,'custody %'!$B$43,'caseload data'!$D:$D,"TPO",'caseload data'!$B:$B,"custody")/SUMIFS('caseload data'!R:R,'caseload data'!$B:$B,"custody",'caseload data'!$C:$C,'custody %'!$B$43),"")</f>
        <v/>
      </c>
      <c r="Q47" s="167" t="str">
        <f>IFERROR(SUMIFS('caseload data'!S:S,'caseload data'!$C:$C,'custody %'!$B$43,'caseload data'!$D:$D,"TPO",'caseload data'!$B:$B,"custody")/SUMIFS('caseload data'!S:S,'caseload data'!$B:$B,"custody",'caseload data'!$C:$C,'custody %'!$B$43),"")</f>
        <v/>
      </c>
      <c r="R47" s="167" t="str">
        <f>IFERROR(SUMIFS('caseload data'!T:T,'caseload data'!$C:$C,'custody %'!$B$43,'caseload data'!$D:$D,"TPO",'caseload data'!$B:$B,"custody")/SUMIFS('caseload data'!T:T,'caseload data'!$B:$B,"custody",'caseload data'!$C:$C,'custody %'!$B$43),"")</f>
        <v/>
      </c>
      <c r="S47" s="64"/>
      <c r="T47" s="97" t="s">
        <v>1003</v>
      </c>
      <c r="U47" s="167" t="str">
        <f>IFERROR(SUMIFS('caseload data'!E:E,'caseload data'!$C:$C,'custody %'!$T$43,'caseload data'!$D:$D,"TPO",'caseload data'!$B:$B,"custody")/SUMIFS('caseload data'!E:E,'caseload data'!$B:$B,"custody",'caseload data'!$C:$C,'custody %'!$T$43),"")</f>
        <v/>
      </c>
      <c r="V47" s="167" t="str">
        <f>IFERROR(SUMIFS('caseload data'!F:F,'caseload data'!$C:$C,'custody %'!$T$43,'caseload data'!$D:$D,"TPO",'caseload data'!$B:$B,"custody")/SUMIFS('caseload data'!F:F,'caseload data'!$B:$B,"custody",'caseload data'!$C:$C,'custody %'!$T$43),"")</f>
        <v/>
      </c>
      <c r="W47" s="167" t="str">
        <f>IFERROR(SUMIFS('caseload data'!G:G,'caseload data'!$C:$C,'custody %'!$T$43,'caseload data'!$D:$D,"TPO",'caseload data'!$B:$B,"custody")/SUMIFS('caseload data'!G:G,'caseload data'!$B:$B,"custody",'caseload data'!$C:$C,'custody %'!$T$43),"")</f>
        <v/>
      </c>
      <c r="X47" s="167" t="str">
        <f>IFERROR(SUMIFS('caseload data'!H:H,'caseload data'!$C:$C,'custody %'!$T$43,'caseload data'!$D:$D,"TPO",'caseload data'!$B:$B,"custody")/SUMIFS('caseload data'!H:H,'caseload data'!$B:$B,"custody",'caseload data'!$C:$C,'custody %'!$T$43),"")</f>
        <v/>
      </c>
      <c r="Y47" s="167" t="str">
        <f>IFERROR(SUMIFS('caseload data'!I:I,'caseload data'!$C:$C,'custody %'!$T$43,'caseload data'!$D:$D,"TPO",'caseload data'!$B:$B,"custody")/SUMIFS('caseload data'!I:I,'caseload data'!$B:$B,"custody",'caseload data'!$C:$C,'custody %'!$T$43),"")</f>
        <v/>
      </c>
      <c r="Z47" s="167" t="str">
        <f>IFERROR(SUMIFS('caseload data'!J:J,'caseload data'!$C:$C,'custody %'!$T$43,'caseload data'!$D:$D,"TPO",'caseload data'!$B:$B,"custody")/SUMIFS('caseload data'!J:J,'caseload data'!$B:$B,"custody",'caseload data'!$C:$C,'custody %'!$T$43),"")</f>
        <v/>
      </c>
      <c r="AA47" s="167" t="str">
        <f>IFERROR(SUMIFS('caseload data'!K:K,'caseload data'!$C:$C,'custody %'!$T$43,'caseload data'!$D:$D,"TPO",'caseload data'!$B:$B,"custody")/SUMIFS('caseload data'!K:K,'caseload data'!$B:$B,"custody",'caseload data'!$C:$C,'custody %'!$T$43),"")</f>
        <v/>
      </c>
      <c r="AB47" s="167" t="str">
        <f>IFERROR(SUMIFS('caseload data'!L:L,'caseload data'!$C:$C,'custody %'!$T$43,'caseload data'!$D:$D,"TPO",'caseload data'!$B:$B,"custody")/SUMIFS('caseload data'!L:L,'caseload data'!$B:$B,"custody",'caseload data'!$C:$C,'custody %'!$T$43),"")</f>
        <v/>
      </c>
      <c r="AC47" s="167" t="str">
        <f>IFERROR(SUMIFS('caseload data'!M:M,'caseload data'!$C:$C,'custody %'!$T$43,'caseload data'!$D:$D,"TPO",'caseload data'!$B:$B,"custody")/SUMIFS('caseload data'!M:M,'caseload data'!$B:$B,"custody",'caseload data'!$C:$C,'custody %'!$T$43),"")</f>
        <v/>
      </c>
      <c r="AD47" s="167" t="str">
        <f>IFERROR(SUMIFS('caseload data'!N:N,'caseload data'!$C:$C,'custody %'!$T$43,'caseload data'!$D:$D,"TPO",'caseload data'!$B:$B,"custody")/SUMIFS('caseload data'!N:N,'caseload data'!$B:$B,"custody",'caseload data'!$C:$C,'custody %'!$T$43),"")</f>
        <v/>
      </c>
      <c r="AE47" s="167" t="str">
        <f>IFERROR(SUMIFS('caseload data'!O:O,'caseload data'!$C:$C,'custody %'!$T$43,'caseload data'!$D:$D,"TPO",'caseload data'!$B:$B,"custody")/SUMIFS('caseload data'!O:O,'caseload data'!$B:$B,"custody",'caseload data'!$C:$C,'custody %'!$T$43),"")</f>
        <v/>
      </c>
      <c r="AF47" s="167" t="str">
        <f>IFERROR(SUMIFS('caseload data'!P:P,'caseload data'!$C:$C,'custody %'!$T$43,'caseload data'!$D:$D,"TPO",'caseload data'!$B:$B,"custody")/SUMIFS('caseload data'!P:P,'caseload data'!$B:$B,"custody",'caseload data'!$C:$C,'custody %'!$T$43),"")</f>
        <v/>
      </c>
      <c r="AG47" s="167" t="str">
        <f>IFERROR(SUMIFS('caseload data'!Q:Q,'caseload data'!$C:$C,'custody %'!$T$43,'caseload data'!$D:$D,"TPO",'caseload data'!$B:$B,"custody")/SUMIFS('caseload data'!Q:Q,'caseload data'!$B:$B,"custody",'caseload data'!$C:$C,'custody %'!$T$43),"")</f>
        <v/>
      </c>
      <c r="AH47" s="167" t="str">
        <f>IFERROR(SUMIFS('caseload data'!R:R,'caseload data'!$C:$C,'custody %'!$T$43,'caseload data'!$D:$D,"TPO",'caseload data'!$B:$B,"custody")/SUMIFS('caseload data'!R:R,'caseload data'!$B:$B,"custody",'caseload data'!$C:$C,'custody %'!$T$43),"")</f>
        <v/>
      </c>
      <c r="AI47" s="167"/>
      <c r="AJ47" s="167"/>
    </row>
    <row r="48" spans="2:36" x14ac:dyDescent="0.15">
      <c r="B48" s="98" t="s">
        <v>1004</v>
      </c>
      <c r="C48" s="167" t="str">
        <f>IFERROR(SUMIFS('caseload data'!E:E,'caseload data'!$C:$C,'custody %'!$B$43,'caseload data'!$D:$D,"SPO",'caseload data'!$B:$B,"custody")/SUMIFS('caseload data'!E:E,'caseload data'!$B:$B,"custody",'caseload data'!$C:$C,'custody %'!$B$43),"")</f>
        <v/>
      </c>
      <c r="D48" s="167" t="str">
        <f>IFERROR(SUMIFS('caseload data'!F:F,'caseload data'!$C:$C,'custody %'!$B$43,'caseload data'!$D:$D,"SPO",'caseload data'!$B:$B,"custody")/SUMIFS('caseload data'!F:F,'caseload data'!$B:$B,"custody",'caseload data'!$C:$C,'custody %'!$B$43),"")</f>
        <v/>
      </c>
      <c r="E48" s="167" t="str">
        <f>IFERROR(SUMIFS('caseload data'!G:G,'caseload data'!$C:$C,'custody %'!$B$43,'caseload data'!$D:$D,"SPO",'caseload data'!$B:$B,"custody")/SUMIFS('caseload data'!G:G,'caseload data'!$B:$B,"custody",'caseload data'!$C:$C,'custody %'!$B$43),"")</f>
        <v/>
      </c>
      <c r="F48" s="167" t="str">
        <f>IFERROR(SUMIFS('caseload data'!H:H,'caseload data'!$C:$C,'custody %'!$B$43,'caseload data'!$D:$D,"SPO",'caseload data'!$B:$B,"custody")/SUMIFS('caseload data'!H:H,'caseload data'!$B:$B,"custody",'caseload data'!$C:$C,'custody %'!$B$43),"")</f>
        <v/>
      </c>
      <c r="G48" s="167" t="str">
        <f>IFERROR(SUMIFS('caseload data'!I:I,'caseload data'!$C:$C,'custody %'!$B$43,'caseload data'!$D:$D,"SPO",'caseload data'!$B:$B,"custody")/SUMIFS('caseload data'!I:I,'caseload data'!$B:$B,"custody",'caseload data'!$C:$C,'custody %'!$B$43),"")</f>
        <v/>
      </c>
      <c r="H48" s="167" t="str">
        <f>IFERROR(SUMIFS('caseload data'!J:J,'caseload data'!$C:$C,'custody %'!$B$43,'caseload data'!$D:$D,"SPO",'caseload data'!$B:$B,"custody")/SUMIFS('caseload data'!J:J,'caseload data'!$B:$B,"custody",'caseload data'!$C:$C,'custody %'!$B$43),"")</f>
        <v/>
      </c>
      <c r="I48" s="167" t="str">
        <f>IFERROR(SUMIFS('caseload data'!K:K,'caseload data'!$C:$C,'custody %'!$B$43,'caseload data'!$D:$D,"SPO",'caseload data'!$B:$B,"custody")/SUMIFS('caseload data'!K:K,'caseload data'!$B:$B,"custody",'caseload data'!$C:$C,'custody %'!$B$43),"")</f>
        <v/>
      </c>
      <c r="J48" s="167" t="str">
        <f>IFERROR(SUMIFS('caseload data'!L:L,'caseload data'!$C:$C,'custody %'!$B$43,'caseload data'!$D:$D,"SPO",'caseload data'!$B:$B,"custody")/SUMIFS('caseload data'!L:L,'caseload data'!$B:$B,"custody",'caseload data'!$C:$C,'custody %'!$B$43),"")</f>
        <v/>
      </c>
      <c r="K48" s="167" t="str">
        <f>IFERROR(SUMIFS('caseload data'!M:M,'caseload data'!$C:$C,'custody %'!$B$43,'caseload data'!$D:$D,"SPO",'caseload data'!$B:$B,"custody")/SUMIFS('caseload data'!M:M,'caseload data'!$B:$B,"custody",'caseload data'!$C:$C,'custody %'!$B$43),"")</f>
        <v/>
      </c>
      <c r="L48" s="167" t="str">
        <f>IFERROR(SUMIFS('caseload data'!N:N,'caseload data'!$C:$C,'custody %'!$B$43,'caseload data'!$D:$D,"SPO",'caseload data'!$B:$B,"custody")/SUMIFS('caseload data'!N:N,'caseload data'!$B:$B,"custody",'caseload data'!$C:$C,'custody %'!$B$43),"")</f>
        <v/>
      </c>
      <c r="M48" s="167" t="str">
        <f>IFERROR(SUMIFS('caseload data'!O:O,'caseload data'!$C:$C,'custody %'!$B$43,'caseload data'!$D:$D,"SPO",'caseload data'!$B:$B,"custody")/SUMIFS('caseload data'!O:O,'caseload data'!$B:$B,"custody",'caseload data'!$C:$C,'custody %'!$B$43),"")</f>
        <v/>
      </c>
      <c r="N48" s="167" t="str">
        <f>IFERROR(SUMIFS('caseload data'!P:P,'caseload data'!$C:$C,'custody %'!$B$43,'caseload data'!$D:$D,"SPO",'caseload data'!$B:$B,"custody")/SUMIFS('caseload data'!P:P,'caseload data'!$B:$B,"custody",'caseload data'!$C:$C,'custody %'!$B$43),"")</f>
        <v/>
      </c>
      <c r="O48" s="167" t="str">
        <f>IFERROR(SUMIFS('caseload data'!Q:Q,'caseload data'!$C:$C,'custody %'!$B$43,'caseload data'!$D:$D,"SPO",'caseload data'!$B:$B,"custody")/SUMIFS('caseload data'!Q:Q,'caseload data'!$B:$B,"custody",'caseload data'!$C:$C,'custody %'!$B$43),"")</f>
        <v/>
      </c>
      <c r="P48" s="167" t="str">
        <f>IFERROR(SUMIFS('caseload data'!R:R,'caseload data'!$C:$C,'custody %'!$B$43,'caseload data'!$D:$D,"SPO",'caseload data'!$B:$B,"custody")/SUMIFS('caseload data'!R:R,'caseload data'!$B:$B,"custody",'caseload data'!$C:$C,'custody %'!$B$43),"")</f>
        <v/>
      </c>
      <c r="Q48" s="167" t="str">
        <f>IFERROR(SUMIFS('caseload data'!S:S,'caseload data'!$C:$C,'custody %'!$B$43,'caseload data'!$D:$D,"SPO",'caseload data'!$B:$B,"custody")/SUMIFS('caseload data'!S:S,'caseload data'!$B:$B,"custody",'caseload data'!$C:$C,'custody %'!$B$43),"")</f>
        <v/>
      </c>
      <c r="R48" s="167" t="str">
        <f>IFERROR(SUMIFS('caseload data'!T:T,'caseload data'!$C:$C,'custody %'!$B$43,'caseload data'!$D:$D,"SPO",'caseload data'!$B:$B,"custody")/SUMIFS('caseload data'!T:T,'caseload data'!$B:$B,"custody",'caseload data'!$C:$C,'custody %'!$B$43),"")</f>
        <v/>
      </c>
      <c r="S48" s="64"/>
      <c r="T48" s="98" t="s">
        <v>1004</v>
      </c>
      <c r="U48" s="167" t="str">
        <f>IFERROR(SUMIFS('caseload data'!E:E,'caseload data'!$C:$C,'custody %'!$T$43,'caseload data'!$D:$D,"SPO",'caseload data'!$B:$B,"custody")/SUMIFS('caseload data'!E:E,'caseload data'!$B:$B,"custody",'caseload data'!$C:$C,'custody %'!$T$43),"")</f>
        <v/>
      </c>
      <c r="V48" s="167" t="str">
        <f>IFERROR(SUMIFS('caseload data'!F:F,'caseload data'!$C:$C,'custody %'!$T$43,'caseload data'!$D:$D,"SPO",'caseload data'!$B:$B,"custody")/SUMIFS('caseload data'!F:F,'caseload data'!$B:$B,"custody",'caseload data'!$C:$C,'custody %'!$T$43),"")</f>
        <v/>
      </c>
      <c r="W48" s="167" t="str">
        <f>IFERROR(SUMIFS('caseload data'!G:G,'caseload data'!$C:$C,'custody %'!$T$43,'caseload data'!$D:$D,"SPO",'caseload data'!$B:$B,"custody")/SUMIFS('caseload data'!G:G,'caseload data'!$B:$B,"custody",'caseload data'!$C:$C,'custody %'!$T$43),"")</f>
        <v/>
      </c>
      <c r="X48" s="167" t="str">
        <f>IFERROR(SUMIFS('caseload data'!H:H,'caseload data'!$C:$C,'custody %'!$T$43,'caseload data'!$D:$D,"SPO",'caseload data'!$B:$B,"custody")/SUMIFS('caseload data'!H:H,'caseload data'!$B:$B,"custody",'caseload data'!$C:$C,'custody %'!$T$43),"")</f>
        <v/>
      </c>
      <c r="Y48" s="167" t="str">
        <f>IFERROR(SUMIFS('caseload data'!I:I,'caseload data'!$C:$C,'custody %'!$T$43,'caseload data'!$D:$D,"SPO",'caseload data'!$B:$B,"custody")/SUMIFS('caseload data'!I:I,'caseload data'!$B:$B,"custody",'caseload data'!$C:$C,'custody %'!$T$43),"")</f>
        <v/>
      </c>
      <c r="Z48" s="167" t="str">
        <f>IFERROR(SUMIFS('caseload data'!J:J,'caseload data'!$C:$C,'custody %'!$T$43,'caseload data'!$D:$D,"SPO",'caseload data'!$B:$B,"custody")/SUMIFS('caseload data'!J:J,'caseload data'!$B:$B,"custody",'caseload data'!$C:$C,'custody %'!$T$43),"")</f>
        <v/>
      </c>
      <c r="AA48" s="167" t="str">
        <f>IFERROR(SUMIFS('caseload data'!K:K,'caseload data'!$C:$C,'custody %'!$T$43,'caseload data'!$D:$D,"SPO",'caseload data'!$B:$B,"custody")/SUMIFS('caseload data'!K:K,'caseload data'!$B:$B,"custody",'caseload data'!$C:$C,'custody %'!$T$43),"")</f>
        <v/>
      </c>
      <c r="AB48" s="167" t="str">
        <f>IFERROR(SUMIFS('caseload data'!L:L,'caseload data'!$C:$C,'custody %'!$T$43,'caseload data'!$D:$D,"SPO",'caseload data'!$B:$B,"custody")/SUMIFS('caseload data'!L:L,'caseload data'!$B:$B,"custody",'caseload data'!$C:$C,'custody %'!$T$43),"")</f>
        <v/>
      </c>
      <c r="AC48" s="167" t="str">
        <f>IFERROR(SUMIFS('caseload data'!M:M,'caseload data'!$C:$C,'custody %'!$T$43,'caseload data'!$D:$D,"SPO",'caseload data'!$B:$B,"custody")/SUMIFS('caseload data'!M:M,'caseload data'!$B:$B,"custody",'caseload data'!$C:$C,'custody %'!$T$43),"")</f>
        <v/>
      </c>
      <c r="AD48" s="167" t="str">
        <f>IFERROR(SUMIFS('caseload data'!N:N,'caseload data'!$C:$C,'custody %'!$T$43,'caseload data'!$D:$D,"SPO",'caseload data'!$B:$B,"custody")/SUMIFS('caseload data'!N:N,'caseload data'!$B:$B,"custody",'caseload data'!$C:$C,'custody %'!$T$43),"")</f>
        <v/>
      </c>
      <c r="AE48" s="167" t="str">
        <f>IFERROR(SUMIFS('caseload data'!O:O,'caseload data'!$C:$C,'custody %'!$T$43,'caseload data'!$D:$D,"SPO",'caseload data'!$B:$B,"custody")/SUMIFS('caseload data'!O:O,'caseload data'!$B:$B,"custody",'caseload data'!$C:$C,'custody %'!$T$43),"")</f>
        <v/>
      </c>
      <c r="AF48" s="167" t="str">
        <f>IFERROR(SUMIFS('caseload data'!P:P,'caseload data'!$C:$C,'custody %'!$T$43,'caseload data'!$D:$D,"SPO",'caseload data'!$B:$B,"custody")/SUMIFS('caseload data'!P:P,'caseload data'!$B:$B,"custody",'caseload data'!$C:$C,'custody %'!$T$43),"")</f>
        <v/>
      </c>
      <c r="AG48" s="167" t="str">
        <f>IFERROR(SUMIFS('caseload data'!Q:Q,'caseload data'!$C:$C,'custody %'!$T$43,'caseload data'!$D:$D,"SPO",'caseload data'!$B:$B,"custody")/SUMIFS('caseload data'!Q:Q,'caseload data'!$B:$B,"custody",'caseload data'!$C:$C,'custody %'!$T$43),"")</f>
        <v/>
      </c>
      <c r="AH48" s="167" t="str">
        <f>IFERROR(SUMIFS('caseload data'!R:R,'caseload data'!$C:$C,'custody %'!$T$43,'caseload data'!$D:$D,"SPO",'caseload data'!$B:$B,"custody")/SUMIFS('caseload data'!R:R,'caseload data'!$B:$B,"custody",'caseload data'!$C:$C,'custody %'!$T$43),"")</f>
        <v/>
      </c>
      <c r="AI48" s="167"/>
      <c r="AJ48" s="167"/>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row>
    <row r="50" spans="2:36" ht="30" customHeight="1" x14ac:dyDescent="0.15">
      <c r="B50" s="289">
        <f>HLOOKUP($B$5,Region_Table,14,0)</f>
        <v>0</v>
      </c>
      <c r="C50" s="517" t="s">
        <v>1126</v>
      </c>
      <c r="D50" s="518"/>
      <c r="E50" s="518"/>
      <c r="F50" s="518"/>
      <c r="G50" s="518"/>
      <c r="H50" s="518"/>
      <c r="I50" s="518"/>
      <c r="J50" s="518"/>
      <c r="K50" s="518"/>
      <c r="L50" s="518"/>
      <c r="M50" s="537"/>
      <c r="N50" s="537"/>
      <c r="O50" s="538"/>
      <c r="P50" s="512">
        <f>SUMIF('caseload data'!$C:$C,'custody %'!B50,'caseload data'!V:V)</f>
        <v>0</v>
      </c>
      <c r="Q50" s="529"/>
      <c r="R50" s="530"/>
      <c r="S50" s="64"/>
      <c r="T50" s="289">
        <f>HLOOKUP($B$5,Region_Table,15,0)</f>
        <v>0</v>
      </c>
      <c r="U50" s="517" t="s">
        <v>1126</v>
      </c>
      <c r="V50" s="518"/>
      <c r="W50" s="518"/>
      <c r="X50" s="518"/>
      <c r="Y50" s="518"/>
      <c r="Z50" s="518"/>
      <c r="AA50" s="518"/>
      <c r="AB50" s="518"/>
      <c r="AC50" s="537"/>
      <c r="AD50" s="537"/>
      <c r="AE50" s="538"/>
      <c r="AF50" s="512">
        <f>SUMIF('caseload data'!$C:$C,'custody %'!T50,'caseload data'!V:V)</f>
        <v>0</v>
      </c>
      <c r="AG50" s="529"/>
      <c r="AH50" s="530"/>
    </row>
    <row r="51" spans="2:36" x14ac:dyDescent="0.15">
      <c r="B51" s="95" t="s">
        <v>1000</v>
      </c>
      <c r="C51" s="38" t="s">
        <v>864</v>
      </c>
      <c r="D51" s="38" t="s">
        <v>865</v>
      </c>
      <c r="E51" s="38" t="s">
        <v>866</v>
      </c>
      <c r="F51" s="38" t="s">
        <v>867</v>
      </c>
      <c r="G51" s="38" t="s">
        <v>868</v>
      </c>
      <c r="H51" s="38" t="s">
        <v>869</v>
      </c>
      <c r="I51" s="38" t="s">
        <v>870</v>
      </c>
      <c r="J51" s="38" t="s">
        <v>871</v>
      </c>
      <c r="K51" s="38" t="s">
        <v>872</v>
      </c>
      <c r="L51" s="38" t="s">
        <v>873</v>
      </c>
      <c r="M51" s="38" t="s">
        <v>874</v>
      </c>
      <c r="N51" s="38" t="s">
        <v>875</v>
      </c>
      <c r="O51" s="38" t="s">
        <v>876</v>
      </c>
      <c r="P51" s="38" t="s">
        <v>877</v>
      </c>
      <c r="Q51" s="38" t="s">
        <v>878</v>
      </c>
      <c r="R51" s="38" t="s">
        <v>879</v>
      </c>
      <c r="S51" s="64"/>
      <c r="T51" s="95" t="s">
        <v>1000</v>
      </c>
      <c r="U51" s="38" t="s">
        <v>864</v>
      </c>
      <c r="V51" s="38" t="s">
        <v>865</v>
      </c>
      <c r="W51" s="38" t="s">
        <v>866</v>
      </c>
      <c r="X51" s="38" t="s">
        <v>867</v>
      </c>
      <c r="Y51" s="38" t="s">
        <v>868</v>
      </c>
      <c r="Z51" s="38" t="s">
        <v>869</v>
      </c>
      <c r="AA51" s="38" t="s">
        <v>870</v>
      </c>
      <c r="AB51" s="38" t="s">
        <v>871</v>
      </c>
      <c r="AC51" s="38" t="s">
        <v>872</v>
      </c>
      <c r="AD51" s="38" t="s">
        <v>873</v>
      </c>
      <c r="AE51" s="38" t="s">
        <v>874</v>
      </c>
      <c r="AF51" s="38" t="s">
        <v>875</v>
      </c>
      <c r="AG51" s="38" t="s">
        <v>876</v>
      </c>
      <c r="AH51" s="38" t="s">
        <v>877</v>
      </c>
      <c r="AI51" s="38" t="s">
        <v>878</v>
      </c>
      <c r="AJ51" s="38" t="s">
        <v>879</v>
      </c>
    </row>
    <row r="52" spans="2:36" x14ac:dyDescent="0.15">
      <c r="B52" s="96" t="s">
        <v>997</v>
      </c>
      <c r="C52" s="167" t="str">
        <f>IFERROR(SUMIFS('caseload data'!E:E,'caseload data'!$C:$C,'custody %'!$B$50,'caseload data'!$D:$D,"PO",'caseload data'!$B:$B,"custody")/SUMIFS('caseload data'!E:E,'caseload data'!$B:$B,"custody",'caseload data'!$C:$C,'custody %'!$B$50),"")</f>
        <v/>
      </c>
      <c r="D52" s="167" t="str">
        <f>IFERROR(SUMIFS('caseload data'!F:F,'caseload data'!$C:$C,'custody %'!$B$50,'caseload data'!$D:$D,"PO",'caseload data'!$B:$B,"custody")/SUMIFS('caseload data'!F:F,'caseload data'!$B:$B,"custody",'caseload data'!$C:$C,'custody %'!$B$50),"")</f>
        <v/>
      </c>
      <c r="E52" s="167" t="str">
        <f>IFERROR(SUMIFS('caseload data'!G:G,'caseload data'!$C:$C,'custody %'!$B$50,'caseload data'!$D:$D,"PO",'caseload data'!$B:$B,"custody")/SUMIFS('caseload data'!G:G,'caseload data'!$B:$B,"custody",'caseload data'!$C:$C,'custody %'!$B$50),"")</f>
        <v/>
      </c>
      <c r="F52" s="167" t="str">
        <f>IFERROR(SUMIFS('caseload data'!H:H,'caseload data'!$C:$C,'custody %'!$B$50,'caseload data'!$D:$D,"PO",'caseload data'!$B:$B,"custody")/SUMIFS('caseload data'!H:H,'caseload data'!$B:$B,"custody",'caseload data'!$C:$C,'custody %'!$B$50),"")</f>
        <v/>
      </c>
      <c r="G52" s="167" t="str">
        <f>IFERROR(SUMIFS('caseload data'!I:I,'caseload data'!$C:$C,'custody %'!$B$50,'caseload data'!$D:$D,"PO",'caseload data'!$B:$B,"custody")/SUMIFS('caseload data'!I:I,'caseload data'!$B:$B,"custody",'caseload data'!$C:$C,'custody %'!$B$50),"")</f>
        <v/>
      </c>
      <c r="H52" s="167" t="str">
        <f>IFERROR(SUMIFS('caseload data'!J:J,'caseload data'!$C:$C,'custody %'!$B$50,'caseload data'!$D:$D,"PO",'caseload data'!$B:$B,"custody")/SUMIFS('caseload data'!J:J,'caseload data'!$B:$B,"custody",'caseload data'!$C:$C,'custody %'!$B$50),"")</f>
        <v/>
      </c>
      <c r="I52" s="167" t="str">
        <f>IFERROR(SUMIFS('caseload data'!K:K,'caseload data'!$C:$C,'custody %'!$B$50,'caseload data'!$D:$D,"PO",'caseload data'!$B:$B,"custody")/SUMIFS('caseload data'!K:K,'caseload data'!$B:$B,"custody",'caseload data'!$C:$C,'custody %'!$B$50),"")</f>
        <v/>
      </c>
      <c r="J52" s="167" t="str">
        <f>IFERROR(SUMIFS('caseload data'!L:L,'caseload data'!$C:$C,'custody %'!$B$50,'caseload data'!$D:$D,"PO",'caseload data'!$B:$B,"custody")/SUMIFS('caseload data'!L:L,'caseload data'!$B:$B,"custody",'caseload data'!$C:$C,'custody %'!$B$50),"")</f>
        <v/>
      </c>
      <c r="K52" s="167" t="str">
        <f>IFERROR(SUMIFS('caseload data'!M:M,'caseload data'!$C:$C,'custody %'!$B$50,'caseload data'!$D:$D,"PO",'caseload data'!$B:$B,"custody")/SUMIFS('caseload data'!M:M,'caseload data'!$B:$B,"custody",'caseload data'!$C:$C,'custody %'!$B$50),"")</f>
        <v/>
      </c>
      <c r="L52" s="167" t="str">
        <f>IFERROR(SUMIFS('caseload data'!N:N,'caseload data'!$C:$C,'custody %'!$B$50,'caseload data'!$D:$D,"PO",'caseload data'!$B:$B,"custody")/SUMIFS('caseload data'!N:N,'caseload data'!$B:$B,"custody",'caseload data'!$C:$C,'custody %'!$B$50),"")</f>
        <v/>
      </c>
      <c r="M52" s="167" t="str">
        <f>IFERROR(SUMIFS('caseload data'!O:O,'caseload data'!$C:$C,'custody %'!$B$50,'caseload data'!$D:$D,"PO",'caseload data'!$B:$B,"custody")/SUMIFS('caseload data'!O:O,'caseload data'!$B:$B,"custody",'caseload data'!$C:$C,'custody %'!$B$50),"")</f>
        <v/>
      </c>
      <c r="N52" s="167" t="str">
        <f>IFERROR(SUMIFS('caseload data'!P:P,'caseload data'!$C:$C,'custody %'!$B$50,'caseload data'!$D:$D,"PO",'caseload data'!$B:$B,"custody")/SUMIFS('caseload data'!P:P,'caseload data'!$B:$B,"custody",'caseload data'!$C:$C,'custody %'!$B$50),"")</f>
        <v/>
      </c>
      <c r="O52" s="167" t="str">
        <f>IFERROR(SUMIFS('caseload data'!Q:Q,'caseload data'!$C:$C,'custody %'!$B$50,'caseload data'!$D:$D,"PO",'caseload data'!$B:$B,"custody")/SUMIFS('caseload data'!Q:Q,'caseload data'!$B:$B,"custody",'caseload data'!$C:$C,'custody %'!$B$50),"")</f>
        <v/>
      </c>
      <c r="P52" s="167" t="str">
        <f>IFERROR(SUMIFS('caseload data'!R:R,'caseload data'!$C:$C,'custody %'!$B$50,'caseload data'!$D:$D,"PO",'caseload data'!$B:$B,"custody")/SUMIFS('caseload data'!R:R,'caseload data'!$B:$B,"custody",'caseload data'!$C:$C,'custody %'!$B$50),"")</f>
        <v/>
      </c>
      <c r="Q52" s="167" t="str">
        <f>IFERROR(SUMIFS('caseload data'!S:S,'caseload data'!$C:$C,'custody %'!$B$50,'caseload data'!$D:$D,"PO",'caseload data'!$B:$B,"custody")/SUMIFS('caseload data'!S:S,'caseload data'!$B:$B,"custody",'caseload data'!$C:$C,'custody %'!$B$50),"")</f>
        <v/>
      </c>
      <c r="R52" s="167" t="str">
        <f>IFERROR(SUMIFS('caseload data'!T:T,'caseload data'!$C:$C,'custody %'!$B$50,'caseload data'!$D:$D,"PO",'caseload data'!$B:$B,"custody")/SUMIFS('caseload data'!T:T,'caseload data'!$B:$B,"custody",'caseload data'!$C:$C,'custody %'!$B$50),"")</f>
        <v/>
      </c>
      <c r="S52" s="64"/>
      <c r="T52" s="96" t="s">
        <v>997</v>
      </c>
      <c r="U52" s="167" t="str">
        <f>IFERROR(SUMIFS('caseload data'!E:E,'caseload data'!$C:$C,'custody %'!$T$50,'caseload data'!$D:$D,"PO",'caseload data'!$B:$B,"custody")/SUMIFS('caseload data'!E:E,'caseload data'!$B:$B,"custody",'caseload data'!$C:$C,'custody %'!$T$50),"")</f>
        <v/>
      </c>
      <c r="V52" s="167" t="str">
        <f>IFERROR(SUMIFS('caseload data'!F:F,'caseload data'!$C:$C,'custody %'!$T$50,'caseload data'!$D:$D,"PO",'caseload data'!$B:$B,"custody")/SUMIFS('caseload data'!F:F,'caseload data'!$B:$B,"custody",'caseload data'!$C:$C,'custody %'!$T$50),"")</f>
        <v/>
      </c>
      <c r="W52" s="167" t="str">
        <f>IFERROR(SUMIFS('caseload data'!G:G,'caseload data'!$C:$C,'custody %'!$T$50,'caseload data'!$D:$D,"PO",'caseload data'!$B:$B,"custody")/SUMIFS('caseload data'!G:G,'caseload data'!$B:$B,"custody",'caseload data'!$C:$C,'custody %'!$T$50),"")</f>
        <v/>
      </c>
      <c r="X52" s="167" t="str">
        <f>IFERROR(SUMIFS('caseload data'!H:H,'caseload data'!$C:$C,'custody %'!$T$50,'caseload data'!$D:$D,"PO",'caseload data'!$B:$B,"custody")/SUMIFS('caseload data'!H:H,'caseload data'!$B:$B,"custody",'caseload data'!$C:$C,'custody %'!$T$50),"")</f>
        <v/>
      </c>
      <c r="Y52" s="167" t="str">
        <f>IFERROR(SUMIFS('caseload data'!I:I,'caseload data'!$C:$C,'custody %'!$T$50,'caseload data'!$D:$D,"PO",'caseload data'!$B:$B,"custody")/SUMIFS('caseload data'!I:I,'caseload data'!$B:$B,"custody",'caseload data'!$C:$C,'custody %'!$T$50),"")</f>
        <v/>
      </c>
      <c r="Z52" s="167" t="str">
        <f>IFERROR(SUMIFS('caseload data'!J:J,'caseload data'!$C:$C,'custody %'!$T$50,'caseload data'!$D:$D,"PO",'caseload data'!$B:$B,"custody")/SUMIFS('caseload data'!J:J,'caseload data'!$B:$B,"custody",'caseload data'!$C:$C,'custody %'!$T$50),"")</f>
        <v/>
      </c>
      <c r="AA52" s="167" t="str">
        <f>IFERROR(SUMIFS('caseload data'!K:K,'caseload data'!$C:$C,'custody %'!$T$50,'caseload data'!$D:$D,"PO",'caseload data'!$B:$B,"custody")/SUMIFS('caseload data'!K:K,'caseload data'!$B:$B,"custody",'caseload data'!$C:$C,'custody %'!$T$50),"")</f>
        <v/>
      </c>
      <c r="AB52" s="167" t="str">
        <f>IFERROR(SUMIFS('caseload data'!L:L,'caseload data'!$C:$C,'custody %'!$T$50,'caseload data'!$D:$D,"PO",'caseload data'!$B:$B,"custody")/SUMIFS('caseload data'!L:L,'caseload data'!$B:$B,"custody",'caseload data'!$C:$C,'custody %'!$T$50),"")</f>
        <v/>
      </c>
      <c r="AC52" s="167" t="str">
        <f>IFERROR(SUMIFS('caseload data'!M:M,'caseload data'!$C:$C,'custody %'!$T$50,'caseload data'!$D:$D,"PO",'caseload data'!$B:$B,"custody")/SUMIFS('caseload data'!M:M,'caseload data'!$B:$B,"custody",'caseload data'!$C:$C,'custody %'!$T$50),"")</f>
        <v/>
      </c>
      <c r="AD52" s="167" t="str">
        <f>IFERROR(SUMIFS('caseload data'!N:N,'caseload data'!$C:$C,'custody %'!$T$50,'caseload data'!$D:$D,"PO",'caseload data'!$B:$B,"custody")/SUMIFS('caseload data'!N:N,'caseload data'!$B:$B,"custody",'caseload data'!$C:$C,'custody %'!$T$50),"")</f>
        <v/>
      </c>
      <c r="AE52" s="167" t="str">
        <f>IFERROR(SUMIFS('caseload data'!O:O,'caseload data'!$C:$C,'custody %'!$T$50,'caseload data'!$D:$D,"PO",'caseload data'!$B:$B,"custody")/SUMIFS('caseload data'!O:O,'caseload data'!$B:$B,"custody",'caseload data'!$C:$C,'custody %'!$T$50),"")</f>
        <v/>
      </c>
      <c r="AF52" s="167" t="str">
        <f>IFERROR(SUMIFS('caseload data'!P:P,'caseload data'!$C:$C,'custody %'!$T$50,'caseload data'!$D:$D,"PO",'caseload data'!$B:$B,"custody")/SUMIFS('caseload data'!P:P,'caseload data'!$B:$B,"custody",'caseload data'!$C:$C,'custody %'!$T$50),"")</f>
        <v/>
      </c>
      <c r="AG52" s="167" t="str">
        <f>IFERROR(SUMIFS('caseload data'!Q:Q,'caseload data'!$C:$C,'custody %'!$T$50,'caseload data'!$D:$D,"PO",'caseload data'!$B:$B,"custody")/SUMIFS('caseload data'!Q:Q,'caseload data'!$B:$B,"custody",'caseload data'!$C:$C,'custody %'!$T$50),"")</f>
        <v/>
      </c>
      <c r="AH52" s="167" t="str">
        <f>IFERROR(SUMIFS('caseload data'!R:R,'caseload data'!$C:$C,'custody %'!$T$50,'caseload data'!$D:$D,"PO",'caseload data'!$B:$B,"custody")/SUMIFS('caseload data'!R:R,'caseload data'!$B:$B,"custody",'caseload data'!$C:$C,'custody %'!$T$50),"")</f>
        <v/>
      </c>
      <c r="AI52" s="167"/>
      <c r="AJ52" s="167"/>
    </row>
    <row r="53" spans="2:36" x14ac:dyDescent="0.15">
      <c r="B53" s="97" t="s">
        <v>1002</v>
      </c>
      <c r="C53" s="167" t="str">
        <f>IFERROR(SUMIFS('caseload data'!E:E,'caseload data'!$C:$C,'custody %'!$B$50,'caseload data'!$D:$D,"PSO",'caseload data'!$B:$B,"custody")/SUMIFS('caseload data'!E:E,'caseload data'!$B:$B,"custody",'caseload data'!$C:$C,'custody %'!$B$50),"")</f>
        <v/>
      </c>
      <c r="D53" s="167" t="str">
        <f>IFERROR(SUMIFS('caseload data'!F:F,'caseload data'!$C:$C,'custody %'!$B$50,'caseload data'!$D:$D,"PSO",'caseload data'!$B:$B,"custody")/SUMIFS('caseload data'!F:F,'caseload data'!$B:$B,"custody",'caseload data'!$C:$C,'custody %'!$B$50),"")</f>
        <v/>
      </c>
      <c r="E53" s="167" t="str">
        <f>IFERROR(SUMIFS('caseload data'!G:G,'caseload data'!$C:$C,'custody %'!$B$50,'caseload data'!$D:$D,"PSO",'caseload data'!$B:$B,"custody")/SUMIFS('caseload data'!G:G,'caseload data'!$B:$B,"custody",'caseload data'!$C:$C,'custody %'!$B$50),"")</f>
        <v/>
      </c>
      <c r="F53" s="167" t="str">
        <f>IFERROR(SUMIFS('caseload data'!H:H,'caseload data'!$C:$C,'custody %'!$B$50,'caseload data'!$D:$D,"PSO",'caseload data'!$B:$B,"custody")/SUMIFS('caseload data'!H:H,'caseload data'!$B:$B,"custody",'caseload data'!$C:$C,'custody %'!$B$50),"")</f>
        <v/>
      </c>
      <c r="G53" s="167" t="str">
        <f>IFERROR(SUMIFS('caseload data'!I:I,'caseload data'!$C:$C,'custody %'!$B$50,'caseload data'!$D:$D,"PSO",'caseload data'!$B:$B,"custody")/SUMIFS('caseload data'!I:I,'caseload data'!$B:$B,"custody",'caseload data'!$C:$C,'custody %'!$B$50),"")</f>
        <v/>
      </c>
      <c r="H53" s="167" t="str">
        <f>IFERROR(SUMIFS('caseload data'!J:J,'caseload data'!$C:$C,'custody %'!$B$50,'caseload data'!$D:$D,"PSO",'caseload data'!$B:$B,"custody")/SUMIFS('caseload data'!J:J,'caseload data'!$B:$B,"custody",'caseload data'!$C:$C,'custody %'!$B$50),"")</f>
        <v/>
      </c>
      <c r="I53" s="167" t="str">
        <f>IFERROR(SUMIFS('caseload data'!K:K,'caseload data'!$C:$C,'custody %'!$B$50,'caseload data'!$D:$D,"PSO",'caseload data'!$B:$B,"custody")/SUMIFS('caseload data'!K:K,'caseload data'!$B:$B,"custody",'caseload data'!$C:$C,'custody %'!$B$50),"")</f>
        <v/>
      </c>
      <c r="J53" s="167" t="str">
        <f>IFERROR(SUMIFS('caseload data'!L:L,'caseload data'!$C:$C,'custody %'!$B$50,'caseload data'!$D:$D,"PSO",'caseload data'!$B:$B,"custody")/SUMIFS('caseload data'!L:L,'caseload data'!$B:$B,"custody",'caseload data'!$C:$C,'custody %'!$B$50),"")</f>
        <v/>
      </c>
      <c r="K53" s="167" t="str">
        <f>IFERROR(SUMIFS('caseload data'!M:M,'caseload data'!$C:$C,'custody %'!$B$50,'caseload data'!$D:$D,"PSO",'caseload data'!$B:$B,"custody")/SUMIFS('caseload data'!M:M,'caseload data'!$B:$B,"custody",'caseload data'!$C:$C,'custody %'!$B$50),"")</f>
        <v/>
      </c>
      <c r="L53" s="167" t="str">
        <f>IFERROR(SUMIFS('caseload data'!N:N,'caseload data'!$C:$C,'custody %'!$B$50,'caseload data'!$D:$D,"PSO",'caseload data'!$B:$B,"custody")/SUMIFS('caseload data'!N:N,'caseload data'!$B:$B,"custody",'caseload data'!$C:$C,'custody %'!$B$50),"")</f>
        <v/>
      </c>
      <c r="M53" s="167" t="str">
        <f>IFERROR(SUMIFS('caseload data'!O:O,'caseload data'!$C:$C,'custody %'!$B$50,'caseload data'!$D:$D,"PSO",'caseload data'!$B:$B,"custody")/SUMIFS('caseload data'!O:O,'caseload data'!$B:$B,"custody",'caseload data'!$C:$C,'custody %'!$B$50),"")</f>
        <v/>
      </c>
      <c r="N53" s="167" t="str">
        <f>IFERROR(SUMIFS('caseload data'!P:P,'caseload data'!$C:$C,'custody %'!$B$50,'caseload data'!$D:$D,"PSO",'caseload data'!$B:$B,"custody")/SUMIFS('caseload data'!P:P,'caseload data'!$B:$B,"custody",'caseload data'!$C:$C,'custody %'!$B$50),"")</f>
        <v/>
      </c>
      <c r="O53" s="167" t="str">
        <f>IFERROR(SUMIFS('caseload data'!Q:Q,'caseload data'!$C:$C,'custody %'!$B$50,'caseload data'!$D:$D,"PSO",'caseload data'!$B:$B,"custody")/SUMIFS('caseload data'!Q:Q,'caseload data'!$B:$B,"custody",'caseload data'!$C:$C,'custody %'!$B$50),"")</f>
        <v/>
      </c>
      <c r="P53" s="167" t="str">
        <f>IFERROR(SUMIFS('caseload data'!R:R,'caseload data'!$C:$C,'custody %'!$B$50,'caseload data'!$D:$D,"PSO",'caseload data'!$B:$B,"custody")/SUMIFS('caseload data'!R:R,'caseload data'!$B:$B,"custody",'caseload data'!$C:$C,'custody %'!$B$50),"")</f>
        <v/>
      </c>
      <c r="Q53" s="167" t="str">
        <f>IFERROR(SUMIFS('caseload data'!S:S,'caseload data'!$C:$C,'custody %'!$B$50,'caseload data'!$D:$D,"PSO",'caseload data'!$B:$B,"custody")/SUMIFS('caseload data'!S:S,'caseload data'!$B:$B,"custody",'caseload data'!$C:$C,'custody %'!$B$50),"")</f>
        <v/>
      </c>
      <c r="R53" s="167" t="str">
        <f>IFERROR(SUMIFS('caseload data'!T:T,'caseload data'!$C:$C,'custody %'!$B$50,'caseload data'!$D:$D,"PSO",'caseload data'!$B:$B,"custody")/SUMIFS('caseload data'!T:T,'caseload data'!$B:$B,"custody",'caseload data'!$C:$C,'custody %'!$B$50),"")</f>
        <v/>
      </c>
      <c r="S53" s="64"/>
      <c r="T53" s="97" t="s">
        <v>1002</v>
      </c>
      <c r="U53" s="167" t="str">
        <f>IFERROR(SUMIFS('caseload data'!E:E,'caseload data'!$C:$C,'custody %'!$T$50,'caseload data'!$D:$D,"PSO",'caseload data'!$B:$B,"custody")/SUMIFS('caseload data'!E:E,'caseload data'!$B:$B,"custody",'caseload data'!$C:$C,'custody %'!$T$50),"")</f>
        <v/>
      </c>
      <c r="V53" s="167" t="str">
        <f>IFERROR(SUMIFS('caseload data'!F:F,'caseload data'!$C:$C,'custody %'!$T$50,'caseload data'!$D:$D,"PSO",'caseload data'!$B:$B,"custody")/SUMIFS('caseload data'!F:F,'caseload data'!$B:$B,"custody",'caseload data'!$C:$C,'custody %'!$T$50),"")</f>
        <v/>
      </c>
      <c r="W53" s="167" t="str">
        <f>IFERROR(SUMIFS('caseload data'!G:G,'caseload data'!$C:$C,'custody %'!$T$50,'caseload data'!$D:$D,"PSO",'caseload data'!$B:$B,"custody")/SUMIFS('caseload data'!G:G,'caseload data'!$B:$B,"custody",'caseload data'!$C:$C,'custody %'!$T$50),"")</f>
        <v/>
      </c>
      <c r="X53" s="167" t="str">
        <f>IFERROR(SUMIFS('caseload data'!H:H,'caseload data'!$C:$C,'custody %'!$T$50,'caseload data'!$D:$D,"PSO",'caseload data'!$B:$B,"custody")/SUMIFS('caseload data'!H:H,'caseload data'!$B:$B,"custody",'caseload data'!$C:$C,'custody %'!$T$50),"")</f>
        <v/>
      </c>
      <c r="Y53" s="167" t="str">
        <f>IFERROR(SUMIFS('caseload data'!I:I,'caseload data'!$C:$C,'custody %'!$T$50,'caseload data'!$D:$D,"PSO",'caseload data'!$B:$B,"custody")/SUMIFS('caseload data'!I:I,'caseload data'!$B:$B,"custody",'caseload data'!$C:$C,'custody %'!$T$50),"")</f>
        <v/>
      </c>
      <c r="Z53" s="167" t="str">
        <f>IFERROR(SUMIFS('caseload data'!J:J,'caseload data'!$C:$C,'custody %'!$T$50,'caseload data'!$D:$D,"PSO",'caseload data'!$B:$B,"custody")/SUMIFS('caseload data'!J:J,'caseload data'!$B:$B,"custody",'caseload data'!$C:$C,'custody %'!$T$50),"")</f>
        <v/>
      </c>
      <c r="AA53" s="167" t="str">
        <f>IFERROR(SUMIFS('caseload data'!K:K,'caseload data'!$C:$C,'custody %'!$T$50,'caseload data'!$D:$D,"PSO",'caseload data'!$B:$B,"custody")/SUMIFS('caseload data'!K:K,'caseload data'!$B:$B,"custody",'caseload data'!$C:$C,'custody %'!$T$50),"")</f>
        <v/>
      </c>
      <c r="AB53" s="167" t="str">
        <f>IFERROR(SUMIFS('caseload data'!L:L,'caseload data'!$C:$C,'custody %'!$T$50,'caseload data'!$D:$D,"PSO",'caseload data'!$B:$B,"custody")/SUMIFS('caseload data'!L:L,'caseload data'!$B:$B,"custody",'caseload data'!$C:$C,'custody %'!$T$50),"")</f>
        <v/>
      </c>
      <c r="AC53" s="167" t="str">
        <f>IFERROR(SUMIFS('caseload data'!M:M,'caseload data'!$C:$C,'custody %'!$T$50,'caseload data'!$D:$D,"PSO",'caseload data'!$B:$B,"custody")/SUMIFS('caseload data'!M:M,'caseload data'!$B:$B,"custody",'caseload data'!$C:$C,'custody %'!$T$50),"")</f>
        <v/>
      </c>
      <c r="AD53" s="167" t="str">
        <f>IFERROR(SUMIFS('caseload data'!N:N,'caseload data'!$C:$C,'custody %'!$T$50,'caseload data'!$D:$D,"PSO",'caseload data'!$B:$B,"custody")/SUMIFS('caseload data'!N:N,'caseload data'!$B:$B,"custody",'caseload data'!$C:$C,'custody %'!$T$50),"")</f>
        <v/>
      </c>
      <c r="AE53" s="167" t="str">
        <f>IFERROR(SUMIFS('caseload data'!O:O,'caseload data'!$C:$C,'custody %'!$T$50,'caseload data'!$D:$D,"PSO",'caseload data'!$B:$B,"custody")/SUMIFS('caseload data'!O:O,'caseload data'!$B:$B,"custody",'caseload data'!$C:$C,'custody %'!$T$50),"")</f>
        <v/>
      </c>
      <c r="AF53" s="167" t="str">
        <f>IFERROR(SUMIFS('caseload data'!P:P,'caseload data'!$C:$C,'custody %'!$T$50,'caseload data'!$D:$D,"PSO",'caseload data'!$B:$B,"custody")/SUMIFS('caseload data'!P:P,'caseload data'!$B:$B,"custody",'caseload data'!$C:$C,'custody %'!$T$50),"")</f>
        <v/>
      </c>
      <c r="AG53" s="167" t="str">
        <f>IFERROR(SUMIFS('caseload data'!Q:Q,'caseload data'!$C:$C,'custody %'!$T$50,'caseload data'!$D:$D,"PSO",'caseload data'!$B:$B,"custody")/SUMIFS('caseload data'!Q:Q,'caseload data'!$B:$B,"custody",'caseload data'!$C:$C,'custody %'!$T$50),"")</f>
        <v/>
      </c>
      <c r="AH53" s="167" t="str">
        <f>IFERROR(SUMIFS('caseload data'!R:R,'caseload data'!$C:$C,'custody %'!$T$50,'caseload data'!$D:$D,"PSO",'caseload data'!$B:$B,"custody")/SUMIFS('caseload data'!R:R,'caseload data'!$B:$B,"custody",'caseload data'!$C:$C,'custody %'!$T$50),"")</f>
        <v/>
      </c>
      <c r="AI53" s="167"/>
      <c r="AJ53" s="167"/>
    </row>
    <row r="54" spans="2:36" x14ac:dyDescent="0.15">
      <c r="B54" s="97" t="s">
        <v>1003</v>
      </c>
      <c r="C54" s="167" t="str">
        <f>IFERROR(SUMIFS('caseload data'!E:E,'caseload data'!$C:$C,'custody %'!$B$50,'caseload data'!$D:$D,"TPO",'caseload data'!$B:$B,"custody")/SUMIFS('caseload data'!E:E,'caseload data'!$B:$B,"custody",'caseload data'!$C:$C,'custody %'!$B$50),"")</f>
        <v/>
      </c>
      <c r="D54" s="167" t="str">
        <f>IFERROR(SUMIFS('caseload data'!F:F,'caseload data'!$C:$C,'custody %'!$B$50,'caseload data'!$D:$D,"TPO",'caseload data'!$B:$B,"custody")/SUMIFS('caseload data'!F:F,'caseload data'!$B:$B,"custody",'caseload data'!$C:$C,'custody %'!$B$50),"")</f>
        <v/>
      </c>
      <c r="E54" s="167" t="str">
        <f>IFERROR(SUMIFS('caseload data'!G:G,'caseload data'!$C:$C,'custody %'!$B$50,'caseload data'!$D:$D,"TPO",'caseload data'!$B:$B,"custody")/SUMIFS('caseload data'!G:G,'caseload data'!$B:$B,"custody",'caseload data'!$C:$C,'custody %'!$B$50),"")</f>
        <v/>
      </c>
      <c r="F54" s="167" t="str">
        <f>IFERROR(SUMIFS('caseload data'!H:H,'caseload data'!$C:$C,'custody %'!$B$50,'caseload data'!$D:$D,"TPO",'caseload data'!$B:$B,"custody")/SUMIFS('caseload data'!H:H,'caseload data'!$B:$B,"custody",'caseload data'!$C:$C,'custody %'!$B$50),"")</f>
        <v/>
      </c>
      <c r="G54" s="167" t="str">
        <f>IFERROR(SUMIFS('caseload data'!I:I,'caseload data'!$C:$C,'custody %'!$B$50,'caseload data'!$D:$D,"TPO",'caseload data'!$B:$B,"custody")/SUMIFS('caseload data'!I:I,'caseload data'!$B:$B,"custody",'caseload data'!$C:$C,'custody %'!$B$50),"")</f>
        <v/>
      </c>
      <c r="H54" s="167" t="str">
        <f>IFERROR(SUMIFS('caseload data'!J:J,'caseload data'!$C:$C,'custody %'!$B$50,'caseload data'!$D:$D,"TPO",'caseload data'!$B:$B,"custody")/SUMIFS('caseload data'!J:J,'caseload data'!$B:$B,"custody",'caseload data'!$C:$C,'custody %'!$B$50),"")</f>
        <v/>
      </c>
      <c r="I54" s="167" t="str">
        <f>IFERROR(SUMIFS('caseload data'!K:K,'caseload data'!$C:$C,'custody %'!$B$50,'caseload data'!$D:$D,"TPO",'caseload data'!$B:$B,"custody")/SUMIFS('caseload data'!K:K,'caseload data'!$B:$B,"custody",'caseload data'!$C:$C,'custody %'!$B$50),"")</f>
        <v/>
      </c>
      <c r="J54" s="167" t="str">
        <f>IFERROR(SUMIFS('caseload data'!L:L,'caseload data'!$C:$C,'custody %'!$B$50,'caseload data'!$D:$D,"TPO",'caseload data'!$B:$B,"custody")/SUMIFS('caseload data'!L:L,'caseload data'!$B:$B,"custody",'caseload data'!$C:$C,'custody %'!$B$50),"")</f>
        <v/>
      </c>
      <c r="K54" s="167" t="str">
        <f>IFERROR(SUMIFS('caseload data'!M:M,'caseload data'!$C:$C,'custody %'!$B$50,'caseload data'!$D:$D,"TPO",'caseload data'!$B:$B,"custody")/SUMIFS('caseload data'!M:M,'caseload data'!$B:$B,"custody",'caseload data'!$C:$C,'custody %'!$B$50),"")</f>
        <v/>
      </c>
      <c r="L54" s="167" t="str">
        <f>IFERROR(SUMIFS('caseload data'!N:N,'caseload data'!$C:$C,'custody %'!$B$50,'caseload data'!$D:$D,"TPO",'caseload data'!$B:$B,"custody")/SUMIFS('caseload data'!N:N,'caseload data'!$B:$B,"custody",'caseload data'!$C:$C,'custody %'!$B$50),"")</f>
        <v/>
      </c>
      <c r="M54" s="167" t="str">
        <f>IFERROR(SUMIFS('caseload data'!O:O,'caseload data'!$C:$C,'custody %'!$B$50,'caseload data'!$D:$D,"TPO",'caseload data'!$B:$B,"custody")/SUMIFS('caseload data'!O:O,'caseload data'!$B:$B,"custody",'caseload data'!$C:$C,'custody %'!$B$50),"")</f>
        <v/>
      </c>
      <c r="N54" s="167" t="str">
        <f>IFERROR(SUMIFS('caseload data'!P:P,'caseload data'!$C:$C,'custody %'!$B$50,'caseload data'!$D:$D,"TPO",'caseload data'!$B:$B,"custody")/SUMIFS('caseload data'!P:P,'caseload data'!$B:$B,"custody",'caseload data'!$C:$C,'custody %'!$B$50),"")</f>
        <v/>
      </c>
      <c r="O54" s="167" t="str">
        <f>IFERROR(SUMIFS('caseload data'!Q:Q,'caseload data'!$C:$C,'custody %'!$B$50,'caseload data'!$D:$D,"TPO",'caseload data'!$B:$B,"custody")/SUMIFS('caseload data'!Q:Q,'caseload data'!$B:$B,"custody",'caseload data'!$C:$C,'custody %'!$B$50),"")</f>
        <v/>
      </c>
      <c r="P54" s="167" t="str">
        <f>IFERROR(SUMIFS('caseload data'!R:R,'caseload data'!$C:$C,'custody %'!$B$50,'caseload data'!$D:$D,"TPO",'caseload data'!$B:$B,"custody")/SUMIFS('caseload data'!R:R,'caseload data'!$B:$B,"custody",'caseload data'!$C:$C,'custody %'!$B$50),"")</f>
        <v/>
      </c>
      <c r="Q54" s="167" t="str">
        <f>IFERROR(SUMIFS('caseload data'!S:S,'caseload data'!$C:$C,'custody %'!$B$50,'caseload data'!$D:$D,"TPO",'caseload data'!$B:$B,"custody")/SUMIFS('caseload data'!S:S,'caseload data'!$B:$B,"custody",'caseload data'!$C:$C,'custody %'!$B$50),"")</f>
        <v/>
      </c>
      <c r="R54" s="167" t="str">
        <f>IFERROR(SUMIFS('caseload data'!T:T,'caseload data'!$C:$C,'custody %'!$B$50,'caseload data'!$D:$D,"TPO",'caseload data'!$B:$B,"custody")/SUMIFS('caseload data'!T:T,'caseload data'!$B:$B,"custody",'caseload data'!$C:$C,'custody %'!$B$50),"")</f>
        <v/>
      </c>
      <c r="S54" s="64"/>
      <c r="T54" s="97" t="s">
        <v>1003</v>
      </c>
      <c r="U54" s="167" t="str">
        <f>IFERROR(SUMIFS('caseload data'!E:E,'caseload data'!$C:$C,'custody %'!$T$50,'caseload data'!$D:$D,"TPO",'caseload data'!$B:$B,"custody")/SUMIFS('caseload data'!E:E,'caseload data'!$B:$B,"custody",'caseload data'!$C:$C,'custody %'!$T$50),"")</f>
        <v/>
      </c>
      <c r="V54" s="167" t="str">
        <f>IFERROR(SUMIFS('caseload data'!F:F,'caseload data'!$C:$C,'custody %'!$T$50,'caseload data'!$D:$D,"TPO",'caseload data'!$B:$B,"custody")/SUMIFS('caseload data'!F:F,'caseload data'!$B:$B,"custody",'caseload data'!$C:$C,'custody %'!$T$50),"")</f>
        <v/>
      </c>
      <c r="W54" s="167" t="str">
        <f>IFERROR(SUMIFS('caseload data'!G:G,'caseload data'!$C:$C,'custody %'!$T$50,'caseload data'!$D:$D,"TPO",'caseload data'!$B:$B,"custody")/SUMIFS('caseload data'!G:G,'caseload data'!$B:$B,"custody",'caseload data'!$C:$C,'custody %'!$T$50),"")</f>
        <v/>
      </c>
      <c r="X54" s="167" t="str">
        <f>IFERROR(SUMIFS('caseload data'!H:H,'caseload data'!$C:$C,'custody %'!$T$50,'caseload data'!$D:$D,"TPO",'caseload data'!$B:$B,"custody")/SUMIFS('caseload data'!H:H,'caseload data'!$B:$B,"custody",'caseload data'!$C:$C,'custody %'!$T$50),"")</f>
        <v/>
      </c>
      <c r="Y54" s="167" t="str">
        <f>IFERROR(SUMIFS('caseload data'!I:I,'caseload data'!$C:$C,'custody %'!$T$50,'caseload data'!$D:$D,"TPO",'caseload data'!$B:$B,"custody")/SUMIFS('caseload data'!I:I,'caseload data'!$B:$B,"custody",'caseload data'!$C:$C,'custody %'!$T$50),"")</f>
        <v/>
      </c>
      <c r="Z54" s="167" t="str">
        <f>IFERROR(SUMIFS('caseload data'!J:J,'caseload data'!$C:$C,'custody %'!$T$50,'caseload data'!$D:$D,"TPO",'caseload data'!$B:$B,"custody")/SUMIFS('caseload data'!J:J,'caseload data'!$B:$B,"custody",'caseload data'!$C:$C,'custody %'!$T$50),"")</f>
        <v/>
      </c>
      <c r="AA54" s="167" t="str">
        <f>IFERROR(SUMIFS('caseload data'!K:K,'caseload data'!$C:$C,'custody %'!$T$50,'caseload data'!$D:$D,"TPO",'caseload data'!$B:$B,"custody")/SUMIFS('caseload data'!K:K,'caseload data'!$B:$B,"custody",'caseload data'!$C:$C,'custody %'!$T$50),"")</f>
        <v/>
      </c>
      <c r="AB54" s="167" t="str">
        <f>IFERROR(SUMIFS('caseload data'!L:L,'caseload data'!$C:$C,'custody %'!$T$50,'caseload data'!$D:$D,"TPO",'caseload data'!$B:$B,"custody")/SUMIFS('caseload data'!L:L,'caseload data'!$B:$B,"custody",'caseload data'!$C:$C,'custody %'!$T$50),"")</f>
        <v/>
      </c>
      <c r="AC54" s="167" t="str">
        <f>IFERROR(SUMIFS('caseload data'!M:M,'caseload data'!$C:$C,'custody %'!$T$50,'caseload data'!$D:$D,"TPO",'caseload data'!$B:$B,"custody")/SUMIFS('caseload data'!M:M,'caseload data'!$B:$B,"custody",'caseload data'!$C:$C,'custody %'!$T$50),"")</f>
        <v/>
      </c>
      <c r="AD54" s="167" t="str">
        <f>IFERROR(SUMIFS('caseload data'!N:N,'caseload data'!$C:$C,'custody %'!$T$50,'caseload data'!$D:$D,"TPO",'caseload data'!$B:$B,"custody")/SUMIFS('caseload data'!N:N,'caseload data'!$B:$B,"custody",'caseload data'!$C:$C,'custody %'!$T$50),"")</f>
        <v/>
      </c>
      <c r="AE54" s="167" t="str">
        <f>IFERROR(SUMIFS('caseload data'!O:O,'caseload data'!$C:$C,'custody %'!$T$50,'caseload data'!$D:$D,"TPO",'caseload data'!$B:$B,"custody")/SUMIFS('caseload data'!O:O,'caseload data'!$B:$B,"custody",'caseload data'!$C:$C,'custody %'!$T$50),"")</f>
        <v/>
      </c>
      <c r="AF54" s="167" t="str">
        <f>IFERROR(SUMIFS('caseload data'!P:P,'caseload data'!$C:$C,'custody %'!$T$50,'caseload data'!$D:$D,"TPO",'caseload data'!$B:$B,"custody")/SUMIFS('caseload data'!P:P,'caseload data'!$B:$B,"custody",'caseload data'!$C:$C,'custody %'!$T$50),"")</f>
        <v/>
      </c>
      <c r="AG54" s="167" t="str">
        <f>IFERROR(SUMIFS('caseload data'!Q:Q,'caseload data'!$C:$C,'custody %'!$T$50,'caseload data'!$D:$D,"TPO",'caseload data'!$B:$B,"custody")/SUMIFS('caseload data'!Q:Q,'caseload data'!$B:$B,"custody",'caseload data'!$C:$C,'custody %'!$T$50),"")</f>
        <v/>
      </c>
      <c r="AH54" s="167" t="str">
        <f>IFERROR(SUMIFS('caseload data'!R:R,'caseload data'!$C:$C,'custody %'!$T$50,'caseload data'!$D:$D,"TPO",'caseload data'!$B:$B,"custody")/SUMIFS('caseload data'!R:R,'caseload data'!$B:$B,"custody",'caseload data'!$C:$C,'custody %'!$T$50),"")</f>
        <v/>
      </c>
      <c r="AI54" s="167"/>
      <c r="AJ54" s="167"/>
    </row>
    <row r="55" spans="2:36" x14ac:dyDescent="0.15">
      <c r="B55" s="98" t="s">
        <v>1004</v>
      </c>
      <c r="C55" s="167" t="str">
        <f>IFERROR(SUMIFS('caseload data'!E:E,'caseload data'!$C:$C,'custody %'!$B$50,'caseload data'!$D:$D,"SPO",'caseload data'!$B:$B,"custody")/SUMIFS('caseload data'!E:E,'caseload data'!$B:$B,"custody",'caseload data'!$C:$C,'custody %'!$B$50),"")</f>
        <v/>
      </c>
      <c r="D55" s="167" t="str">
        <f>IFERROR(SUMIFS('caseload data'!F:F,'caseload data'!$C:$C,'custody %'!$B$50,'caseload data'!$D:$D,"SPO",'caseload data'!$B:$B,"custody")/SUMIFS('caseload data'!F:F,'caseload data'!$B:$B,"custody",'caseload data'!$C:$C,'custody %'!$B$50),"")</f>
        <v/>
      </c>
      <c r="E55" s="167" t="str">
        <f>IFERROR(SUMIFS('caseload data'!G:G,'caseload data'!$C:$C,'custody %'!$B$50,'caseload data'!$D:$D,"SPO",'caseload data'!$B:$B,"custody")/SUMIFS('caseload data'!G:G,'caseload data'!$B:$B,"custody",'caseload data'!$C:$C,'custody %'!$B$50),"")</f>
        <v/>
      </c>
      <c r="F55" s="167" t="str">
        <f>IFERROR(SUMIFS('caseload data'!H:H,'caseload data'!$C:$C,'custody %'!$B$50,'caseload data'!$D:$D,"SPO",'caseload data'!$B:$B,"custody")/SUMIFS('caseload data'!H:H,'caseload data'!$B:$B,"custody",'caseload data'!$C:$C,'custody %'!$B$50),"")</f>
        <v/>
      </c>
      <c r="G55" s="167" t="str">
        <f>IFERROR(SUMIFS('caseload data'!I:I,'caseload data'!$C:$C,'custody %'!$B$50,'caseload data'!$D:$D,"SPO",'caseload data'!$B:$B,"custody")/SUMIFS('caseload data'!I:I,'caseload data'!$B:$B,"custody",'caseload data'!$C:$C,'custody %'!$B$50),"")</f>
        <v/>
      </c>
      <c r="H55" s="167" t="str">
        <f>IFERROR(SUMIFS('caseload data'!J:J,'caseload data'!$C:$C,'custody %'!$B$50,'caseload data'!$D:$D,"SPO",'caseload data'!$B:$B,"custody")/SUMIFS('caseload data'!J:J,'caseload data'!$B:$B,"custody",'caseload data'!$C:$C,'custody %'!$B$50),"")</f>
        <v/>
      </c>
      <c r="I55" s="167" t="str">
        <f>IFERROR(SUMIFS('caseload data'!K:K,'caseload data'!$C:$C,'custody %'!$B$50,'caseload data'!$D:$D,"SPO",'caseload data'!$B:$B,"custody")/SUMIFS('caseload data'!K:K,'caseload data'!$B:$B,"custody",'caseload data'!$C:$C,'custody %'!$B$50),"")</f>
        <v/>
      </c>
      <c r="J55" s="167" t="str">
        <f>IFERROR(SUMIFS('caseload data'!L:L,'caseload data'!$C:$C,'custody %'!$B$50,'caseload data'!$D:$D,"SPO",'caseload data'!$B:$B,"custody")/SUMIFS('caseload data'!L:L,'caseload data'!$B:$B,"custody",'caseload data'!$C:$C,'custody %'!$B$50),"")</f>
        <v/>
      </c>
      <c r="K55" s="167" t="str">
        <f>IFERROR(SUMIFS('caseload data'!M:M,'caseload data'!$C:$C,'custody %'!$B$50,'caseload data'!$D:$D,"SPO",'caseload data'!$B:$B,"custody")/SUMIFS('caseload data'!M:M,'caseload data'!$B:$B,"custody",'caseload data'!$C:$C,'custody %'!$B$50),"")</f>
        <v/>
      </c>
      <c r="L55" s="167" t="str">
        <f>IFERROR(SUMIFS('caseload data'!N:N,'caseload data'!$C:$C,'custody %'!$B$50,'caseload data'!$D:$D,"SPO",'caseload data'!$B:$B,"custody")/SUMIFS('caseload data'!N:N,'caseload data'!$B:$B,"custody",'caseload data'!$C:$C,'custody %'!$B$50),"")</f>
        <v/>
      </c>
      <c r="M55" s="167" t="str">
        <f>IFERROR(SUMIFS('caseload data'!O:O,'caseload data'!$C:$C,'custody %'!$B$50,'caseload data'!$D:$D,"SPO",'caseload data'!$B:$B,"custody")/SUMIFS('caseload data'!O:O,'caseload data'!$B:$B,"custody",'caseload data'!$C:$C,'custody %'!$B$50),"")</f>
        <v/>
      </c>
      <c r="N55" s="167" t="str">
        <f>IFERROR(SUMIFS('caseload data'!P:P,'caseload data'!$C:$C,'custody %'!$B$50,'caseload data'!$D:$D,"SPO",'caseload data'!$B:$B,"custody")/SUMIFS('caseload data'!P:P,'caseload data'!$B:$B,"custody",'caseload data'!$C:$C,'custody %'!$B$50),"")</f>
        <v/>
      </c>
      <c r="O55" s="167" t="str">
        <f>IFERROR(SUMIFS('caseload data'!Q:Q,'caseload data'!$C:$C,'custody %'!$B$50,'caseload data'!$D:$D,"SPO",'caseload data'!$B:$B,"custody")/SUMIFS('caseload data'!Q:Q,'caseload data'!$B:$B,"custody",'caseload data'!$C:$C,'custody %'!$B$50),"")</f>
        <v/>
      </c>
      <c r="P55" s="167" t="str">
        <f>IFERROR(SUMIFS('caseload data'!R:R,'caseload data'!$C:$C,'custody %'!$B$50,'caseload data'!$D:$D,"SPO",'caseload data'!$B:$B,"custody")/SUMIFS('caseload data'!R:R,'caseload data'!$B:$B,"custody",'caseload data'!$C:$C,'custody %'!$B$50),"")</f>
        <v/>
      </c>
      <c r="Q55" s="167" t="str">
        <f>IFERROR(SUMIFS('caseload data'!S:S,'caseload data'!$C:$C,'custody %'!$B$50,'caseload data'!$D:$D,"SPO",'caseload data'!$B:$B,"custody")/SUMIFS('caseload data'!S:S,'caseload data'!$B:$B,"custody",'caseload data'!$C:$C,'custody %'!$B$50),"")</f>
        <v/>
      </c>
      <c r="R55" s="167" t="str">
        <f>IFERROR(SUMIFS('caseload data'!T:T,'caseload data'!$C:$C,'custody %'!$B$50,'caseload data'!$D:$D,"SPO",'caseload data'!$B:$B,"custody")/SUMIFS('caseload data'!T:T,'caseload data'!$B:$B,"custody",'caseload data'!$C:$C,'custody %'!$B$50),"")</f>
        <v/>
      </c>
      <c r="S55" s="64"/>
      <c r="T55" s="98" t="s">
        <v>1004</v>
      </c>
      <c r="U55" s="167" t="str">
        <f>IFERROR(SUMIFS('caseload data'!E:E,'caseload data'!$C:$C,'custody %'!$T$50,'caseload data'!$D:$D,"SPO",'caseload data'!$B:$B,"custody")/SUMIFS('caseload data'!E:E,'caseload data'!$B:$B,"custody",'caseload data'!$C:$C,'custody %'!$T$50),"")</f>
        <v/>
      </c>
      <c r="V55" s="167" t="str">
        <f>IFERROR(SUMIFS('caseload data'!F:F,'caseload data'!$C:$C,'custody %'!$T$50,'caseload data'!$D:$D,"SPO",'caseload data'!$B:$B,"custody")/SUMIFS('caseload data'!F:F,'caseload data'!$B:$B,"custody",'caseload data'!$C:$C,'custody %'!$T$50),"")</f>
        <v/>
      </c>
      <c r="W55" s="167" t="str">
        <f>IFERROR(SUMIFS('caseload data'!G:G,'caseload data'!$C:$C,'custody %'!$T$50,'caseload data'!$D:$D,"SPO",'caseload data'!$B:$B,"custody")/SUMIFS('caseload data'!G:G,'caseload data'!$B:$B,"custody",'caseload data'!$C:$C,'custody %'!$T$50),"")</f>
        <v/>
      </c>
      <c r="X55" s="167" t="str">
        <f>IFERROR(SUMIFS('caseload data'!H:H,'caseload data'!$C:$C,'custody %'!$T$50,'caseload data'!$D:$D,"SPO",'caseload data'!$B:$B,"custody")/SUMIFS('caseload data'!H:H,'caseload data'!$B:$B,"custody",'caseload data'!$C:$C,'custody %'!$T$50),"")</f>
        <v/>
      </c>
      <c r="Y55" s="167" t="str">
        <f>IFERROR(SUMIFS('caseload data'!I:I,'caseload data'!$C:$C,'custody %'!$T$50,'caseload data'!$D:$D,"SPO",'caseload data'!$B:$B,"custody")/SUMIFS('caseload data'!I:I,'caseload data'!$B:$B,"custody",'caseload data'!$C:$C,'custody %'!$T$50),"")</f>
        <v/>
      </c>
      <c r="Z55" s="167" t="str">
        <f>IFERROR(SUMIFS('caseload data'!J:J,'caseload data'!$C:$C,'custody %'!$T$50,'caseload data'!$D:$D,"SPO",'caseload data'!$B:$B,"custody")/SUMIFS('caseload data'!J:J,'caseload data'!$B:$B,"custody",'caseload data'!$C:$C,'custody %'!$T$50),"")</f>
        <v/>
      </c>
      <c r="AA55" s="167" t="str">
        <f>IFERROR(SUMIFS('caseload data'!K:K,'caseload data'!$C:$C,'custody %'!$T$50,'caseload data'!$D:$D,"SPO",'caseload data'!$B:$B,"custody")/SUMIFS('caseload data'!K:K,'caseload data'!$B:$B,"custody",'caseload data'!$C:$C,'custody %'!$T$50),"")</f>
        <v/>
      </c>
      <c r="AB55" s="167" t="str">
        <f>IFERROR(SUMIFS('caseload data'!L:L,'caseload data'!$C:$C,'custody %'!$T$50,'caseload data'!$D:$D,"SPO",'caseload data'!$B:$B,"custody")/SUMIFS('caseload data'!L:L,'caseload data'!$B:$B,"custody",'caseload data'!$C:$C,'custody %'!$T$50),"")</f>
        <v/>
      </c>
      <c r="AC55" s="167" t="str">
        <f>IFERROR(SUMIFS('caseload data'!M:M,'caseload data'!$C:$C,'custody %'!$T$50,'caseload data'!$D:$D,"SPO",'caseload data'!$B:$B,"custody")/SUMIFS('caseload data'!M:M,'caseload data'!$B:$B,"custody",'caseload data'!$C:$C,'custody %'!$T$50),"")</f>
        <v/>
      </c>
      <c r="AD55" s="167" t="str">
        <f>IFERROR(SUMIFS('caseload data'!N:N,'caseload data'!$C:$C,'custody %'!$T$50,'caseload data'!$D:$D,"SPO",'caseload data'!$B:$B,"custody")/SUMIFS('caseload data'!N:N,'caseload data'!$B:$B,"custody",'caseload data'!$C:$C,'custody %'!$T$50),"")</f>
        <v/>
      </c>
      <c r="AE55" s="167" t="str">
        <f>IFERROR(SUMIFS('caseload data'!O:O,'caseload data'!$C:$C,'custody %'!$T$50,'caseload data'!$D:$D,"SPO",'caseload data'!$B:$B,"custody")/SUMIFS('caseload data'!O:O,'caseload data'!$B:$B,"custody",'caseload data'!$C:$C,'custody %'!$T$50),"")</f>
        <v/>
      </c>
      <c r="AF55" s="167" t="str">
        <f>IFERROR(SUMIFS('caseload data'!P:P,'caseload data'!$C:$C,'custody %'!$T$50,'caseload data'!$D:$D,"SPO",'caseload data'!$B:$B,"custody")/SUMIFS('caseload data'!P:P,'caseload data'!$B:$B,"custody",'caseload data'!$C:$C,'custody %'!$T$50),"")</f>
        <v/>
      </c>
      <c r="AG55" s="167" t="str">
        <f>IFERROR(SUMIFS('caseload data'!Q:Q,'caseload data'!$C:$C,'custody %'!$T$50,'caseload data'!$D:$D,"SPO",'caseload data'!$B:$B,"custody")/SUMIFS('caseload data'!Q:Q,'caseload data'!$B:$B,"custody",'caseload data'!$C:$C,'custody %'!$T$50),"")</f>
        <v/>
      </c>
      <c r="AH55" s="167" t="str">
        <f>IFERROR(SUMIFS('caseload data'!R:R,'caseload data'!$C:$C,'custody %'!$T$50,'caseload data'!$D:$D,"SPO",'caseload data'!$B:$B,"custody")/SUMIFS('caseload data'!R:R,'caseload data'!$B:$B,"custody",'caseload data'!$C:$C,'custody %'!$T$50),"")</f>
        <v/>
      </c>
      <c r="AI55" s="167"/>
      <c r="AJ55" s="167"/>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row>
    <row r="57" spans="2:36" ht="28.5" customHeight="1" x14ac:dyDescent="0.15">
      <c r="B57" s="289">
        <f>HLOOKUP($B$5,Region_Table,16,0)</f>
        <v>0</v>
      </c>
      <c r="C57" s="517" t="s">
        <v>1126</v>
      </c>
      <c r="D57" s="518"/>
      <c r="E57" s="518"/>
      <c r="F57" s="518"/>
      <c r="G57" s="518"/>
      <c r="H57" s="518"/>
      <c r="I57" s="518"/>
      <c r="J57" s="518"/>
      <c r="K57" s="518"/>
      <c r="L57" s="518"/>
      <c r="M57" s="537"/>
      <c r="N57" s="537"/>
      <c r="O57" s="538"/>
      <c r="P57" s="512">
        <f>SUMIF('caseload data'!$C:$C,'custody %'!B57,'caseload data'!V:V)</f>
        <v>0</v>
      </c>
      <c r="Q57" s="529"/>
      <c r="R57" s="530"/>
      <c r="S57" s="64"/>
      <c r="T57" s="289">
        <f>HLOOKUP($B$5,Region_Table,17,0)</f>
        <v>0</v>
      </c>
      <c r="U57" s="517" t="s">
        <v>1126</v>
      </c>
      <c r="V57" s="518"/>
      <c r="W57" s="518"/>
      <c r="X57" s="518"/>
      <c r="Y57" s="518"/>
      <c r="Z57" s="518"/>
      <c r="AA57" s="518"/>
      <c r="AB57" s="518"/>
      <c r="AC57" s="537"/>
      <c r="AD57" s="537"/>
      <c r="AE57" s="538"/>
      <c r="AF57" s="512">
        <f>SUMIF('caseload data'!$C:$C,'custody %'!T57,'caseload data'!V:V)</f>
        <v>0</v>
      </c>
      <c r="AG57" s="529"/>
      <c r="AH57" s="530"/>
    </row>
    <row r="58" spans="2:36" x14ac:dyDescent="0.15">
      <c r="B58" s="95" t="s">
        <v>1000</v>
      </c>
      <c r="C58" s="38" t="s">
        <v>864</v>
      </c>
      <c r="D58" s="38" t="s">
        <v>865</v>
      </c>
      <c r="E58" s="38" t="s">
        <v>866</v>
      </c>
      <c r="F58" s="38" t="s">
        <v>867</v>
      </c>
      <c r="G58" s="38" t="s">
        <v>868</v>
      </c>
      <c r="H58" s="38" t="s">
        <v>869</v>
      </c>
      <c r="I58" s="38" t="s">
        <v>870</v>
      </c>
      <c r="J58" s="38" t="s">
        <v>871</v>
      </c>
      <c r="K58" s="38" t="s">
        <v>872</v>
      </c>
      <c r="L58" s="38" t="s">
        <v>873</v>
      </c>
      <c r="M58" s="38" t="s">
        <v>874</v>
      </c>
      <c r="N58" s="38" t="s">
        <v>875</v>
      </c>
      <c r="O58" s="38" t="s">
        <v>876</v>
      </c>
      <c r="P58" s="38" t="s">
        <v>877</v>
      </c>
      <c r="Q58" s="38" t="s">
        <v>878</v>
      </c>
      <c r="R58" s="38" t="s">
        <v>879</v>
      </c>
      <c r="S58" s="64"/>
      <c r="T58" s="95" t="s">
        <v>1000</v>
      </c>
      <c r="U58" s="38" t="s">
        <v>864</v>
      </c>
      <c r="V58" s="38" t="s">
        <v>865</v>
      </c>
      <c r="W58" s="38" t="s">
        <v>866</v>
      </c>
      <c r="X58" s="38" t="s">
        <v>867</v>
      </c>
      <c r="Y58" s="38" t="s">
        <v>868</v>
      </c>
      <c r="Z58" s="38" t="s">
        <v>869</v>
      </c>
      <c r="AA58" s="38" t="s">
        <v>870</v>
      </c>
      <c r="AB58" s="38" t="s">
        <v>871</v>
      </c>
      <c r="AC58" s="38" t="s">
        <v>872</v>
      </c>
      <c r="AD58" s="38" t="s">
        <v>873</v>
      </c>
      <c r="AE58" s="38" t="s">
        <v>874</v>
      </c>
      <c r="AF58" s="38" t="s">
        <v>875</v>
      </c>
      <c r="AG58" s="38" t="s">
        <v>876</v>
      </c>
      <c r="AH58" s="38" t="s">
        <v>877</v>
      </c>
      <c r="AI58" s="38" t="s">
        <v>878</v>
      </c>
      <c r="AJ58" s="38" t="s">
        <v>879</v>
      </c>
    </row>
    <row r="59" spans="2:36" x14ac:dyDescent="0.15">
      <c r="B59" s="96" t="s">
        <v>997</v>
      </c>
      <c r="C59" s="167" t="str">
        <f>IFERROR(SUMIFS('caseload data'!E:E,'caseload data'!$C:$C,'custody %'!$B$57,'caseload data'!$D:$D,"PO",'caseload data'!$B:$B,"custody")/SUMIFS('caseload data'!E:E,'caseload data'!$B:$B,"custody",'caseload data'!$C:$C,'custody %'!$B$57),"")</f>
        <v/>
      </c>
      <c r="D59" s="167" t="str">
        <f>IFERROR(SUMIFS('caseload data'!F:F,'caseload data'!$C:$C,'custody %'!$B$57,'caseload data'!$D:$D,"PO",'caseload data'!$B:$B,"custody")/SUMIFS('caseload data'!F:F,'caseload data'!$B:$B,"custody",'caseload data'!$C:$C,'custody %'!$B$57),"")</f>
        <v/>
      </c>
      <c r="E59" s="167" t="str">
        <f>IFERROR(SUMIFS('caseload data'!G:G,'caseload data'!$C:$C,'custody %'!$B$57,'caseload data'!$D:$D,"PO",'caseload data'!$B:$B,"custody")/SUMIFS('caseload data'!G:G,'caseload data'!$B:$B,"custody",'caseload data'!$C:$C,'custody %'!$B$57),"")</f>
        <v/>
      </c>
      <c r="F59" s="167" t="str">
        <f>IFERROR(SUMIFS('caseload data'!H:H,'caseload data'!$C:$C,'custody %'!$B$57,'caseload data'!$D:$D,"PO",'caseload data'!$B:$B,"custody")/SUMIFS('caseload data'!H:H,'caseload data'!$B:$B,"custody",'caseload data'!$C:$C,'custody %'!$B$57),"")</f>
        <v/>
      </c>
      <c r="G59" s="167" t="str">
        <f>IFERROR(SUMIFS('caseload data'!I:I,'caseload data'!$C:$C,'custody %'!$B$57,'caseload data'!$D:$D,"PO",'caseload data'!$B:$B,"custody")/SUMIFS('caseload data'!I:I,'caseload data'!$B:$B,"custody",'caseload data'!$C:$C,'custody %'!$B$57),"")</f>
        <v/>
      </c>
      <c r="H59" s="167" t="str">
        <f>IFERROR(SUMIFS('caseload data'!J:J,'caseload data'!$C:$C,'custody %'!$B$57,'caseload data'!$D:$D,"PO",'caseload data'!$B:$B,"custody")/SUMIFS('caseload data'!J:J,'caseload data'!$B:$B,"custody",'caseload data'!$C:$C,'custody %'!$B$57),"")</f>
        <v/>
      </c>
      <c r="I59" s="167" t="str">
        <f>IFERROR(SUMIFS('caseload data'!K:K,'caseload data'!$C:$C,'custody %'!$B$57,'caseload data'!$D:$D,"PO",'caseload data'!$B:$B,"custody")/SUMIFS('caseload data'!K:K,'caseload data'!$B:$B,"custody",'caseload data'!$C:$C,'custody %'!$B$57),"")</f>
        <v/>
      </c>
      <c r="J59" s="167" t="str">
        <f>IFERROR(SUMIFS('caseload data'!L:L,'caseload data'!$C:$C,'custody %'!$B$57,'caseload data'!$D:$D,"PO",'caseload data'!$B:$B,"custody")/SUMIFS('caseload data'!L:L,'caseload data'!$B:$B,"custody",'caseload data'!$C:$C,'custody %'!$B$57),"")</f>
        <v/>
      </c>
      <c r="K59" s="167" t="str">
        <f>IFERROR(SUMIFS('caseload data'!M:M,'caseload data'!$C:$C,'custody %'!$B$57,'caseload data'!$D:$D,"PO",'caseload data'!$B:$B,"custody")/SUMIFS('caseload data'!M:M,'caseload data'!$B:$B,"custody",'caseload data'!$C:$C,'custody %'!$B$57),"")</f>
        <v/>
      </c>
      <c r="L59" s="167" t="str">
        <f>IFERROR(SUMIFS('caseload data'!N:N,'caseload data'!$C:$C,'custody %'!$B$57,'caseload data'!$D:$D,"PO",'caseload data'!$B:$B,"custody")/SUMIFS('caseload data'!N:N,'caseload data'!$B:$B,"custody",'caseload data'!$C:$C,'custody %'!$B$57),"")</f>
        <v/>
      </c>
      <c r="M59" s="167" t="str">
        <f>IFERROR(SUMIFS('caseload data'!O:O,'caseload data'!$C:$C,'custody %'!$B$57,'caseload data'!$D:$D,"PO",'caseload data'!$B:$B,"custody")/SUMIFS('caseload data'!O:O,'caseload data'!$B:$B,"custody",'caseload data'!$C:$C,'custody %'!$B$57),"")</f>
        <v/>
      </c>
      <c r="N59" s="167" t="str">
        <f>IFERROR(SUMIFS('caseload data'!P:P,'caseload data'!$C:$C,'custody %'!$B$57,'caseload data'!$D:$D,"PO",'caseload data'!$B:$B,"custody")/SUMIFS('caseload data'!P:P,'caseload data'!$B:$B,"custody",'caseload data'!$C:$C,'custody %'!$B$57),"")</f>
        <v/>
      </c>
      <c r="O59" s="167" t="str">
        <f>IFERROR(SUMIFS('caseload data'!Q:Q,'caseload data'!$C:$C,'custody %'!$B$57,'caseload data'!$D:$D,"PO",'caseload data'!$B:$B,"custody")/SUMIFS('caseload data'!Q:Q,'caseload data'!$B:$B,"custody",'caseload data'!$C:$C,'custody %'!$B$57),"")</f>
        <v/>
      </c>
      <c r="P59" s="167" t="str">
        <f>IFERROR(SUMIFS('caseload data'!R:R,'caseload data'!$C:$C,'custody %'!$B$57,'caseload data'!$D:$D,"PO",'caseload data'!$B:$B,"custody")/SUMIFS('caseload data'!R:R,'caseload data'!$B:$B,"custody",'caseload data'!$C:$C,'custody %'!$B$57),"")</f>
        <v/>
      </c>
      <c r="Q59" s="167" t="str">
        <f>IFERROR(SUMIFS('caseload data'!S:S,'caseload data'!$C:$C,'custody %'!$B$57,'caseload data'!$D:$D,"PO",'caseload data'!$B:$B,"custody")/SUMIFS('caseload data'!S:S,'caseload data'!$B:$B,"custody",'caseload data'!$C:$C,'custody %'!$B$57),"")</f>
        <v/>
      </c>
      <c r="R59" s="167" t="str">
        <f>IFERROR(SUMIFS('caseload data'!T:T,'caseload data'!$C:$C,'custody %'!$B$57,'caseload data'!$D:$D,"PO",'caseload data'!$B:$B,"custody")/SUMIFS('caseload data'!T:T,'caseload data'!$B:$B,"custody",'caseload data'!$C:$C,'custody %'!$B$57),"")</f>
        <v/>
      </c>
      <c r="S59" s="64"/>
      <c r="T59" s="96" t="s">
        <v>997</v>
      </c>
      <c r="U59" s="167" t="str">
        <f>IFERROR(SUMIFS('caseload data'!E:E,'caseload data'!$C:$C,'custody %'!$T$57,'caseload data'!$D:$D,"PO",'caseload data'!$B:$B,"custody")/SUMIFS('caseload data'!E:E,'caseload data'!$B:$B,"custody",'caseload data'!$C:$C,'custody %'!$T$57),"")</f>
        <v/>
      </c>
      <c r="V59" s="167" t="str">
        <f>IFERROR(SUMIFS('caseload data'!F:F,'caseload data'!$C:$C,'custody %'!$T$57,'caseload data'!$D:$D,"PO",'caseload data'!$B:$B,"custody")/SUMIFS('caseload data'!F:F,'caseload data'!$B:$B,"custody",'caseload data'!$C:$C,'custody %'!$T$57),"")</f>
        <v/>
      </c>
      <c r="W59" s="167" t="str">
        <f>IFERROR(SUMIFS('caseload data'!G:G,'caseload data'!$C:$C,'custody %'!$T$57,'caseload data'!$D:$D,"PO",'caseload data'!$B:$B,"custody")/SUMIFS('caseload data'!G:G,'caseload data'!$B:$B,"custody",'caseload data'!$C:$C,'custody %'!$T$57),"")</f>
        <v/>
      </c>
      <c r="X59" s="167" t="str">
        <f>IFERROR(SUMIFS('caseload data'!H:H,'caseload data'!$C:$C,'custody %'!$T$57,'caseload data'!$D:$D,"PO",'caseload data'!$B:$B,"custody")/SUMIFS('caseload data'!H:H,'caseload data'!$B:$B,"custody",'caseload data'!$C:$C,'custody %'!$T$57),"")</f>
        <v/>
      </c>
      <c r="Y59" s="167" t="str">
        <f>IFERROR(SUMIFS('caseload data'!I:I,'caseload data'!$C:$C,'custody %'!$T$57,'caseload data'!$D:$D,"PO",'caseload data'!$B:$B,"custody")/SUMIFS('caseload data'!I:I,'caseload data'!$B:$B,"custody",'caseload data'!$C:$C,'custody %'!$T$57),"")</f>
        <v/>
      </c>
      <c r="Z59" s="167" t="str">
        <f>IFERROR(SUMIFS('caseload data'!J:J,'caseload data'!$C:$C,'custody %'!$T$57,'caseload data'!$D:$D,"PO",'caseload data'!$B:$B,"custody")/SUMIFS('caseload data'!J:J,'caseload data'!$B:$B,"custody",'caseload data'!$C:$C,'custody %'!$T$57),"")</f>
        <v/>
      </c>
      <c r="AA59" s="167" t="str">
        <f>IFERROR(SUMIFS('caseload data'!K:K,'caseload data'!$C:$C,'custody %'!$T$57,'caseload data'!$D:$D,"PO",'caseload data'!$B:$B,"custody")/SUMIFS('caseload data'!K:K,'caseload data'!$B:$B,"custody",'caseload data'!$C:$C,'custody %'!$T$57),"")</f>
        <v/>
      </c>
      <c r="AB59" s="167" t="str">
        <f>IFERROR(SUMIFS('caseload data'!L:L,'caseload data'!$C:$C,'custody %'!$T$57,'caseload data'!$D:$D,"PO",'caseload data'!$B:$B,"custody")/SUMIFS('caseload data'!L:L,'caseload data'!$B:$B,"custody",'caseload data'!$C:$C,'custody %'!$T$57),"")</f>
        <v/>
      </c>
      <c r="AC59" s="167" t="str">
        <f>IFERROR(SUMIFS('caseload data'!M:M,'caseload data'!$C:$C,'custody %'!$T$57,'caseload data'!$D:$D,"PO",'caseload data'!$B:$B,"custody")/SUMIFS('caseload data'!M:M,'caseload data'!$B:$B,"custody",'caseload data'!$C:$C,'custody %'!$T$57),"")</f>
        <v/>
      </c>
      <c r="AD59" s="167" t="str">
        <f>IFERROR(SUMIFS('caseload data'!N:N,'caseload data'!$C:$C,'custody %'!$T$57,'caseload data'!$D:$D,"PO",'caseload data'!$B:$B,"custody")/SUMIFS('caseload data'!N:N,'caseload data'!$B:$B,"custody",'caseload data'!$C:$C,'custody %'!$T$57),"")</f>
        <v/>
      </c>
      <c r="AE59" s="167" t="str">
        <f>IFERROR(SUMIFS('caseload data'!O:O,'caseload data'!$C:$C,'custody %'!$T$57,'caseload data'!$D:$D,"PO",'caseload data'!$B:$B,"custody")/SUMIFS('caseload data'!O:O,'caseload data'!$B:$B,"custody",'caseload data'!$C:$C,'custody %'!$T$57),"")</f>
        <v/>
      </c>
      <c r="AF59" s="167" t="str">
        <f>IFERROR(SUMIFS('caseload data'!P:P,'caseload data'!$C:$C,'custody %'!$T$57,'caseload data'!$D:$D,"PO",'caseload data'!$B:$B,"custody")/SUMIFS('caseload data'!P:P,'caseload data'!$B:$B,"custody",'caseload data'!$C:$C,'custody %'!$T$57),"")</f>
        <v/>
      </c>
      <c r="AG59" s="167" t="str">
        <f>IFERROR(SUMIFS('caseload data'!Q:Q,'caseload data'!$C:$C,'custody %'!$T$57,'caseload data'!$D:$D,"PO",'caseload data'!$B:$B,"custody")/SUMIFS('caseload data'!Q:Q,'caseload data'!$B:$B,"custody",'caseload data'!$C:$C,'custody %'!$T$57),"")</f>
        <v/>
      </c>
      <c r="AH59" s="167" t="str">
        <f>IFERROR(SUMIFS('caseload data'!R:R,'caseload data'!$C:$C,'custody %'!$T$57,'caseload data'!$D:$D,"PO",'caseload data'!$B:$B,"custody")/SUMIFS('caseload data'!R:R,'caseload data'!$B:$B,"custody",'caseload data'!$C:$C,'custody %'!$T$57),"")</f>
        <v/>
      </c>
      <c r="AI59" s="167"/>
      <c r="AJ59" s="167"/>
    </row>
    <row r="60" spans="2:36" x14ac:dyDescent="0.15">
      <c r="B60" s="97" t="s">
        <v>1002</v>
      </c>
      <c r="C60" s="167" t="str">
        <f>IFERROR(SUMIFS('caseload data'!E:E,'caseload data'!$C:$C,'custody %'!$B$57,'caseload data'!$D:$D,"PSO",'caseload data'!$B:$B,"custody")/SUMIFS('caseload data'!E:E,'caseload data'!$B:$B,"custody",'caseload data'!$C:$C,'custody %'!$B$57),"")</f>
        <v/>
      </c>
      <c r="D60" s="167" t="str">
        <f>IFERROR(SUMIFS('caseload data'!F:F,'caseload data'!$C:$C,'custody %'!$B$57,'caseload data'!$D:$D,"PSO",'caseload data'!$B:$B,"custody")/SUMIFS('caseload data'!F:F,'caseload data'!$B:$B,"custody",'caseload data'!$C:$C,'custody %'!$B$57),"")</f>
        <v/>
      </c>
      <c r="E60" s="167" t="str">
        <f>IFERROR(SUMIFS('caseload data'!G:G,'caseload data'!$C:$C,'custody %'!$B$57,'caseload data'!$D:$D,"PSO",'caseload data'!$B:$B,"custody")/SUMIFS('caseload data'!G:G,'caseload data'!$B:$B,"custody",'caseload data'!$C:$C,'custody %'!$B$57),"")</f>
        <v/>
      </c>
      <c r="F60" s="167" t="str">
        <f>IFERROR(SUMIFS('caseload data'!H:H,'caseload data'!$C:$C,'custody %'!$B$57,'caseload data'!$D:$D,"PSO",'caseload data'!$B:$B,"custody")/SUMIFS('caseload data'!H:H,'caseload data'!$B:$B,"custody",'caseload data'!$C:$C,'custody %'!$B$57),"")</f>
        <v/>
      </c>
      <c r="G60" s="167" t="str">
        <f>IFERROR(SUMIFS('caseload data'!I:I,'caseload data'!$C:$C,'custody %'!$B$57,'caseload data'!$D:$D,"PSO",'caseload data'!$B:$B,"custody")/SUMIFS('caseload data'!I:I,'caseload data'!$B:$B,"custody",'caseload data'!$C:$C,'custody %'!$B$57),"")</f>
        <v/>
      </c>
      <c r="H60" s="167" t="str">
        <f>IFERROR(SUMIFS('caseload data'!J:J,'caseload data'!$C:$C,'custody %'!$B$57,'caseload data'!$D:$D,"PSO",'caseload data'!$B:$B,"custody")/SUMIFS('caseload data'!J:J,'caseload data'!$B:$B,"custody",'caseload data'!$C:$C,'custody %'!$B$57),"")</f>
        <v/>
      </c>
      <c r="I60" s="167" t="str">
        <f>IFERROR(SUMIFS('caseload data'!K:K,'caseload data'!$C:$C,'custody %'!$B$57,'caseload data'!$D:$D,"PSO",'caseload data'!$B:$B,"custody")/SUMIFS('caseload data'!K:K,'caseload data'!$B:$B,"custody",'caseload data'!$C:$C,'custody %'!$B$57),"")</f>
        <v/>
      </c>
      <c r="J60" s="167" t="str">
        <f>IFERROR(SUMIFS('caseload data'!L:L,'caseload data'!$C:$C,'custody %'!$B$57,'caseload data'!$D:$D,"PSO",'caseload data'!$B:$B,"custody")/SUMIFS('caseload data'!L:L,'caseload data'!$B:$B,"custody",'caseload data'!$C:$C,'custody %'!$B$57),"")</f>
        <v/>
      </c>
      <c r="K60" s="167" t="str">
        <f>IFERROR(SUMIFS('caseload data'!M:M,'caseload data'!$C:$C,'custody %'!$B$57,'caseload data'!$D:$D,"PSO",'caseload data'!$B:$B,"custody")/SUMIFS('caseload data'!M:M,'caseload data'!$B:$B,"custody",'caseload data'!$C:$C,'custody %'!$B$57),"")</f>
        <v/>
      </c>
      <c r="L60" s="167" t="str">
        <f>IFERROR(SUMIFS('caseload data'!N:N,'caseload data'!$C:$C,'custody %'!$B$57,'caseload data'!$D:$D,"PSO",'caseload data'!$B:$B,"custody")/SUMIFS('caseload data'!N:N,'caseload data'!$B:$B,"custody",'caseload data'!$C:$C,'custody %'!$B$57),"")</f>
        <v/>
      </c>
      <c r="M60" s="167" t="str">
        <f>IFERROR(SUMIFS('caseload data'!O:O,'caseload data'!$C:$C,'custody %'!$B$57,'caseload data'!$D:$D,"PSO",'caseload data'!$B:$B,"custody")/SUMIFS('caseload data'!O:O,'caseload data'!$B:$B,"custody",'caseload data'!$C:$C,'custody %'!$B$57),"")</f>
        <v/>
      </c>
      <c r="N60" s="167" t="str">
        <f>IFERROR(SUMIFS('caseload data'!P:P,'caseload data'!$C:$C,'custody %'!$B$57,'caseload data'!$D:$D,"PSO",'caseload data'!$B:$B,"custody")/SUMIFS('caseload data'!P:P,'caseload data'!$B:$B,"custody",'caseload data'!$C:$C,'custody %'!$B$57),"")</f>
        <v/>
      </c>
      <c r="O60" s="167" t="str">
        <f>IFERROR(SUMIFS('caseload data'!Q:Q,'caseload data'!$C:$C,'custody %'!$B$57,'caseload data'!$D:$D,"PSO",'caseload data'!$B:$B,"custody")/SUMIFS('caseload data'!Q:Q,'caseload data'!$B:$B,"custody",'caseload data'!$C:$C,'custody %'!$B$57),"")</f>
        <v/>
      </c>
      <c r="P60" s="167" t="str">
        <f>IFERROR(SUMIFS('caseload data'!R:R,'caseload data'!$C:$C,'custody %'!$B$57,'caseload data'!$D:$D,"PSO",'caseload data'!$B:$B,"custody")/SUMIFS('caseload data'!R:R,'caseload data'!$B:$B,"custody",'caseload data'!$C:$C,'custody %'!$B$57),"")</f>
        <v/>
      </c>
      <c r="Q60" s="167" t="str">
        <f>IFERROR(SUMIFS('caseload data'!S:S,'caseload data'!$C:$C,'custody %'!$B$57,'caseload data'!$D:$D,"PSO",'caseload data'!$B:$B,"custody")/SUMIFS('caseload data'!S:S,'caseload data'!$B:$B,"custody",'caseload data'!$C:$C,'custody %'!$B$57),"")</f>
        <v/>
      </c>
      <c r="R60" s="167" t="str">
        <f>IFERROR(SUMIFS('caseload data'!T:T,'caseload data'!$C:$C,'custody %'!$B$57,'caseload data'!$D:$D,"PSO",'caseload data'!$B:$B,"custody")/SUMIFS('caseload data'!T:T,'caseload data'!$B:$B,"custody",'caseload data'!$C:$C,'custody %'!$B$57),"")</f>
        <v/>
      </c>
      <c r="S60" s="64"/>
      <c r="T60" s="97" t="s">
        <v>1002</v>
      </c>
      <c r="U60" s="167" t="str">
        <f>IFERROR(SUMIFS('caseload data'!E:E,'caseload data'!$C:$C,'custody %'!$T$57,'caseload data'!$D:$D,"PSO",'caseload data'!$B:$B,"custody")/SUMIFS('caseload data'!E:E,'caseload data'!$B:$B,"custody",'caseload data'!$C:$C,'custody %'!$T$57),"")</f>
        <v/>
      </c>
      <c r="V60" s="167" t="str">
        <f>IFERROR(SUMIFS('caseload data'!F:F,'caseload data'!$C:$C,'custody %'!$T$57,'caseload data'!$D:$D,"PSO",'caseload data'!$B:$B,"custody")/SUMIFS('caseload data'!F:F,'caseload data'!$B:$B,"custody",'caseload data'!$C:$C,'custody %'!$T$57),"")</f>
        <v/>
      </c>
      <c r="W60" s="167" t="str">
        <f>IFERROR(SUMIFS('caseload data'!G:G,'caseload data'!$C:$C,'custody %'!$T$57,'caseload data'!$D:$D,"PSO",'caseload data'!$B:$B,"custody")/SUMIFS('caseload data'!G:G,'caseload data'!$B:$B,"custody",'caseload data'!$C:$C,'custody %'!$T$57),"")</f>
        <v/>
      </c>
      <c r="X60" s="167" t="str">
        <f>IFERROR(SUMIFS('caseload data'!H:H,'caseload data'!$C:$C,'custody %'!$T$57,'caseload data'!$D:$D,"PSO",'caseload data'!$B:$B,"custody")/SUMIFS('caseload data'!H:H,'caseload data'!$B:$B,"custody",'caseload data'!$C:$C,'custody %'!$T$57),"")</f>
        <v/>
      </c>
      <c r="Y60" s="167" t="str">
        <f>IFERROR(SUMIFS('caseload data'!I:I,'caseload data'!$C:$C,'custody %'!$T$57,'caseload data'!$D:$D,"PSO",'caseload data'!$B:$B,"custody")/SUMIFS('caseload data'!I:I,'caseload data'!$B:$B,"custody",'caseload data'!$C:$C,'custody %'!$T$57),"")</f>
        <v/>
      </c>
      <c r="Z60" s="167" t="str">
        <f>IFERROR(SUMIFS('caseload data'!J:J,'caseload data'!$C:$C,'custody %'!$T$57,'caseload data'!$D:$D,"PSO",'caseload data'!$B:$B,"custody")/SUMIFS('caseload data'!J:J,'caseload data'!$B:$B,"custody",'caseload data'!$C:$C,'custody %'!$T$57),"")</f>
        <v/>
      </c>
      <c r="AA60" s="167" t="str">
        <f>IFERROR(SUMIFS('caseload data'!K:K,'caseload data'!$C:$C,'custody %'!$T$57,'caseload data'!$D:$D,"PSO",'caseload data'!$B:$B,"custody")/SUMIFS('caseload data'!K:K,'caseload data'!$B:$B,"custody",'caseload data'!$C:$C,'custody %'!$T$57),"")</f>
        <v/>
      </c>
      <c r="AB60" s="167" t="str">
        <f>IFERROR(SUMIFS('caseload data'!L:L,'caseload data'!$C:$C,'custody %'!$T$57,'caseload data'!$D:$D,"PSO",'caseload data'!$B:$B,"custody")/SUMIFS('caseload data'!L:L,'caseload data'!$B:$B,"custody",'caseload data'!$C:$C,'custody %'!$T$57),"")</f>
        <v/>
      </c>
      <c r="AC60" s="167" t="str">
        <f>IFERROR(SUMIFS('caseload data'!M:M,'caseload data'!$C:$C,'custody %'!$T$57,'caseload data'!$D:$D,"PSO",'caseload data'!$B:$B,"custody")/SUMIFS('caseload data'!M:M,'caseload data'!$B:$B,"custody",'caseload data'!$C:$C,'custody %'!$T$57),"")</f>
        <v/>
      </c>
      <c r="AD60" s="167" t="str">
        <f>IFERROR(SUMIFS('caseload data'!N:N,'caseload data'!$C:$C,'custody %'!$T$57,'caseload data'!$D:$D,"PSO",'caseload data'!$B:$B,"custody")/SUMIFS('caseload data'!N:N,'caseload data'!$B:$B,"custody",'caseload data'!$C:$C,'custody %'!$T$57),"")</f>
        <v/>
      </c>
      <c r="AE60" s="167" t="str">
        <f>IFERROR(SUMIFS('caseload data'!O:O,'caseload data'!$C:$C,'custody %'!$T$57,'caseload data'!$D:$D,"PSO",'caseload data'!$B:$B,"custody")/SUMIFS('caseload data'!O:O,'caseload data'!$B:$B,"custody",'caseload data'!$C:$C,'custody %'!$T$57),"")</f>
        <v/>
      </c>
      <c r="AF60" s="167" t="str">
        <f>IFERROR(SUMIFS('caseload data'!P:P,'caseload data'!$C:$C,'custody %'!$T$57,'caseload data'!$D:$D,"PSO",'caseload data'!$B:$B,"custody")/SUMIFS('caseload data'!P:P,'caseload data'!$B:$B,"custody",'caseload data'!$C:$C,'custody %'!$T$57),"")</f>
        <v/>
      </c>
      <c r="AG60" s="167" t="str">
        <f>IFERROR(SUMIFS('caseload data'!Q:Q,'caseload data'!$C:$C,'custody %'!$T$57,'caseload data'!$D:$D,"PSO",'caseload data'!$B:$B,"custody")/SUMIFS('caseload data'!Q:Q,'caseload data'!$B:$B,"custody",'caseload data'!$C:$C,'custody %'!$T$57),"")</f>
        <v/>
      </c>
      <c r="AH60" s="167" t="str">
        <f>IFERROR(SUMIFS('caseload data'!R:R,'caseload data'!$C:$C,'custody %'!$T$57,'caseload data'!$D:$D,"PSO",'caseload data'!$B:$B,"custody")/SUMIFS('caseload data'!R:R,'caseload data'!$B:$B,"custody",'caseload data'!$C:$C,'custody %'!$T$57),"")</f>
        <v/>
      </c>
      <c r="AI60" s="167"/>
      <c r="AJ60" s="167"/>
    </row>
    <row r="61" spans="2:36" x14ac:dyDescent="0.15">
      <c r="B61" s="97" t="s">
        <v>1003</v>
      </c>
      <c r="C61" s="167" t="str">
        <f>IFERROR(SUMIFS('caseload data'!E:E,'caseload data'!$C:$C,'custody %'!$B$57,'caseload data'!$D:$D,"TPO",'caseload data'!$B:$B,"custody")/SUMIFS('caseload data'!E:E,'caseload data'!$B:$B,"custody",'caseload data'!$C:$C,'custody %'!$B$57),"")</f>
        <v/>
      </c>
      <c r="D61" s="167" t="str">
        <f>IFERROR(SUMIFS('caseload data'!F:F,'caseload data'!$C:$C,'custody %'!$B$57,'caseload data'!$D:$D,"TPO",'caseload data'!$B:$B,"custody")/SUMIFS('caseload data'!F:F,'caseload data'!$B:$B,"custody",'caseload data'!$C:$C,'custody %'!$B$57),"")</f>
        <v/>
      </c>
      <c r="E61" s="167" t="str">
        <f>IFERROR(SUMIFS('caseload data'!G:G,'caseload data'!$C:$C,'custody %'!$B$57,'caseload data'!$D:$D,"TPO",'caseload data'!$B:$B,"custody")/SUMIFS('caseload data'!G:G,'caseload data'!$B:$B,"custody",'caseload data'!$C:$C,'custody %'!$B$57),"")</f>
        <v/>
      </c>
      <c r="F61" s="167" t="str">
        <f>IFERROR(SUMIFS('caseload data'!H:H,'caseload data'!$C:$C,'custody %'!$B$57,'caseload data'!$D:$D,"TPO",'caseload data'!$B:$B,"custody")/SUMIFS('caseload data'!H:H,'caseload data'!$B:$B,"custody",'caseload data'!$C:$C,'custody %'!$B$57),"")</f>
        <v/>
      </c>
      <c r="G61" s="167" t="str">
        <f>IFERROR(SUMIFS('caseload data'!I:I,'caseload data'!$C:$C,'custody %'!$B$57,'caseload data'!$D:$D,"TPO",'caseload data'!$B:$B,"custody")/SUMIFS('caseload data'!I:I,'caseload data'!$B:$B,"custody",'caseload data'!$C:$C,'custody %'!$B$57),"")</f>
        <v/>
      </c>
      <c r="H61" s="167" t="str">
        <f>IFERROR(SUMIFS('caseload data'!J:J,'caseload data'!$C:$C,'custody %'!$B$57,'caseload data'!$D:$D,"TPO",'caseload data'!$B:$B,"custody")/SUMIFS('caseload data'!J:J,'caseload data'!$B:$B,"custody",'caseload data'!$C:$C,'custody %'!$B$57),"")</f>
        <v/>
      </c>
      <c r="I61" s="167" t="str">
        <f>IFERROR(SUMIFS('caseload data'!K:K,'caseload data'!$C:$C,'custody %'!$B$57,'caseload data'!$D:$D,"TPO",'caseload data'!$B:$B,"custody")/SUMIFS('caseload data'!K:K,'caseload data'!$B:$B,"custody",'caseload data'!$C:$C,'custody %'!$B$57),"")</f>
        <v/>
      </c>
      <c r="J61" s="167" t="str">
        <f>IFERROR(SUMIFS('caseload data'!L:L,'caseload data'!$C:$C,'custody %'!$B$57,'caseload data'!$D:$D,"TPO",'caseload data'!$B:$B,"custody")/SUMIFS('caseload data'!L:L,'caseload data'!$B:$B,"custody",'caseload data'!$C:$C,'custody %'!$B$57),"")</f>
        <v/>
      </c>
      <c r="K61" s="167" t="str">
        <f>IFERROR(SUMIFS('caseload data'!M:M,'caseload data'!$C:$C,'custody %'!$B$57,'caseload data'!$D:$D,"TPO",'caseload data'!$B:$B,"custody")/SUMIFS('caseload data'!M:M,'caseload data'!$B:$B,"custody",'caseload data'!$C:$C,'custody %'!$B$57),"")</f>
        <v/>
      </c>
      <c r="L61" s="167" t="str">
        <f>IFERROR(SUMIFS('caseload data'!N:N,'caseload data'!$C:$C,'custody %'!$B$57,'caseload data'!$D:$D,"TPO",'caseload data'!$B:$B,"custody")/SUMIFS('caseload data'!N:N,'caseload data'!$B:$B,"custody",'caseload data'!$C:$C,'custody %'!$B$57),"")</f>
        <v/>
      </c>
      <c r="M61" s="167" t="str">
        <f>IFERROR(SUMIFS('caseload data'!O:O,'caseload data'!$C:$C,'custody %'!$B$57,'caseload data'!$D:$D,"TPO",'caseload data'!$B:$B,"custody")/SUMIFS('caseload data'!O:O,'caseload data'!$B:$B,"custody",'caseload data'!$C:$C,'custody %'!$B$57),"")</f>
        <v/>
      </c>
      <c r="N61" s="167" t="str">
        <f>IFERROR(SUMIFS('caseload data'!P:P,'caseload data'!$C:$C,'custody %'!$B$57,'caseload data'!$D:$D,"TPO",'caseload data'!$B:$B,"custody")/SUMIFS('caseload data'!P:P,'caseload data'!$B:$B,"custody",'caseload data'!$C:$C,'custody %'!$B$57),"")</f>
        <v/>
      </c>
      <c r="O61" s="167" t="str">
        <f>IFERROR(SUMIFS('caseload data'!Q:Q,'caseload data'!$C:$C,'custody %'!$B$57,'caseload data'!$D:$D,"TPO",'caseload data'!$B:$B,"custody")/SUMIFS('caseload data'!Q:Q,'caseload data'!$B:$B,"custody",'caseload data'!$C:$C,'custody %'!$B$57),"")</f>
        <v/>
      </c>
      <c r="P61" s="167" t="str">
        <f>IFERROR(SUMIFS('caseload data'!R:R,'caseload data'!$C:$C,'custody %'!$B$57,'caseload data'!$D:$D,"TPO",'caseload data'!$B:$B,"custody")/SUMIFS('caseload data'!R:R,'caseload data'!$B:$B,"custody",'caseload data'!$C:$C,'custody %'!$B$57),"")</f>
        <v/>
      </c>
      <c r="Q61" s="167" t="str">
        <f>IFERROR(SUMIFS('caseload data'!S:S,'caseload data'!$C:$C,'custody %'!$B$57,'caseload data'!$D:$D,"TPO",'caseload data'!$B:$B,"custody")/SUMIFS('caseload data'!S:S,'caseload data'!$B:$B,"custody",'caseload data'!$C:$C,'custody %'!$B$57),"")</f>
        <v/>
      </c>
      <c r="R61" s="167" t="str">
        <f>IFERROR(SUMIFS('caseload data'!T:T,'caseload data'!$C:$C,'custody %'!$B$57,'caseload data'!$D:$D,"TPO",'caseload data'!$B:$B,"custody")/SUMIFS('caseload data'!T:T,'caseload data'!$B:$B,"custody",'caseload data'!$C:$C,'custody %'!$B$57),"")</f>
        <v/>
      </c>
      <c r="S61" s="64"/>
      <c r="T61" s="97" t="s">
        <v>1003</v>
      </c>
      <c r="U61" s="167" t="str">
        <f>IFERROR(SUMIFS('caseload data'!E:E,'caseload data'!$C:$C,'custody %'!$T$57,'caseload data'!$D:$D,"TPO",'caseload data'!$B:$B,"custody")/SUMIFS('caseload data'!E:E,'caseload data'!$B:$B,"custody",'caseload data'!$C:$C,'custody %'!$T$57),"")</f>
        <v/>
      </c>
      <c r="V61" s="167" t="str">
        <f>IFERROR(SUMIFS('caseload data'!F:F,'caseload data'!$C:$C,'custody %'!$T$57,'caseload data'!$D:$D,"TPO",'caseload data'!$B:$B,"custody")/SUMIFS('caseload data'!F:F,'caseload data'!$B:$B,"custody",'caseload data'!$C:$C,'custody %'!$T$57),"")</f>
        <v/>
      </c>
      <c r="W61" s="167" t="str">
        <f>IFERROR(SUMIFS('caseload data'!G:G,'caseload data'!$C:$C,'custody %'!$T$57,'caseload data'!$D:$D,"TPO",'caseload data'!$B:$B,"custody")/SUMIFS('caseload data'!G:G,'caseload data'!$B:$B,"custody",'caseload data'!$C:$C,'custody %'!$T$57),"")</f>
        <v/>
      </c>
      <c r="X61" s="167" t="str">
        <f>IFERROR(SUMIFS('caseload data'!H:H,'caseload data'!$C:$C,'custody %'!$T$57,'caseload data'!$D:$D,"TPO",'caseload data'!$B:$B,"custody")/SUMIFS('caseload data'!H:H,'caseload data'!$B:$B,"custody",'caseload data'!$C:$C,'custody %'!$T$57),"")</f>
        <v/>
      </c>
      <c r="Y61" s="167" t="str">
        <f>IFERROR(SUMIFS('caseload data'!I:I,'caseload data'!$C:$C,'custody %'!$T$57,'caseload data'!$D:$D,"TPO",'caseload data'!$B:$B,"custody")/SUMIFS('caseload data'!I:I,'caseload data'!$B:$B,"custody",'caseload data'!$C:$C,'custody %'!$T$57),"")</f>
        <v/>
      </c>
      <c r="Z61" s="167" t="str">
        <f>IFERROR(SUMIFS('caseload data'!J:J,'caseload data'!$C:$C,'custody %'!$T$57,'caseload data'!$D:$D,"TPO",'caseload data'!$B:$B,"custody")/SUMIFS('caseload data'!J:J,'caseload data'!$B:$B,"custody",'caseload data'!$C:$C,'custody %'!$T$57),"")</f>
        <v/>
      </c>
      <c r="AA61" s="167" t="str">
        <f>IFERROR(SUMIFS('caseload data'!K:K,'caseload data'!$C:$C,'custody %'!$T$57,'caseload data'!$D:$D,"TPO",'caseload data'!$B:$B,"custody")/SUMIFS('caseload data'!K:K,'caseload data'!$B:$B,"custody",'caseload data'!$C:$C,'custody %'!$T$57),"")</f>
        <v/>
      </c>
      <c r="AB61" s="167" t="str">
        <f>IFERROR(SUMIFS('caseload data'!L:L,'caseload data'!$C:$C,'custody %'!$T$57,'caseload data'!$D:$D,"TPO",'caseload data'!$B:$B,"custody")/SUMIFS('caseload data'!L:L,'caseload data'!$B:$B,"custody",'caseload data'!$C:$C,'custody %'!$T$57),"")</f>
        <v/>
      </c>
      <c r="AC61" s="167" t="str">
        <f>IFERROR(SUMIFS('caseload data'!M:M,'caseload data'!$C:$C,'custody %'!$T$57,'caseload data'!$D:$D,"TPO",'caseload data'!$B:$B,"custody")/SUMIFS('caseload data'!M:M,'caseload data'!$B:$B,"custody",'caseload data'!$C:$C,'custody %'!$T$57),"")</f>
        <v/>
      </c>
      <c r="AD61" s="167" t="str">
        <f>IFERROR(SUMIFS('caseload data'!N:N,'caseload data'!$C:$C,'custody %'!$T$57,'caseload data'!$D:$D,"TPO",'caseload data'!$B:$B,"custody")/SUMIFS('caseload data'!N:N,'caseload data'!$B:$B,"custody",'caseload data'!$C:$C,'custody %'!$T$57),"")</f>
        <v/>
      </c>
      <c r="AE61" s="167" t="str">
        <f>IFERROR(SUMIFS('caseload data'!O:O,'caseload data'!$C:$C,'custody %'!$T$57,'caseload data'!$D:$D,"TPO",'caseload data'!$B:$B,"custody")/SUMIFS('caseload data'!O:O,'caseload data'!$B:$B,"custody",'caseload data'!$C:$C,'custody %'!$T$57),"")</f>
        <v/>
      </c>
      <c r="AF61" s="167" t="str">
        <f>IFERROR(SUMIFS('caseload data'!P:P,'caseload data'!$C:$C,'custody %'!$T$57,'caseload data'!$D:$D,"TPO",'caseload data'!$B:$B,"custody")/SUMIFS('caseload data'!P:P,'caseload data'!$B:$B,"custody",'caseload data'!$C:$C,'custody %'!$T$57),"")</f>
        <v/>
      </c>
      <c r="AG61" s="167" t="str">
        <f>IFERROR(SUMIFS('caseload data'!Q:Q,'caseload data'!$C:$C,'custody %'!$T$57,'caseload data'!$D:$D,"TPO",'caseload data'!$B:$B,"custody")/SUMIFS('caseload data'!Q:Q,'caseload data'!$B:$B,"custody",'caseload data'!$C:$C,'custody %'!$T$57),"")</f>
        <v/>
      </c>
      <c r="AH61" s="167" t="str">
        <f>IFERROR(SUMIFS('caseload data'!R:R,'caseload data'!$C:$C,'custody %'!$T$57,'caseload data'!$D:$D,"TPO",'caseload data'!$B:$B,"custody")/SUMIFS('caseload data'!R:R,'caseload data'!$B:$B,"custody",'caseload data'!$C:$C,'custody %'!$T$57),"")</f>
        <v/>
      </c>
      <c r="AI61" s="167"/>
      <c r="AJ61" s="167"/>
    </row>
    <row r="62" spans="2:36" x14ac:dyDescent="0.15">
      <c r="B62" s="98" t="s">
        <v>1004</v>
      </c>
      <c r="C62" s="167" t="str">
        <f>IFERROR(SUMIFS('caseload data'!E:E,'caseload data'!$C:$C,'custody %'!$B$57,'caseload data'!$D:$D,"SPO",'caseload data'!$B:$B,"custody")/SUMIFS('caseload data'!E:E,'caseload data'!$B:$B,"custody",'caseload data'!$C:$C,'custody %'!$B$57),"")</f>
        <v/>
      </c>
      <c r="D62" s="167" t="str">
        <f>IFERROR(SUMIFS('caseload data'!F:F,'caseload data'!$C:$C,'custody %'!$B$57,'caseload data'!$D:$D,"SPO",'caseload data'!$B:$B,"custody")/SUMIFS('caseload data'!F:F,'caseload data'!$B:$B,"custody",'caseload data'!$C:$C,'custody %'!$B$57),"")</f>
        <v/>
      </c>
      <c r="E62" s="167" t="str">
        <f>IFERROR(SUMIFS('caseload data'!G:G,'caseload data'!$C:$C,'custody %'!$B$57,'caseload data'!$D:$D,"SPO",'caseload data'!$B:$B,"custody")/SUMIFS('caseload data'!G:G,'caseload data'!$B:$B,"custody",'caseload data'!$C:$C,'custody %'!$B$57),"")</f>
        <v/>
      </c>
      <c r="F62" s="167" t="str">
        <f>IFERROR(SUMIFS('caseload data'!H:H,'caseload data'!$C:$C,'custody %'!$B$57,'caseload data'!$D:$D,"SPO",'caseload data'!$B:$B,"custody")/SUMIFS('caseload data'!H:H,'caseload data'!$B:$B,"custody",'caseload data'!$C:$C,'custody %'!$B$57),"")</f>
        <v/>
      </c>
      <c r="G62" s="167" t="str">
        <f>IFERROR(SUMIFS('caseload data'!I:I,'caseload data'!$C:$C,'custody %'!$B$57,'caseload data'!$D:$D,"SPO",'caseload data'!$B:$B,"custody")/SUMIFS('caseload data'!I:I,'caseload data'!$B:$B,"custody",'caseload data'!$C:$C,'custody %'!$B$57),"")</f>
        <v/>
      </c>
      <c r="H62" s="167" t="str">
        <f>IFERROR(SUMIFS('caseload data'!J:J,'caseload data'!$C:$C,'custody %'!$B$57,'caseload data'!$D:$D,"SPO",'caseload data'!$B:$B,"custody")/SUMIFS('caseload data'!J:J,'caseload data'!$B:$B,"custody",'caseload data'!$C:$C,'custody %'!$B$57),"")</f>
        <v/>
      </c>
      <c r="I62" s="167" t="str">
        <f>IFERROR(SUMIFS('caseload data'!K:K,'caseload data'!$C:$C,'custody %'!$B$57,'caseload data'!$D:$D,"SPO",'caseload data'!$B:$B,"custody")/SUMIFS('caseload data'!K:K,'caseload data'!$B:$B,"custody",'caseload data'!$C:$C,'custody %'!$B$57),"")</f>
        <v/>
      </c>
      <c r="J62" s="167" t="str">
        <f>IFERROR(SUMIFS('caseload data'!L:L,'caseload data'!$C:$C,'custody %'!$B$57,'caseload data'!$D:$D,"SPO",'caseload data'!$B:$B,"custody")/SUMIFS('caseload data'!L:L,'caseload data'!$B:$B,"custody",'caseload data'!$C:$C,'custody %'!$B$57),"")</f>
        <v/>
      </c>
      <c r="K62" s="167" t="str">
        <f>IFERROR(SUMIFS('caseload data'!M:M,'caseload data'!$C:$C,'custody %'!$B$57,'caseload data'!$D:$D,"SPO",'caseload data'!$B:$B,"custody")/SUMIFS('caseload data'!M:M,'caseload data'!$B:$B,"custody",'caseload data'!$C:$C,'custody %'!$B$57),"")</f>
        <v/>
      </c>
      <c r="L62" s="167" t="str">
        <f>IFERROR(SUMIFS('caseload data'!N:N,'caseload data'!$C:$C,'custody %'!$B$57,'caseload data'!$D:$D,"SPO",'caseload data'!$B:$B,"custody")/SUMIFS('caseload data'!N:N,'caseload data'!$B:$B,"custody",'caseload data'!$C:$C,'custody %'!$B$57),"")</f>
        <v/>
      </c>
      <c r="M62" s="167" t="str">
        <f>IFERROR(SUMIFS('caseload data'!O:O,'caseload data'!$C:$C,'custody %'!$B$57,'caseload data'!$D:$D,"SPO",'caseload data'!$B:$B,"custody")/SUMIFS('caseload data'!O:O,'caseload data'!$B:$B,"custody",'caseload data'!$C:$C,'custody %'!$B$57),"")</f>
        <v/>
      </c>
      <c r="N62" s="167" t="str">
        <f>IFERROR(SUMIFS('caseload data'!P:P,'caseload data'!$C:$C,'custody %'!$B$57,'caseload data'!$D:$D,"SPO",'caseload data'!$B:$B,"custody")/SUMIFS('caseload data'!P:P,'caseload data'!$B:$B,"custody",'caseload data'!$C:$C,'custody %'!$B$57),"")</f>
        <v/>
      </c>
      <c r="O62" s="167" t="str">
        <f>IFERROR(SUMIFS('caseload data'!Q:Q,'caseload data'!$C:$C,'custody %'!$B$57,'caseload data'!$D:$D,"SPO",'caseload data'!$B:$B,"custody")/SUMIFS('caseload data'!Q:Q,'caseload data'!$B:$B,"custody",'caseload data'!$C:$C,'custody %'!$B$57),"")</f>
        <v/>
      </c>
      <c r="P62" s="167" t="str">
        <f>IFERROR(SUMIFS('caseload data'!R:R,'caseload data'!$C:$C,'custody %'!$B$57,'caseload data'!$D:$D,"SPO",'caseload data'!$B:$B,"custody")/SUMIFS('caseload data'!R:R,'caseload data'!$B:$B,"custody",'caseload data'!$C:$C,'custody %'!$B$57),"")</f>
        <v/>
      </c>
      <c r="Q62" s="167" t="str">
        <f>IFERROR(SUMIFS('caseload data'!S:S,'caseload data'!$C:$C,'custody %'!$B$57,'caseload data'!$D:$D,"SPO",'caseload data'!$B:$B,"custody")/SUMIFS('caseload data'!S:S,'caseload data'!$B:$B,"custody",'caseload data'!$C:$C,'custody %'!$B$57),"")</f>
        <v/>
      </c>
      <c r="R62" s="167" t="str">
        <f>IFERROR(SUMIFS('caseload data'!T:T,'caseload data'!$C:$C,'custody %'!$B$57,'caseload data'!$D:$D,"SPO",'caseload data'!$B:$B,"custody")/SUMIFS('caseload data'!T:T,'caseload data'!$B:$B,"custody",'caseload data'!$C:$C,'custody %'!$B$57),"")</f>
        <v/>
      </c>
      <c r="S62" s="64"/>
      <c r="T62" s="98" t="s">
        <v>1004</v>
      </c>
      <c r="U62" s="167" t="str">
        <f>IFERROR(SUMIFS('caseload data'!E:E,'caseload data'!$C:$C,'custody %'!$T$57,'caseload data'!$D:$D,"SPO",'caseload data'!$B:$B,"custody")/SUMIFS('caseload data'!E:E,'caseload data'!$B:$B,"custody",'caseload data'!$C:$C,'custody %'!$T$57),"")</f>
        <v/>
      </c>
      <c r="V62" s="167" t="str">
        <f>IFERROR(SUMIFS('caseload data'!F:F,'caseload data'!$C:$C,'custody %'!$T$57,'caseload data'!$D:$D,"SPO",'caseload data'!$B:$B,"custody")/SUMIFS('caseload data'!F:F,'caseload data'!$B:$B,"custody",'caseload data'!$C:$C,'custody %'!$T$57),"")</f>
        <v/>
      </c>
      <c r="W62" s="167" t="str">
        <f>IFERROR(SUMIFS('caseload data'!G:G,'caseload data'!$C:$C,'custody %'!$T$57,'caseload data'!$D:$D,"SPO",'caseload data'!$B:$B,"custody")/SUMIFS('caseload data'!G:G,'caseload data'!$B:$B,"custody",'caseload data'!$C:$C,'custody %'!$T$57),"")</f>
        <v/>
      </c>
      <c r="X62" s="167" t="str">
        <f>IFERROR(SUMIFS('caseload data'!H:H,'caseload data'!$C:$C,'custody %'!$T$57,'caseload data'!$D:$D,"SPO",'caseload data'!$B:$B,"custody")/SUMIFS('caseload data'!H:H,'caseload data'!$B:$B,"custody",'caseload data'!$C:$C,'custody %'!$T$57),"")</f>
        <v/>
      </c>
      <c r="Y62" s="167" t="str">
        <f>IFERROR(SUMIFS('caseload data'!I:I,'caseload data'!$C:$C,'custody %'!$T$57,'caseload data'!$D:$D,"SPO",'caseload data'!$B:$B,"custody")/SUMIFS('caseload data'!I:I,'caseload data'!$B:$B,"custody",'caseload data'!$C:$C,'custody %'!$T$57),"")</f>
        <v/>
      </c>
      <c r="Z62" s="167" t="str">
        <f>IFERROR(SUMIFS('caseload data'!J:J,'caseload data'!$C:$C,'custody %'!$T$57,'caseload data'!$D:$D,"SPO",'caseload data'!$B:$B,"custody")/SUMIFS('caseload data'!J:J,'caseload data'!$B:$B,"custody",'caseload data'!$C:$C,'custody %'!$T$57),"")</f>
        <v/>
      </c>
      <c r="AA62" s="167" t="str">
        <f>IFERROR(SUMIFS('caseload data'!K:K,'caseload data'!$C:$C,'custody %'!$T$57,'caseload data'!$D:$D,"SPO",'caseload data'!$B:$B,"custody")/SUMIFS('caseload data'!K:K,'caseload data'!$B:$B,"custody",'caseload data'!$C:$C,'custody %'!$T$57),"")</f>
        <v/>
      </c>
      <c r="AB62" s="167" t="str">
        <f>IFERROR(SUMIFS('caseload data'!L:L,'caseload data'!$C:$C,'custody %'!$T$57,'caseload data'!$D:$D,"SPO",'caseload data'!$B:$B,"custody")/SUMIFS('caseload data'!L:L,'caseload data'!$B:$B,"custody",'caseload data'!$C:$C,'custody %'!$T$57),"")</f>
        <v/>
      </c>
      <c r="AC62" s="167" t="str">
        <f>IFERROR(SUMIFS('caseload data'!M:M,'caseload data'!$C:$C,'custody %'!$T$57,'caseload data'!$D:$D,"SPO",'caseload data'!$B:$B,"custody")/SUMIFS('caseload data'!M:M,'caseload data'!$B:$B,"custody",'caseload data'!$C:$C,'custody %'!$T$57),"")</f>
        <v/>
      </c>
      <c r="AD62" s="167" t="str">
        <f>IFERROR(SUMIFS('caseload data'!N:N,'caseload data'!$C:$C,'custody %'!$T$57,'caseload data'!$D:$D,"SPO",'caseload data'!$B:$B,"custody")/SUMIFS('caseload data'!N:N,'caseload data'!$B:$B,"custody",'caseload data'!$C:$C,'custody %'!$T$57),"")</f>
        <v/>
      </c>
      <c r="AE62" s="167" t="str">
        <f>IFERROR(SUMIFS('caseload data'!O:O,'caseload data'!$C:$C,'custody %'!$T$57,'caseload data'!$D:$D,"SPO",'caseload data'!$B:$B,"custody")/SUMIFS('caseload data'!O:O,'caseload data'!$B:$B,"custody",'caseload data'!$C:$C,'custody %'!$T$57),"")</f>
        <v/>
      </c>
      <c r="AF62" s="167" t="str">
        <f>IFERROR(SUMIFS('caseload data'!P:P,'caseload data'!$C:$C,'custody %'!$T$57,'caseload data'!$D:$D,"SPO",'caseload data'!$B:$B,"custody")/SUMIFS('caseload data'!P:P,'caseload data'!$B:$B,"custody",'caseload data'!$C:$C,'custody %'!$T$57),"")</f>
        <v/>
      </c>
      <c r="AG62" s="167" t="str">
        <f>IFERROR(SUMIFS('caseload data'!Q:Q,'caseload data'!$C:$C,'custody %'!$T$57,'caseload data'!$D:$D,"SPO",'caseload data'!$B:$B,"custody")/SUMIFS('caseload data'!Q:Q,'caseload data'!$B:$B,"custody",'caseload data'!$C:$C,'custody %'!$T$57),"")</f>
        <v/>
      </c>
      <c r="AH62" s="167" t="str">
        <f>IFERROR(SUMIFS('caseload data'!R:R,'caseload data'!$C:$C,'custody %'!$T$57,'caseload data'!$D:$D,"SPO",'caseload data'!$B:$B,"custody")/SUMIFS('caseload data'!R:R,'caseload data'!$B:$B,"custody",'caseload data'!$C:$C,'custody %'!$T$57),"")</f>
        <v/>
      </c>
      <c r="AI62" s="167"/>
      <c r="AJ62" s="167"/>
    </row>
    <row r="64" spans="2:36" ht="23.25" customHeight="1" x14ac:dyDescent="0.15">
      <c r="B64" s="142">
        <f>HLOOKUP($B$5,Region_Table,18,0)</f>
        <v>0</v>
      </c>
      <c r="C64" s="517" t="s">
        <v>1126</v>
      </c>
      <c r="D64" s="518"/>
      <c r="E64" s="518"/>
      <c r="F64" s="518"/>
      <c r="G64" s="518"/>
      <c r="H64" s="518"/>
      <c r="I64" s="518"/>
      <c r="J64" s="518"/>
      <c r="K64" s="518"/>
      <c r="L64" s="518"/>
      <c r="M64" s="537"/>
      <c r="N64" s="537"/>
      <c r="O64" s="538"/>
      <c r="P64" s="512">
        <f>SUMIF('caseload data'!$C:$C,'custody %'!B64,'caseload data'!V:V)</f>
        <v>0</v>
      </c>
      <c r="Q64" s="529"/>
      <c r="R64" s="530"/>
      <c r="S64" s="64"/>
      <c r="T64" s="142">
        <f>HLOOKUP($B$5,Region_Table,19,0)</f>
        <v>0</v>
      </c>
      <c r="U64" s="517" t="s">
        <v>1126</v>
      </c>
      <c r="V64" s="518"/>
      <c r="W64" s="518"/>
      <c r="X64" s="518"/>
      <c r="Y64" s="518"/>
      <c r="Z64" s="518"/>
      <c r="AA64" s="518"/>
      <c r="AB64" s="518"/>
      <c r="AC64" s="537"/>
      <c r="AD64" s="537"/>
      <c r="AE64" s="538"/>
      <c r="AF64" s="512">
        <f>SUMIF('caseload data'!$C:$C,'custody %'!T64,'caseload data'!V:V)</f>
        <v>0</v>
      </c>
      <c r="AG64" s="529"/>
      <c r="AH64" s="530"/>
    </row>
    <row r="65" spans="2:36" x14ac:dyDescent="0.15">
      <c r="B65" s="95" t="s">
        <v>1000</v>
      </c>
      <c r="C65" s="38" t="s">
        <v>864</v>
      </c>
      <c r="D65" s="38" t="s">
        <v>865</v>
      </c>
      <c r="E65" s="38" t="s">
        <v>866</v>
      </c>
      <c r="F65" s="38" t="s">
        <v>867</v>
      </c>
      <c r="G65" s="38" t="s">
        <v>868</v>
      </c>
      <c r="H65" s="38" t="s">
        <v>869</v>
      </c>
      <c r="I65" s="38" t="s">
        <v>870</v>
      </c>
      <c r="J65" s="38" t="s">
        <v>871</v>
      </c>
      <c r="K65" s="38" t="s">
        <v>872</v>
      </c>
      <c r="L65" s="38" t="s">
        <v>873</v>
      </c>
      <c r="M65" s="38" t="s">
        <v>874</v>
      </c>
      <c r="N65" s="38" t="s">
        <v>875</v>
      </c>
      <c r="O65" s="38" t="s">
        <v>876</v>
      </c>
      <c r="P65" s="38" t="s">
        <v>877</v>
      </c>
      <c r="Q65" s="38" t="s">
        <v>878</v>
      </c>
      <c r="R65" s="38" t="s">
        <v>879</v>
      </c>
      <c r="S65" s="64"/>
      <c r="T65" s="95" t="s">
        <v>1000</v>
      </c>
      <c r="U65" s="38" t="s">
        <v>864</v>
      </c>
      <c r="V65" s="38" t="s">
        <v>865</v>
      </c>
      <c r="W65" s="38" t="s">
        <v>866</v>
      </c>
      <c r="X65" s="38" t="s">
        <v>867</v>
      </c>
      <c r="Y65" s="38" t="s">
        <v>868</v>
      </c>
      <c r="Z65" s="38" t="s">
        <v>869</v>
      </c>
      <c r="AA65" s="38" t="s">
        <v>870</v>
      </c>
      <c r="AB65" s="38" t="s">
        <v>871</v>
      </c>
      <c r="AC65" s="38" t="s">
        <v>872</v>
      </c>
      <c r="AD65" s="38" t="s">
        <v>873</v>
      </c>
      <c r="AE65" s="38" t="s">
        <v>874</v>
      </c>
      <c r="AF65" s="38" t="s">
        <v>875</v>
      </c>
      <c r="AG65" s="38" t="s">
        <v>876</v>
      </c>
      <c r="AH65" s="38" t="s">
        <v>877</v>
      </c>
      <c r="AI65" s="38" t="s">
        <v>878</v>
      </c>
      <c r="AJ65" s="38" t="s">
        <v>879</v>
      </c>
    </row>
    <row r="66" spans="2:36" x14ac:dyDescent="0.15">
      <c r="B66" s="96" t="s">
        <v>997</v>
      </c>
      <c r="C66" s="167" t="str">
        <f>IFERROR(SUMIFS('caseload data'!E:E,'caseload data'!$C:$C,'custody %'!$B$64,'caseload data'!$D:$D,"PO",'caseload data'!$B:$B,"custody")/SUMIFS('caseload data'!E:E,'caseload data'!$B:$B,"custody",'caseload data'!$C:$C,'custody %'!$B$64),"")</f>
        <v/>
      </c>
      <c r="D66" s="167" t="str">
        <f>IFERROR(SUMIFS('caseload data'!F:F,'caseload data'!$C:$C,'custody %'!$B$64,'caseload data'!$D:$D,"PO",'caseload data'!$B:$B,"custody")/SUMIFS('caseload data'!F:F,'caseload data'!$B:$B,"custody",'caseload data'!$C:$C,'custody %'!$B$64),"")</f>
        <v/>
      </c>
      <c r="E66" s="167" t="str">
        <f>IFERROR(SUMIFS('caseload data'!G:G,'caseload data'!$C:$C,'custody %'!$B$64,'caseload data'!$D:$D,"PO",'caseload data'!$B:$B,"custody")/SUMIFS('caseload data'!G:G,'caseload data'!$B:$B,"custody",'caseload data'!$C:$C,'custody %'!$B$64),"")</f>
        <v/>
      </c>
      <c r="F66" s="167" t="str">
        <f>IFERROR(SUMIFS('caseload data'!H:H,'caseload data'!$C:$C,'custody %'!$B$64,'caseload data'!$D:$D,"PO",'caseload data'!$B:$B,"custody")/SUMIFS('caseload data'!H:H,'caseload data'!$B:$B,"custody",'caseload data'!$C:$C,'custody %'!$B$64),"")</f>
        <v/>
      </c>
      <c r="G66" s="167" t="str">
        <f>IFERROR(SUMIFS('caseload data'!I:I,'caseload data'!$C:$C,'custody %'!$B$64,'caseload data'!$D:$D,"PO",'caseload data'!$B:$B,"custody")/SUMIFS('caseload data'!I:I,'caseload data'!$B:$B,"custody",'caseload data'!$C:$C,'custody %'!$B$64),"")</f>
        <v/>
      </c>
      <c r="H66" s="167" t="str">
        <f>IFERROR(SUMIFS('caseload data'!J:J,'caseload data'!$C:$C,'custody %'!$B$64,'caseload data'!$D:$D,"PO",'caseload data'!$B:$B,"custody")/SUMIFS('caseload data'!J:J,'caseload data'!$B:$B,"custody",'caseload data'!$C:$C,'custody %'!$B$64),"")</f>
        <v/>
      </c>
      <c r="I66" s="167" t="str">
        <f>IFERROR(SUMIFS('caseload data'!K:K,'caseload data'!$C:$C,'custody %'!$B$64,'caseload data'!$D:$D,"PO",'caseload data'!$B:$B,"custody")/SUMIFS('caseload data'!K:K,'caseload data'!$B:$B,"custody",'caseload data'!$C:$C,'custody %'!$B$64),"")</f>
        <v/>
      </c>
      <c r="J66" s="167" t="str">
        <f>IFERROR(SUMIFS('caseload data'!L:L,'caseload data'!$C:$C,'custody %'!$B$64,'caseload data'!$D:$D,"PO",'caseload data'!$B:$B,"custody")/SUMIFS('caseload data'!L:L,'caseload data'!$B:$B,"custody",'caseload data'!$C:$C,'custody %'!$B$64),"")</f>
        <v/>
      </c>
      <c r="K66" s="167" t="str">
        <f>IFERROR(SUMIFS('caseload data'!M:M,'caseload data'!$C:$C,'custody %'!$B$64,'caseload data'!$D:$D,"PO",'caseload data'!$B:$B,"custody")/SUMIFS('caseload data'!M:M,'caseload data'!$B:$B,"custody",'caseload data'!$C:$C,'custody %'!$B$64),"")</f>
        <v/>
      </c>
      <c r="L66" s="167" t="str">
        <f>IFERROR(SUMIFS('caseload data'!N:N,'caseload data'!$C:$C,'custody %'!$B$64,'caseload data'!$D:$D,"PO",'caseload data'!$B:$B,"custody")/SUMIFS('caseload data'!N:N,'caseload data'!$B:$B,"custody",'caseload data'!$C:$C,'custody %'!$B$64),"")</f>
        <v/>
      </c>
      <c r="M66" s="167" t="str">
        <f>IFERROR(SUMIFS('caseload data'!O:O,'caseload data'!$C:$C,'custody %'!$B$64,'caseload data'!$D:$D,"PO",'caseload data'!$B:$B,"custody")/SUMIFS('caseload data'!O:O,'caseload data'!$B:$B,"custody",'caseload data'!$C:$C,'custody %'!$B$64),"")</f>
        <v/>
      </c>
      <c r="N66" s="167" t="str">
        <f>IFERROR(SUMIFS('caseload data'!P:P,'caseload data'!$C:$C,'custody %'!$B$64,'caseload data'!$D:$D,"PO",'caseload data'!$B:$B,"custody")/SUMIFS('caseload data'!P:P,'caseload data'!$B:$B,"custody",'caseload data'!$C:$C,'custody %'!$B$64),"")</f>
        <v/>
      </c>
      <c r="O66" s="167" t="str">
        <f>IFERROR(SUMIFS('caseload data'!Q:Q,'caseload data'!$C:$C,'custody %'!$B$64,'caseload data'!$D:$D,"PO",'caseload data'!$B:$B,"custody")/SUMIFS('caseload data'!Q:Q,'caseload data'!$B:$B,"custody",'caseload data'!$C:$C,'custody %'!$B$64),"")</f>
        <v/>
      </c>
      <c r="P66" s="167" t="str">
        <f>IFERROR(SUMIFS('caseload data'!R:R,'caseload data'!$C:$C,'custody %'!$B$64,'caseload data'!$D:$D,"PO",'caseload data'!$B:$B,"custody")/SUMIFS('caseload data'!R:R,'caseload data'!$B:$B,"custody",'caseload data'!$C:$C,'custody %'!$B$64),"")</f>
        <v/>
      </c>
      <c r="Q66" s="167" t="str">
        <f>IFERROR(SUMIFS('caseload data'!S:S,'caseload data'!$C:$C,'custody %'!$B$64,'caseload data'!$D:$D,"PO",'caseload data'!$B:$B,"custody")/SUMIFS('caseload data'!S:S,'caseload data'!$B:$B,"custody",'caseload data'!$C:$C,'custody %'!$B$64),"")</f>
        <v/>
      </c>
      <c r="R66" s="167" t="str">
        <f>IFERROR(SUMIFS('caseload data'!T:T,'caseload data'!$C:$C,'custody %'!$B$64,'caseload data'!$D:$D,"PO",'caseload data'!$B:$B,"custody")/SUMIFS('caseload data'!T:T,'caseload data'!$B:$B,"custody",'caseload data'!$C:$C,'custody %'!$B$64),"")</f>
        <v/>
      </c>
      <c r="S66" s="64"/>
      <c r="T66" s="96" t="s">
        <v>997</v>
      </c>
      <c r="U66" s="167" t="str">
        <f>IFERROR(SUMIFS('caseload data'!E:E,'caseload data'!$C:$C,'custody %'!$T$64,'caseload data'!$D:$D,"PO",'caseload data'!$B:$B,"custody")/SUMIFS('caseload data'!E:E,'caseload data'!$B:$B,"custody",'caseload data'!$C:$C,'custody %'!$T$64),"")</f>
        <v/>
      </c>
      <c r="V66" s="167" t="str">
        <f>IFERROR(SUMIFS('caseload data'!F:F,'caseload data'!$C:$C,'custody %'!$T$64,'caseload data'!$D:$D,"PO",'caseload data'!$B:$B,"custody")/SUMIFS('caseload data'!F:F,'caseload data'!$B:$B,"custody",'caseload data'!$C:$C,'custody %'!$T$64),"")</f>
        <v/>
      </c>
      <c r="W66" s="167" t="str">
        <f>IFERROR(SUMIFS('caseload data'!G:G,'caseload data'!$C:$C,'custody %'!$T$64,'caseload data'!$D:$D,"PO",'caseload data'!$B:$B,"custody")/SUMIFS('caseload data'!G:G,'caseload data'!$B:$B,"custody",'caseload data'!$C:$C,'custody %'!$T$64),"")</f>
        <v/>
      </c>
      <c r="X66" s="167" t="str">
        <f>IFERROR(SUMIFS('caseload data'!H:H,'caseload data'!$C:$C,'custody %'!$T$64,'caseload data'!$D:$D,"PO",'caseload data'!$B:$B,"custody")/SUMIFS('caseload data'!H:H,'caseload data'!$B:$B,"custody",'caseload data'!$C:$C,'custody %'!$T$64),"")</f>
        <v/>
      </c>
      <c r="Y66" s="167" t="str">
        <f>IFERROR(SUMIFS('caseload data'!I:I,'caseload data'!$C:$C,'custody %'!$T$64,'caseload data'!$D:$D,"PO",'caseload data'!$B:$B,"custody")/SUMIFS('caseload data'!I:I,'caseload data'!$B:$B,"custody",'caseload data'!$C:$C,'custody %'!$T$64),"")</f>
        <v/>
      </c>
      <c r="Z66" s="167" t="str">
        <f>IFERROR(SUMIFS('caseload data'!J:J,'caseload data'!$C:$C,'custody %'!$T$64,'caseload data'!$D:$D,"PO",'caseload data'!$B:$B,"custody")/SUMIFS('caseload data'!J:J,'caseload data'!$B:$B,"custody",'caseload data'!$C:$C,'custody %'!$T$64),"")</f>
        <v/>
      </c>
      <c r="AA66" s="167" t="str">
        <f>IFERROR(SUMIFS('caseload data'!K:K,'caseload data'!$C:$C,'custody %'!$T$64,'caseload data'!$D:$D,"PO",'caseload data'!$B:$B,"custody")/SUMIFS('caseload data'!K:K,'caseload data'!$B:$B,"custody",'caseload data'!$C:$C,'custody %'!$T$64),"")</f>
        <v/>
      </c>
      <c r="AB66" s="167" t="str">
        <f>IFERROR(SUMIFS('caseload data'!L:L,'caseload data'!$C:$C,'custody %'!$T$64,'caseload data'!$D:$D,"PO",'caseload data'!$B:$B,"custody")/SUMIFS('caseload data'!L:L,'caseload data'!$B:$B,"custody",'caseload data'!$C:$C,'custody %'!$T$64),"")</f>
        <v/>
      </c>
      <c r="AC66" s="167" t="str">
        <f>IFERROR(SUMIFS('caseload data'!M:M,'caseload data'!$C:$C,'custody %'!$T$64,'caseload data'!$D:$D,"PO",'caseload data'!$B:$B,"custody")/SUMIFS('caseload data'!M:M,'caseload data'!$B:$B,"custody",'caseload data'!$C:$C,'custody %'!$T$64),"")</f>
        <v/>
      </c>
      <c r="AD66" s="167" t="str">
        <f>IFERROR(SUMIFS('caseload data'!N:N,'caseload data'!$C:$C,'custody %'!$T$64,'caseload data'!$D:$D,"PO",'caseload data'!$B:$B,"custody")/SUMIFS('caseload data'!N:N,'caseload data'!$B:$B,"custody",'caseload data'!$C:$C,'custody %'!$T$64),"")</f>
        <v/>
      </c>
      <c r="AE66" s="167" t="str">
        <f>IFERROR(SUMIFS('caseload data'!O:O,'caseload data'!$C:$C,'custody %'!$T$64,'caseload data'!$D:$D,"PO",'caseload data'!$B:$B,"custody")/SUMIFS('caseload data'!O:O,'caseload data'!$B:$B,"custody",'caseload data'!$C:$C,'custody %'!$T$64),"")</f>
        <v/>
      </c>
      <c r="AF66" s="167" t="str">
        <f>IFERROR(SUMIFS('caseload data'!P:P,'caseload data'!$C:$C,'custody %'!$T$64,'caseload data'!$D:$D,"PO",'caseload data'!$B:$B,"custody")/SUMIFS('caseload data'!P:P,'caseload data'!$B:$B,"custody",'caseload data'!$C:$C,'custody %'!$T$64),"")</f>
        <v/>
      </c>
      <c r="AG66" s="167" t="str">
        <f>IFERROR(SUMIFS('caseload data'!Q:Q,'caseload data'!$C:$C,'custody %'!$T$64,'caseload data'!$D:$D,"PO",'caseload data'!$B:$B,"custody")/SUMIFS('caseload data'!Q:Q,'caseload data'!$B:$B,"custody",'caseload data'!$C:$C,'custody %'!$T$64),"")</f>
        <v/>
      </c>
      <c r="AH66" s="167" t="str">
        <f>IFERROR(SUMIFS('caseload data'!R:R,'caseload data'!$C:$C,'custody %'!$T$64,'caseload data'!$D:$D,"PO",'caseload data'!$B:$B,"custody")/SUMIFS('caseload data'!R:R,'caseload data'!$B:$B,"custody",'caseload data'!$C:$C,'custody %'!$T$64),"")</f>
        <v/>
      </c>
      <c r="AI66" s="167"/>
      <c r="AJ66" s="167"/>
    </row>
    <row r="67" spans="2:36" x14ac:dyDescent="0.15">
      <c r="B67" s="97" t="s">
        <v>1002</v>
      </c>
      <c r="C67" s="167" t="str">
        <f>IFERROR(SUMIFS('caseload data'!E:E,'caseload data'!$C:$C,'custody %'!$B$64,'caseload data'!$D:$D,"PSO",'caseload data'!$B:$B,"custody")/SUMIFS('caseload data'!E:E,'caseload data'!$B:$B,"custody",'caseload data'!$C:$C,'custody %'!$B$64),"")</f>
        <v/>
      </c>
      <c r="D67" s="167" t="str">
        <f>IFERROR(SUMIFS('caseload data'!F:F,'caseload data'!$C:$C,'custody %'!$B$64,'caseload data'!$D:$D,"PSO",'caseload data'!$B:$B,"custody")/SUMIFS('caseload data'!F:F,'caseload data'!$B:$B,"custody",'caseload data'!$C:$C,'custody %'!$B$64),"")</f>
        <v/>
      </c>
      <c r="E67" s="167" t="str">
        <f>IFERROR(SUMIFS('caseload data'!G:G,'caseload data'!$C:$C,'custody %'!$B$64,'caseload data'!$D:$D,"PSO",'caseload data'!$B:$B,"custody")/SUMIFS('caseload data'!G:G,'caseload data'!$B:$B,"custody",'caseload data'!$C:$C,'custody %'!$B$64),"")</f>
        <v/>
      </c>
      <c r="F67" s="167" t="str">
        <f>IFERROR(SUMIFS('caseload data'!H:H,'caseload data'!$C:$C,'custody %'!$B$64,'caseload data'!$D:$D,"PSO",'caseload data'!$B:$B,"custody")/SUMIFS('caseload data'!H:H,'caseload data'!$B:$B,"custody",'caseload data'!$C:$C,'custody %'!$B$64),"")</f>
        <v/>
      </c>
      <c r="G67" s="167" t="str">
        <f>IFERROR(SUMIFS('caseload data'!I:I,'caseload data'!$C:$C,'custody %'!$B$64,'caseload data'!$D:$D,"PSO",'caseload data'!$B:$B,"custody")/SUMIFS('caseload data'!I:I,'caseload data'!$B:$B,"custody",'caseload data'!$C:$C,'custody %'!$B$64),"")</f>
        <v/>
      </c>
      <c r="H67" s="167" t="str">
        <f>IFERROR(SUMIFS('caseload data'!J:J,'caseload data'!$C:$C,'custody %'!$B$64,'caseload data'!$D:$D,"PSO",'caseload data'!$B:$B,"custody")/SUMIFS('caseload data'!J:J,'caseload data'!$B:$B,"custody",'caseload data'!$C:$C,'custody %'!$B$64),"")</f>
        <v/>
      </c>
      <c r="I67" s="167" t="str">
        <f>IFERROR(SUMIFS('caseload data'!K:K,'caseload data'!$C:$C,'custody %'!$B$64,'caseload data'!$D:$D,"PSO",'caseload data'!$B:$B,"custody")/SUMIFS('caseload data'!K:K,'caseload data'!$B:$B,"custody",'caseload data'!$C:$C,'custody %'!$B$64),"")</f>
        <v/>
      </c>
      <c r="J67" s="167" t="str">
        <f>IFERROR(SUMIFS('caseload data'!L:L,'caseload data'!$C:$C,'custody %'!$B$64,'caseload data'!$D:$D,"PSO",'caseload data'!$B:$B,"custody")/SUMIFS('caseload data'!L:L,'caseload data'!$B:$B,"custody",'caseload data'!$C:$C,'custody %'!$B$64),"")</f>
        <v/>
      </c>
      <c r="K67" s="167" t="str">
        <f>IFERROR(SUMIFS('caseload data'!M:M,'caseload data'!$C:$C,'custody %'!$B$64,'caseload data'!$D:$D,"PSO",'caseload data'!$B:$B,"custody")/SUMIFS('caseload data'!M:M,'caseload data'!$B:$B,"custody",'caseload data'!$C:$C,'custody %'!$B$64),"")</f>
        <v/>
      </c>
      <c r="L67" s="167" t="str">
        <f>IFERROR(SUMIFS('caseload data'!N:N,'caseload data'!$C:$C,'custody %'!$B$64,'caseload data'!$D:$D,"PSO",'caseload data'!$B:$B,"custody")/SUMIFS('caseload data'!N:N,'caseload data'!$B:$B,"custody",'caseload data'!$C:$C,'custody %'!$B$64),"")</f>
        <v/>
      </c>
      <c r="M67" s="167" t="str">
        <f>IFERROR(SUMIFS('caseload data'!O:O,'caseload data'!$C:$C,'custody %'!$B$64,'caseload data'!$D:$D,"PSO",'caseload data'!$B:$B,"custody")/SUMIFS('caseload data'!O:O,'caseload data'!$B:$B,"custody",'caseload data'!$C:$C,'custody %'!$B$64),"")</f>
        <v/>
      </c>
      <c r="N67" s="167" t="str">
        <f>IFERROR(SUMIFS('caseload data'!P:P,'caseload data'!$C:$C,'custody %'!$B$64,'caseload data'!$D:$D,"PSO",'caseload data'!$B:$B,"custody")/SUMIFS('caseload data'!P:P,'caseload data'!$B:$B,"custody",'caseload data'!$C:$C,'custody %'!$B$64),"")</f>
        <v/>
      </c>
      <c r="O67" s="167" t="str">
        <f>IFERROR(SUMIFS('caseload data'!Q:Q,'caseload data'!$C:$C,'custody %'!$B$64,'caseload data'!$D:$D,"PSO",'caseload data'!$B:$B,"custody")/SUMIFS('caseload data'!Q:Q,'caseload data'!$B:$B,"custody",'caseload data'!$C:$C,'custody %'!$B$64),"")</f>
        <v/>
      </c>
      <c r="P67" s="167" t="str">
        <f>IFERROR(SUMIFS('caseload data'!R:R,'caseload data'!$C:$C,'custody %'!$B$64,'caseload data'!$D:$D,"PSO",'caseload data'!$B:$B,"custody")/SUMIFS('caseload data'!R:R,'caseload data'!$B:$B,"custody",'caseload data'!$C:$C,'custody %'!$B$64),"")</f>
        <v/>
      </c>
      <c r="Q67" s="167" t="str">
        <f>IFERROR(SUMIFS('caseload data'!S:S,'caseload data'!$C:$C,'custody %'!$B$64,'caseload data'!$D:$D,"PSO",'caseload data'!$B:$B,"custody")/SUMIFS('caseload data'!S:S,'caseload data'!$B:$B,"custody",'caseload data'!$C:$C,'custody %'!$B$64),"")</f>
        <v/>
      </c>
      <c r="R67" s="167" t="str">
        <f>IFERROR(SUMIFS('caseload data'!T:T,'caseload data'!$C:$C,'custody %'!$B$64,'caseload data'!$D:$D,"PSO",'caseload data'!$B:$B,"custody")/SUMIFS('caseload data'!T:T,'caseload data'!$B:$B,"custody",'caseload data'!$C:$C,'custody %'!$B$64),"")</f>
        <v/>
      </c>
      <c r="S67" s="64"/>
      <c r="T67" s="97" t="s">
        <v>1002</v>
      </c>
      <c r="U67" s="167" t="str">
        <f>IFERROR(SUMIFS('caseload data'!E:E,'caseload data'!$C:$C,'custody %'!$T$64,'caseload data'!$D:$D,"PSO",'caseload data'!$B:$B,"custody")/SUMIFS('caseload data'!E:E,'caseload data'!$B:$B,"custody",'caseload data'!$C:$C,'custody %'!$T$64),"")</f>
        <v/>
      </c>
      <c r="V67" s="167" t="str">
        <f>IFERROR(SUMIFS('caseload data'!F:F,'caseload data'!$C:$C,'custody %'!$T$64,'caseload data'!$D:$D,"PSO",'caseload data'!$B:$B,"custody")/SUMIFS('caseload data'!F:F,'caseload data'!$B:$B,"custody",'caseload data'!$C:$C,'custody %'!$T$64),"")</f>
        <v/>
      </c>
      <c r="W67" s="167" t="str">
        <f>IFERROR(SUMIFS('caseload data'!G:G,'caseload data'!$C:$C,'custody %'!$T$64,'caseload data'!$D:$D,"PSO",'caseload data'!$B:$B,"custody")/SUMIFS('caseload data'!G:G,'caseload data'!$B:$B,"custody",'caseload data'!$C:$C,'custody %'!$T$64),"")</f>
        <v/>
      </c>
      <c r="X67" s="167" t="str">
        <f>IFERROR(SUMIFS('caseload data'!H:H,'caseload data'!$C:$C,'custody %'!$T$64,'caseload data'!$D:$D,"PSO",'caseload data'!$B:$B,"custody")/SUMIFS('caseload data'!H:H,'caseload data'!$B:$B,"custody",'caseload data'!$C:$C,'custody %'!$T$64),"")</f>
        <v/>
      </c>
      <c r="Y67" s="167" t="str">
        <f>IFERROR(SUMIFS('caseload data'!I:I,'caseload data'!$C:$C,'custody %'!$T$64,'caseload data'!$D:$D,"PSO",'caseload data'!$B:$B,"custody")/SUMIFS('caseload data'!I:I,'caseload data'!$B:$B,"custody",'caseload data'!$C:$C,'custody %'!$T$64),"")</f>
        <v/>
      </c>
      <c r="Z67" s="167" t="str">
        <f>IFERROR(SUMIFS('caseload data'!J:J,'caseload data'!$C:$C,'custody %'!$T$64,'caseload data'!$D:$D,"PSO",'caseload data'!$B:$B,"custody")/SUMIFS('caseload data'!J:J,'caseload data'!$B:$B,"custody",'caseload data'!$C:$C,'custody %'!$T$64),"")</f>
        <v/>
      </c>
      <c r="AA67" s="167" t="str">
        <f>IFERROR(SUMIFS('caseload data'!K:K,'caseload data'!$C:$C,'custody %'!$T$64,'caseload data'!$D:$D,"PSO",'caseload data'!$B:$B,"custody")/SUMIFS('caseload data'!K:K,'caseload data'!$B:$B,"custody",'caseload data'!$C:$C,'custody %'!$T$64),"")</f>
        <v/>
      </c>
      <c r="AB67" s="167" t="str">
        <f>IFERROR(SUMIFS('caseload data'!L:L,'caseload data'!$C:$C,'custody %'!$T$64,'caseload data'!$D:$D,"PSO",'caseload data'!$B:$B,"custody")/SUMIFS('caseload data'!L:L,'caseload data'!$B:$B,"custody",'caseload data'!$C:$C,'custody %'!$T$64),"")</f>
        <v/>
      </c>
      <c r="AC67" s="167" t="str">
        <f>IFERROR(SUMIFS('caseload data'!M:M,'caseload data'!$C:$C,'custody %'!$T$64,'caseload data'!$D:$D,"PSO",'caseload data'!$B:$B,"custody")/SUMIFS('caseload data'!M:M,'caseload data'!$B:$B,"custody",'caseload data'!$C:$C,'custody %'!$T$64),"")</f>
        <v/>
      </c>
      <c r="AD67" s="167" t="str">
        <f>IFERROR(SUMIFS('caseload data'!N:N,'caseload data'!$C:$C,'custody %'!$T$64,'caseload data'!$D:$D,"PSO",'caseload data'!$B:$B,"custody")/SUMIFS('caseload data'!N:N,'caseload data'!$B:$B,"custody",'caseload data'!$C:$C,'custody %'!$T$64),"")</f>
        <v/>
      </c>
      <c r="AE67" s="167" t="str">
        <f>IFERROR(SUMIFS('caseload data'!O:O,'caseload data'!$C:$C,'custody %'!$T$64,'caseload data'!$D:$D,"PSO",'caseload data'!$B:$B,"custody")/SUMIFS('caseload data'!O:O,'caseload data'!$B:$B,"custody",'caseload data'!$C:$C,'custody %'!$T$64),"")</f>
        <v/>
      </c>
      <c r="AF67" s="167" t="str">
        <f>IFERROR(SUMIFS('caseload data'!P:P,'caseload data'!$C:$C,'custody %'!$T$64,'caseload data'!$D:$D,"PSO",'caseload data'!$B:$B,"custody")/SUMIFS('caseload data'!P:P,'caseload data'!$B:$B,"custody",'caseload data'!$C:$C,'custody %'!$T$64),"")</f>
        <v/>
      </c>
      <c r="AG67" s="167" t="str">
        <f>IFERROR(SUMIFS('caseload data'!Q:Q,'caseload data'!$C:$C,'custody %'!$T$64,'caseload data'!$D:$D,"PSO",'caseload data'!$B:$B,"custody")/SUMIFS('caseload data'!Q:Q,'caseload data'!$B:$B,"custody",'caseload data'!$C:$C,'custody %'!$T$64),"")</f>
        <v/>
      </c>
      <c r="AH67" s="167" t="str">
        <f>IFERROR(SUMIFS('caseload data'!R:R,'caseload data'!$C:$C,'custody %'!$T$64,'caseload data'!$D:$D,"PSO",'caseload data'!$B:$B,"custody")/SUMIFS('caseload data'!R:R,'caseload data'!$B:$B,"custody",'caseload data'!$C:$C,'custody %'!$T$64),"")</f>
        <v/>
      </c>
      <c r="AI67" s="167"/>
      <c r="AJ67" s="167"/>
    </row>
    <row r="68" spans="2:36" x14ac:dyDescent="0.15">
      <c r="B68" s="97" t="s">
        <v>1003</v>
      </c>
      <c r="C68" s="167" t="str">
        <f>IFERROR(SUMIFS('caseload data'!E:E,'caseload data'!$C:$C,'custody %'!$B$64,'caseload data'!$D:$D,"TPO",'caseload data'!$B:$B,"custody")/SUMIFS('caseload data'!E:E,'caseload data'!$B:$B,"custody",'caseload data'!$C:$C,'custody %'!$B$64),"")</f>
        <v/>
      </c>
      <c r="D68" s="167" t="str">
        <f>IFERROR(SUMIFS('caseload data'!F:F,'caseload data'!$C:$C,'custody %'!$B$64,'caseload data'!$D:$D,"TPO",'caseload data'!$B:$B,"custody")/SUMIFS('caseload data'!F:F,'caseload data'!$B:$B,"custody",'caseload data'!$C:$C,'custody %'!$B$64),"")</f>
        <v/>
      </c>
      <c r="E68" s="167" t="str">
        <f>IFERROR(SUMIFS('caseload data'!G:G,'caseload data'!$C:$C,'custody %'!$B$64,'caseload data'!$D:$D,"TPO",'caseload data'!$B:$B,"custody")/SUMIFS('caseload data'!G:G,'caseload data'!$B:$B,"custody",'caseload data'!$C:$C,'custody %'!$B$64),"")</f>
        <v/>
      </c>
      <c r="F68" s="167" t="str">
        <f>IFERROR(SUMIFS('caseload data'!H:H,'caseload data'!$C:$C,'custody %'!$B$64,'caseload data'!$D:$D,"TPO",'caseload data'!$B:$B,"custody")/SUMIFS('caseload data'!H:H,'caseload data'!$B:$B,"custody",'caseload data'!$C:$C,'custody %'!$B$64),"")</f>
        <v/>
      </c>
      <c r="G68" s="167" t="str">
        <f>IFERROR(SUMIFS('caseload data'!I:I,'caseload data'!$C:$C,'custody %'!$B$64,'caseload data'!$D:$D,"TPO",'caseload data'!$B:$B,"custody")/SUMIFS('caseload data'!I:I,'caseload data'!$B:$B,"custody",'caseload data'!$C:$C,'custody %'!$B$64),"")</f>
        <v/>
      </c>
      <c r="H68" s="167" t="str">
        <f>IFERROR(SUMIFS('caseload data'!J:J,'caseload data'!$C:$C,'custody %'!$B$64,'caseload data'!$D:$D,"TPO",'caseload data'!$B:$B,"custody")/SUMIFS('caseload data'!J:J,'caseload data'!$B:$B,"custody",'caseload data'!$C:$C,'custody %'!$B$64),"")</f>
        <v/>
      </c>
      <c r="I68" s="167" t="str">
        <f>IFERROR(SUMIFS('caseload data'!K:K,'caseload data'!$C:$C,'custody %'!$B$64,'caseload data'!$D:$D,"TPO",'caseload data'!$B:$B,"custody")/SUMIFS('caseload data'!K:K,'caseload data'!$B:$B,"custody",'caseload data'!$C:$C,'custody %'!$B$64),"")</f>
        <v/>
      </c>
      <c r="J68" s="167" t="str">
        <f>IFERROR(SUMIFS('caseload data'!L:L,'caseload data'!$C:$C,'custody %'!$B$64,'caseload data'!$D:$D,"TPO",'caseload data'!$B:$B,"custody")/SUMIFS('caseload data'!L:L,'caseload data'!$B:$B,"custody",'caseload data'!$C:$C,'custody %'!$B$64),"")</f>
        <v/>
      </c>
      <c r="K68" s="167" t="str">
        <f>IFERROR(SUMIFS('caseload data'!M:M,'caseload data'!$C:$C,'custody %'!$B$64,'caseload data'!$D:$D,"TPO",'caseload data'!$B:$B,"custody")/SUMIFS('caseload data'!M:M,'caseload data'!$B:$B,"custody",'caseload data'!$C:$C,'custody %'!$B$64),"")</f>
        <v/>
      </c>
      <c r="L68" s="167" t="str">
        <f>IFERROR(SUMIFS('caseload data'!N:N,'caseload data'!$C:$C,'custody %'!$B$64,'caseload data'!$D:$D,"TPO",'caseload data'!$B:$B,"custody")/SUMIFS('caseload data'!N:N,'caseload data'!$B:$B,"custody",'caseload data'!$C:$C,'custody %'!$B$64),"")</f>
        <v/>
      </c>
      <c r="M68" s="167" t="str">
        <f>IFERROR(SUMIFS('caseload data'!O:O,'caseload data'!$C:$C,'custody %'!$B$64,'caseload data'!$D:$D,"TPO",'caseload data'!$B:$B,"custody")/SUMIFS('caseload data'!O:O,'caseload data'!$B:$B,"custody",'caseload data'!$C:$C,'custody %'!$B$64),"")</f>
        <v/>
      </c>
      <c r="N68" s="167" t="str">
        <f>IFERROR(SUMIFS('caseload data'!P:P,'caseload data'!$C:$C,'custody %'!$B$64,'caseload data'!$D:$D,"TPO",'caseload data'!$B:$B,"custody")/SUMIFS('caseload data'!P:P,'caseload data'!$B:$B,"custody",'caseload data'!$C:$C,'custody %'!$B$64),"")</f>
        <v/>
      </c>
      <c r="O68" s="167" t="str">
        <f>IFERROR(SUMIFS('caseload data'!Q:Q,'caseload data'!$C:$C,'custody %'!$B$64,'caseload data'!$D:$D,"TPO",'caseload data'!$B:$B,"custody")/SUMIFS('caseload data'!Q:Q,'caseload data'!$B:$B,"custody",'caseload data'!$C:$C,'custody %'!$B$64),"")</f>
        <v/>
      </c>
      <c r="P68" s="167" t="str">
        <f>IFERROR(SUMIFS('caseload data'!R:R,'caseload data'!$C:$C,'custody %'!$B$64,'caseload data'!$D:$D,"TPO",'caseload data'!$B:$B,"custody")/SUMIFS('caseload data'!R:R,'caseload data'!$B:$B,"custody",'caseload data'!$C:$C,'custody %'!$B$64),"")</f>
        <v/>
      </c>
      <c r="Q68" s="167" t="str">
        <f>IFERROR(SUMIFS('caseload data'!S:S,'caseload data'!$C:$C,'custody %'!$B$64,'caseload data'!$D:$D,"TPO",'caseload data'!$B:$B,"custody")/SUMIFS('caseload data'!S:S,'caseload data'!$B:$B,"custody",'caseload data'!$C:$C,'custody %'!$B$64),"")</f>
        <v/>
      </c>
      <c r="R68" s="167" t="str">
        <f>IFERROR(SUMIFS('caseload data'!T:T,'caseload data'!$C:$C,'custody %'!$B$64,'caseload data'!$D:$D,"TPO",'caseload data'!$B:$B,"custody")/SUMIFS('caseload data'!T:T,'caseload data'!$B:$B,"custody",'caseload data'!$C:$C,'custody %'!$B$64),"")</f>
        <v/>
      </c>
      <c r="S68" s="64"/>
      <c r="T68" s="97" t="s">
        <v>1003</v>
      </c>
      <c r="U68" s="167" t="str">
        <f>IFERROR(SUMIFS('caseload data'!E:E,'caseload data'!$C:$C,'custody %'!$T$64,'caseload data'!$D:$D,"TPO",'caseload data'!$B:$B,"custody")/SUMIFS('caseload data'!E:E,'caseload data'!$B:$B,"custody",'caseload data'!$C:$C,'custody %'!$T$64),"")</f>
        <v/>
      </c>
      <c r="V68" s="167" t="str">
        <f>IFERROR(SUMIFS('caseload data'!F:F,'caseload data'!$C:$C,'custody %'!$T$64,'caseload data'!$D:$D,"TPO",'caseload data'!$B:$B,"custody")/SUMIFS('caseload data'!F:F,'caseload data'!$B:$B,"custody",'caseload data'!$C:$C,'custody %'!$T$64),"")</f>
        <v/>
      </c>
      <c r="W68" s="167" t="str">
        <f>IFERROR(SUMIFS('caseload data'!G:G,'caseload data'!$C:$C,'custody %'!$T$64,'caseload data'!$D:$D,"TPO",'caseload data'!$B:$B,"custody")/SUMIFS('caseload data'!G:G,'caseload data'!$B:$B,"custody",'caseload data'!$C:$C,'custody %'!$T$64),"")</f>
        <v/>
      </c>
      <c r="X68" s="167" t="str">
        <f>IFERROR(SUMIFS('caseload data'!H:H,'caseload data'!$C:$C,'custody %'!$T$64,'caseload data'!$D:$D,"TPO",'caseload data'!$B:$B,"custody")/SUMIFS('caseload data'!H:H,'caseload data'!$B:$B,"custody",'caseload data'!$C:$C,'custody %'!$T$64),"")</f>
        <v/>
      </c>
      <c r="Y68" s="167" t="str">
        <f>IFERROR(SUMIFS('caseload data'!I:I,'caseload data'!$C:$C,'custody %'!$T$64,'caseload data'!$D:$D,"TPO",'caseload data'!$B:$B,"custody")/SUMIFS('caseload data'!I:I,'caseload data'!$B:$B,"custody",'caseload data'!$C:$C,'custody %'!$T$64),"")</f>
        <v/>
      </c>
      <c r="Z68" s="167" t="str">
        <f>IFERROR(SUMIFS('caseload data'!J:J,'caseload data'!$C:$C,'custody %'!$T$64,'caseload data'!$D:$D,"TPO",'caseload data'!$B:$B,"custody")/SUMIFS('caseload data'!J:J,'caseload data'!$B:$B,"custody",'caseload data'!$C:$C,'custody %'!$T$64),"")</f>
        <v/>
      </c>
      <c r="AA68" s="167" t="str">
        <f>IFERROR(SUMIFS('caseload data'!K:K,'caseload data'!$C:$C,'custody %'!$T$64,'caseload data'!$D:$D,"TPO",'caseload data'!$B:$B,"custody")/SUMIFS('caseload data'!K:K,'caseload data'!$B:$B,"custody",'caseload data'!$C:$C,'custody %'!$T$64),"")</f>
        <v/>
      </c>
      <c r="AB68" s="167" t="str">
        <f>IFERROR(SUMIFS('caseload data'!L:L,'caseload data'!$C:$C,'custody %'!$T$64,'caseload data'!$D:$D,"TPO",'caseload data'!$B:$B,"custody")/SUMIFS('caseload data'!L:L,'caseload data'!$B:$B,"custody",'caseload data'!$C:$C,'custody %'!$T$64),"")</f>
        <v/>
      </c>
      <c r="AC68" s="167" t="str">
        <f>IFERROR(SUMIFS('caseload data'!M:M,'caseload data'!$C:$C,'custody %'!$T$64,'caseload data'!$D:$D,"TPO",'caseload data'!$B:$B,"custody")/SUMIFS('caseload data'!M:M,'caseload data'!$B:$B,"custody",'caseload data'!$C:$C,'custody %'!$T$64),"")</f>
        <v/>
      </c>
      <c r="AD68" s="167" t="str">
        <f>IFERROR(SUMIFS('caseload data'!N:N,'caseload data'!$C:$C,'custody %'!$T$64,'caseload data'!$D:$D,"TPO",'caseload data'!$B:$B,"custody")/SUMIFS('caseload data'!N:N,'caseload data'!$B:$B,"custody",'caseload data'!$C:$C,'custody %'!$T$64),"")</f>
        <v/>
      </c>
      <c r="AE68" s="167" t="str">
        <f>IFERROR(SUMIFS('caseload data'!O:O,'caseload data'!$C:$C,'custody %'!$T$64,'caseload data'!$D:$D,"TPO",'caseload data'!$B:$B,"custody")/SUMIFS('caseload data'!O:O,'caseload data'!$B:$B,"custody",'caseload data'!$C:$C,'custody %'!$T$64),"")</f>
        <v/>
      </c>
      <c r="AF68" s="167" t="str">
        <f>IFERROR(SUMIFS('caseload data'!P:P,'caseload data'!$C:$C,'custody %'!$T$64,'caseload data'!$D:$D,"TPO",'caseload data'!$B:$B,"custody")/SUMIFS('caseload data'!P:P,'caseload data'!$B:$B,"custody",'caseload data'!$C:$C,'custody %'!$T$64),"")</f>
        <v/>
      </c>
      <c r="AG68" s="167" t="str">
        <f>IFERROR(SUMIFS('caseload data'!Q:Q,'caseload data'!$C:$C,'custody %'!$T$64,'caseload data'!$D:$D,"TPO",'caseload data'!$B:$B,"custody")/SUMIFS('caseload data'!Q:Q,'caseload data'!$B:$B,"custody",'caseload data'!$C:$C,'custody %'!$T$64),"")</f>
        <v/>
      </c>
      <c r="AH68" s="167" t="str">
        <f>IFERROR(SUMIFS('caseload data'!R:R,'caseload data'!$C:$C,'custody %'!$T$64,'caseload data'!$D:$D,"TPO",'caseload data'!$B:$B,"custody")/SUMIFS('caseload data'!R:R,'caseload data'!$B:$B,"custody",'caseload data'!$C:$C,'custody %'!$T$64),"")</f>
        <v/>
      </c>
      <c r="AI68" s="167"/>
      <c r="AJ68" s="167"/>
    </row>
    <row r="69" spans="2:36" x14ac:dyDescent="0.15">
      <c r="B69" s="98" t="s">
        <v>1004</v>
      </c>
      <c r="C69" s="167" t="str">
        <f>IFERROR(SUMIFS('caseload data'!E:E,'caseload data'!$C:$C,'custody %'!$B$64,'caseload data'!$D:$D,"SPO",'caseload data'!$B:$B,"custody")/SUMIFS('caseload data'!E:E,'caseload data'!$B:$B,"custody",'caseload data'!$C:$C,'custody %'!$B$64),"")</f>
        <v/>
      </c>
      <c r="D69" s="167" t="str">
        <f>IFERROR(SUMIFS('caseload data'!F:F,'caseload data'!$C:$C,'custody %'!$B$64,'caseload data'!$D:$D,"SPO",'caseload data'!$B:$B,"custody")/SUMIFS('caseload data'!F:F,'caseload data'!$B:$B,"custody",'caseload data'!$C:$C,'custody %'!$B$64),"")</f>
        <v/>
      </c>
      <c r="E69" s="167" t="str">
        <f>IFERROR(SUMIFS('caseload data'!G:G,'caseload data'!$C:$C,'custody %'!$B$64,'caseload data'!$D:$D,"SPO",'caseload data'!$B:$B,"custody")/SUMIFS('caseload data'!G:G,'caseload data'!$B:$B,"custody",'caseload data'!$C:$C,'custody %'!$B$64),"")</f>
        <v/>
      </c>
      <c r="F69" s="167" t="str">
        <f>IFERROR(SUMIFS('caseload data'!H:H,'caseload data'!$C:$C,'custody %'!$B$64,'caseload data'!$D:$D,"SPO",'caseload data'!$B:$B,"custody")/SUMIFS('caseload data'!H:H,'caseload data'!$B:$B,"custody",'caseload data'!$C:$C,'custody %'!$B$64),"")</f>
        <v/>
      </c>
      <c r="G69" s="167" t="str">
        <f>IFERROR(SUMIFS('caseload data'!I:I,'caseload data'!$C:$C,'custody %'!$B$64,'caseload data'!$D:$D,"SPO",'caseload data'!$B:$B,"custody")/SUMIFS('caseload data'!I:I,'caseload data'!$B:$B,"custody",'caseload data'!$C:$C,'custody %'!$B$64),"")</f>
        <v/>
      </c>
      <c r="H69" s="167" t="str">
        <f>IFERROR(SUMIFS('caseload data'!J:J,'caseload data'!$C:$C,'custody %'!$B$64,'caseload data'!$D:$D,"SPO",'caseload data'!$B:$B,"custody")/SUMIFS('caseload data'!J:J,'caseload data'!$B:$B,"custody",'caseload data'!$C:$C,'custody %'!$B$64),"")</f>
        <v/>
      </c>
      <c r="I69" s="167" t="str">
        <f>IFERROR(SUMIFS('caseload data'!K:K,'caseload data'!$C:$C,'custody %'!$B$64,'caseload data'!$D:$D,"SPO",'caseload data'!$B:$B,"custody")/SUMIFS('caseload data'!K:K,'caseload data'!$B:$B,"custody",'caseload data'!$C:$C,'custody %'!$B$64),"")</f>
        <v/>
      </c>
      <c r="J69" s="167" t="str">
        <f>IFERROR(SUMIFS('caseload data'!L:L,'caseload data'!$C:$C,'custody %'!$B$64,'caseload data'!$D:$D,"SPO",'caseload data'!$B:$B,"custody")/SUMIFS('caseload data'!L:L,'caseload data'!$B:$B,"custody",'caseload data'!$C:$C,'custody %'!$B$64),"")</f>
        <v/>
      </c>
      <c r="K69" s="167" t="str">
        <f>IFERROR(SUMIFS('caseload data'!M:M,'caseload data'!$C:$C,'custody %'!$B$64,'caseload data'!$D:$D,"SPO",'caseload data'!$B:$B,"custody")/SUMIFS('caseload data'!M:M,'caseload data'!$B:$B,"custody",'caseload data'!$C:$C,'custody %'!$B$64),"")</f>
        <v/>
      </c>
      <c r="L69" s="167" t="str">
        <f>IFERROR(SUMIFS('caseload data'!N:N,'caseload data'!$C:$C,'custody %'!$B$64,'caseload data'!$D:$D,"SPO",'caseload data'!$B:$B,"custody")/SUMIFS('caseload data'!N:N,'caseload data'!$B:$B,"custody",'caseload data'!$C:$C,'custody %'!$B$64),"")</f>
        <v/>
      </c>
      <c r="M69" s="167" t="str">
        <f>IFERROR(SUMIFS('caseload data'!O:O,'caseload data'!$C:$C,'custody %'!$B$64,'caseload data'!$D:$D,"SPO",'caseload data'!$B:$B,"custody")/SUMIFS('caseload data'!O:O,'caseload data'!$B:$B,"custody",'caseload data'!$C:$C,'custody %'!$B$64),"")</f>
        <v/>
      </c>
      <c r="N69" s="167" t="str">
        <f>IFERROR(SUMIFS('caseload data'!P:P,'caseload data'!$C:$C,'custody %'!$B$64,'caseload data'!$D:$D,"SPO",'caseload data'!$B:$B,"custody")/SUMIFS('caseload data'!P:P,'caseload data'!$B:$B,"custody",'caseload data'!$C:$C,'custody %'!$B$64),"")</f>
        <v/>
      </c>
      <c r="O69" s="167" t="str">
        <f>IFERROR(SUMIFS('caseload data'!Q:Q,'caseload data'!$C:$C,'custody %'!$B$64,'caseload data'!$D:$D,"SPO",'caseload data'!$B:$B,"custody")/SUMIFS('caseload data'!Q:Q,'caseload data'!$B:$B,"custody",'caseload data'!$C:$C,'custody %'!$B$64),"")</f>
        <v/>
      </c>
      <c r="P69" s="167" t="str">
        <f>IFERROR(SUMIFS('caseload data'!R:R,'caseload data'!$C:$C,'custody %'!$B$64,'caseload data'!$D:$D,"SPO",'caseload data'!$B:$B,"custody")/SUMIFS('caseload data'!R:R,'caseload data'!$B:$B,"custody",'caseload data'!$C:$C,'custody %'!$B$64),"")</f>
        <v/>
      </c>
      <c r="Q69" s="167" t="str">
        <f>IFERROR(SUMIFS('caseload data'!S:S,'caseload data'!$C:$C,'custody %'!$B$64,'caseload data'!$D:$D,"SPO",'caseload data'!$B:$B,"custody")/SUMIFS('caseload data'!S:S,'caseload data'!$B:$B,"custody",'caseload data'!$C:$C,'custody %'!$B$64),"")</f>
        <v/>
      </c>
      <c r="R69" s="167" t="str">
        <f>IFERROR(SUMIFS('caseload data'!T:T,'caseload data'!$C:$C,'custody %'!$B$64,'caseload data'!$D:$D,"SPO",'caseload data'!$B:$B,"custody")/SUMIFS('caseload data'!T:T,'caseload data'!$B:$B,"custody",'caseload data'!$C:$C,'custody %'!$B$64),"")</f>
        <v/>
      </c>
      <c r="S69" s="64"/>
      <c r="T69" s="98" t="s">
        <v>1004</v>
      </c>
      <c r="U69" s="167" t="str">
        <f>IFERROR(SUMIFS('caseload data'!E:E,'caseload data'!$C:$C,'custody %'!$T$64,'caseload data'!$D:$D,"SPO",'caseload data'!$B:$B,"custody")/SUMIFS('caseload data'!E:E,'caseload data'!$B:$B,"custody",'caseload data'!$C:$C,'custody %'!$T$64),"")</f>
        <v/>
      </c>
      <c r="V69" s="167" t="str">
        <f>IFERROR(SUMIFS('caseload data'!F:F,'caseload data'!$C:$C,'custody %'!$T$64,'caseload data'!$D:$D,"SPO",'caseload data'!$B:$B,"custody")/SUMIFS('caseload data'!F:F,'caseload data'!$B:$B,"custody",'caseload data'!$C:$C,'custody %'!$T$64),"")</f>
        <v/>
      </c>
      <c r="W69" s="167" t="str">
        <f>IFERROR(SUMIFS('caseload data'!G:G,'caseload data'!$C:$C,'custody %'!$T$64,'caseload data'!$D:$D,"SPO",'caseload data'!$B:$B,"custody")/SUMIFS('caseload data'!G:G,'caseload data'!$B:$B,"custody",'caseload data'!$C:$C,'custody %'!$T$64),"")</f>
        <v/>
      </c>
      <c r="X69" s="167" t="str">
        <f>IFERROR(SUMIFS('caseload data'!H:H,'caseload data'!$C:$C,'custody %'!$T$64,'caseload data'!$D:$D,"SPO",'caseload data'!$B:$B,"custody")/SUMIFS('caseload data'!H:H,'caseload data'!$B:$B,"custody",'caseload data'!$C:$C,'custody %'!$T$64),"")</f>
        <v/>
      </c>
      <c r="Y69" s="167" t="str">
        <f>IFERROR(SUMIFS('caseload data'!I:I,'caseload data'!$C:$C,'custody %'!$T$64,'caseload data'!$D:$D,"SPO",'caseload data'!$B:$B,"custody")/SUMIFS('caseload data'!I:I,'caseload data'!$B:$B,"custody",'caseload data'!$C:$C,'custody %'!$T$64),"")</f>
        <v/>
      </c>
      <c r="Z69" s="167" t="str">
        <f>IFERROR(SUMIFS('caseload data'!J:J,'caseload data'!$C:$C,'custody %'!$T$64,'caseload data'!$D:$D,"SPO",'caseload data'!$B:$B,"custody")/SUMIFS('caseload data'!J:J,'caseload data'!$B:$B,"custody",'caseload data'!$C:$C,'custody %'!$T$64),"")</f>
        <v/>
      </c>
      <c r="AA69" s="167" t="str">
        <f>IFERROR(SUMIFS('caseload data'!K:K,'caseload data'!$C:$C,'custody %'!$T$64,'caseload data'!$D:$D,"SPO",'caseload data'!$B:$B,"custody")/SUMIFS('caseload data'!K:K,'caseload data'!$B:$B,"custody",'caseload data'!$C:$C,'custody %'!$T$64),"")</f>
        <v/>
      </c>
      <c r="AB69" s="167" t="str">
        <f>IFERROR(SUMIFS('caseload data'!L:L,'caseload data'!$C:$C,'custody %'!$T$64,'caseload data'!$D:$D,"SPO",'caseload data'!$B:$B,"custody")/SUMIFS('caseload data'!L:L,'caseload data'!$B:$B,"custody",'caseload data'!$C:$C,'custody %'!$T$64),"")</f>
        <v/>
      </c>
      <c r="AC69" s="167" t="str">
        <f>IFERROR(SUMIFS('caseload data'!M:M,'caseload data'!$C:$C,'custody %'!$T$64,'caseload data'!$D:$D,"SPO",'caseload data'!$B:$B,"custody")/SUMIFS('caseload data'!M:M,'caseload data'!$B:$B,"custody",'caseload data'!$C:$C,'custody %'!$T$64),"")</f>
        <v/>
      </c>
      <c r="AD69" s="167" t="str">
        <f>IFERROR(SUMIFS('caseload data'!N:N,'caseload data'!$C:$C,'custody %'!$T$64,'caseload data'!$D:$D,"SPO",'caseload data'!$B:$B,"custody")/SUMIFS('caseload data'!N:N,'caseload data'!$B:$B,"custody",'caseload data'!$C:$C,'custody %'!$T$64),"")</f>
        <v/>
      </c>
      <c r="AE69" s="167" t="str">
        <f>IFERROR(SUMIFS('caseload data'!O:O,'caseload data'!$C:$C,'custody %'!$T$64,'caseload data'!$D:$D,"SPO",'caseload data'!$B:$B,"custody")/SUMIFS('caseload data'!O:O,'caseload data'!$B:$B,"custody",'caseload data'!$C:$C,'custody %'!$T$64),"")</f>
        <v/>
      </c>
      <c r="AF69" s="167" t="str">
        <f>IFERROR(SUMIFS('caseload data'!P:P,'caseload data'!$C:$C,'custody %'!$T$64,'caseload data'!$D:$D,"SPO",'caseload data'!$B:$B,"custody")/SUMIFS('caseload data'!P:P,'caseload data'!$B:$B,"custody",'caseload data'!$C:$C,'custody %'!$T$64),"")</f>
        <v/>
      </c>
      <c r="AG69" s="167" t="str">
        <f>IFERROR(SUMIFS('caseload data'!Q:Q,'caseload data'!$C:$C,'custody %'!$T$64,'caseload data'!$D:$D,"SPO",'caseload data'!$B:$B,"custody")/SUMIFS('caseload data'!Q:Q,'caseload data'!$B:$B,"custody",'caseload data'!$C:$C,'custody %'!$T$64),"")</f>
        <v/>
      </c>
      <c r="AH69" s="167" t="str">
        <f>IFERROR(SUMIFS('caseload data'!R:R,'caseload data'!$C:$C,'custody %'!$T$64,'caseload data'!$D:$D,"SPO",'caseload data'!$B:$B,"custody")/SUMIFS('caseload data'!R:R,'caseload data'!$B:$B,"custody",'caseload data'!$C:$C,'custody %'!$T$64),"")</f>
        <v/>
      </c>
      <c r="AI69" s="167"/>
      <c r="AJ69" s="167"/>
    </row>
    <row r="71" spans="2:36" ht="24.75" customHeight="1" x14ac:dyDescent="0.15">
      <c r="B71" s="289">
        <f>HLOOKUP($B$5,Region_Table,20,0)</f>
        <v>0</v>
      </c>
      <c r="C71" s="517" t="s">
        <v>1126</v>
      </c>
      <c r="D71" s="518"/>
      <c r="E71" s="518"/>
      <c r="F71" s="518"/>
      <c r="G71" s="518"/>
      <c r="H71" s="518"/>
      <c r="I71" s="518"/>
      <c r="J71" s="518"/>
      <c r="K71" s="518"/>
      <c r="L71" s="518"/>
      <c r="M71" s="537"/>
      <c r="N71" s="537"/>
      <c r="O71" s="538"/>
      <c r="P71" s="512">
        <f>SUMIF('caseload data'!$C:$C,'custody %'!B71,'caseload data'!V:V)</f>
        <v>0</v>
      </c>
      <c r="Q71" s="529"/>
      <c r="R71" s="530"/>
      <c r="T71" s="289">
        <f>HLOOKUP($B$5,Region_Table,21,0)</f>
        <v>0</v>
      </c>
      <c r="U71" s="517" t="s">
        <v>1126</v>
      </c>
      <c r="V71" s="518"/>
      <c r="W71" s="518"/>
      <c r="X71" s="518"/>
      <c r="Y71" s="518"/>
      <c r="Z71" s="518"/>
      <c r="AA71" s="518"/>
      <c r="AB71" s="518"/>
      <c r="AC71" s="537"/>
      <c r="AD71" s="537"/>
      <c r="AE71" s="538"/>
      <c r="AF71" s="512">
        <f>SUMIF('caseload data'!$C:$C,'custody %'!T71,'caseload data'!V:V)</f>
        <v>0</v>
      </c>
      <c r="AG71" s="529"/>
      <c r="AH71" s="530"/>
    </row>
    <row r="72" spans="2:36" x14ac:dyDescent="0.15">
      <c r="B72" s="95" t="s">
        <v>1000</v>
      </c>
      <c r="C72" s="38" t="s">
        <v>864</v>
      </c>
      <c r="D72" s="38" t="s">
        <v>865</v>
      </c>
      <c r="E72" s="38" t="s">
        <v>866</v>
      </c>
      <c r="F72" s="38" t="s">
        <v>867</v>
      </c>
      <c r="G72" s="38" t="s">
        <v>868</v>
      </c>
      <c r="H72" s="38" t="s">
        <v>869</v>
      </c>
      <c r="I72" s="38" t="s">
        <v>870</v>
      </c>
      <c r="J72" s="38" t="s">
        <v>871</v>
      </c>
      <c r="K72" s="38" t="s">
        <v>872</v>
      </c>
      <c r="L72" s="38" t="s">
        <v>873</v>
      </c>
      <c r="M72" s="38" t="s">
        <v>874</v>
      </c>
      <c r="N72" s="38" t="s">
        <v>875</v>
      </c>
      <c r="O72" s="38" t="s">
        <v>876</v>
      </c>
      <c r="P72" s="38" t="s">
        <v>877</v>
      </c>
      <c r="Q72" s="38" t="s">
        <v>878</v>
      </c>
      <c r="R72" s="38" t="s">
        <v>879</v>
      </c>
      <c r="T72" s="95" t="s">
        <v>1000</v>
      </c>
      <c r="U72" s="38" t="s">
        <v>864</v>
      </c>
      <c r="V72" s="38" t="s">
        <v>865</v>
      </c>
      <c r="W72" s="38" t="s">
        <v>866</v>
      </c>
      <c r="X72" s="38" t="s">
        <v>867</v>
      </c>
      <c r="Y72" s="38" t="s">
        <v>868</v>
      </c>
      <c r="Z72" s="38" t="s">
        <v>869</v>
      </c>
      <c r="AA72" s="38" t="s">
        <v>870</v>
      </c>
      <c r="AB72" s="38" t="s">
        <v>871</v>
      </c>
      <c r="AC72" s="38" t="s">
        <v>872</v>
      </c>
      <c r="AD72" s="38" t="s">
        <v>873</v>
      </c>
      <c r="AE72" s="38" t="s">
        <v>874</v>
      </c>
      <c r="AF72" s="38" t="s">
        <v>875</v>
      </c>
      <c r="AG72" s="38" t="s">
        <v>876</v>
      </c>
      <c r="AH72" s="38" t="s">
        <v>877</v>
      </c>
      <c r="AI72" s="38" t="s">
        <v>878</v>
      </c>
      <c r="AJ72" s="38" t="s">
        <v>879</v>
      </c>
    </row>
    <row r="73" spans="2:36" x14ac:dyDescent="0.15">
      <c r="B73" s="96" t="s">
        <v>997</v>
      </c>
      <c r="C73" s="167" t="str">
        <f>IFERROR(SUMIFS('caseload data'!E:E,'caseload data'!$C:$C,'custody %'!$B$71,'caseload data'!$D:$D,"PO",'caseload data'!$B:$B,"custody")/SUMIFS('caseload data'!E:E,'caseload data'!$B:$B,"custody",'caseload data'!$C:$C,'custody %'!$B$71),"")</f>
        <v/>
      </c>
      <c r="D73" s="167" t="str">
        <f>IFERROR(SUMIFS('caseload data'!F:F,'caseload data'!$C:$C,'custody %'!$B$71,'caseload data'!$D:$D,"PO",'caseload data'!$B:$B,"custody")/SUMIFS('caseload data'!F:F,'caseload data'!$B:$B,"custody",'caseload data'!$C:$C,'custody %'!$B$71),"")</f>
        <v/>
      </c>
      <c r="E73" s="167" t="str">
        <f>IFERROR(SUMIFS('caseload data'!G:G,'caseload data'!$C:$C,'custody %'!$B$71,'caseload data'!$D:$D,"PO",'caseload data'!$B:$B,"custody")/SUMIFS('caseload data'!G:G,'caseload data'!$B:$B,"custody",'caseload data'!$C:$C,'custody %'!$B$71),"")</f>
        <v/>
      </c>
      <c r="F73" s="167" t="str">
        <f>IFERROR(SUMIFS('caseload data'!H:H,'caseload data'!$C:$C,'custody %'!$B$71,'caseload data'!$D:$D,"PO",'caseload data'!$B:$B,"custody")/SUMIFS('caseload data'!H:H,'caseload data'!$B:$B,"custody",'caseload data'!$C:$C,'custody %'!$B$71),"")</f>
        <v/>
      </c>
      <c r="G73" s="167" t="str">
        <f>IFERROR(SUMIFS('caseload data'!I:I,'caseload data'!$C:$C,'custody %'!$B$71,'caseload data'!$D:$D,"PO",'caseload data'!$B:$B,"custody")/SUMIFS('caseload data'!I:I,'caseload data'!$B:$B,"custody",'caseload data'!$C:$C,'custody %'!$B$71),"")</f>
        <v/>
      </c>
      <c r="H73" s="167" t="str">
        <f>IFERROR(SUMIFS('caseload data'!J:J,'caseload data'!$C:$C,'custody %'!$B$71,'caseload data'!$D:$D,"PO",'caseload data'!$B:$B,"custody")/SUMIFS('caseload data'!J:J,'caseload data'!$B:$B,"custody",'caseload data'!$C:$C,'custody %'!$B$71),"")</f>
        <v/>
      </c>
      <c r="I73" s="167" t="str">
        <f>IFERROR(SUMIFS('caseload data'!K:K,'caseload data'!$C:$C,'custody %'!$B$71,'caseload data'!$D:$D,"PO",'caseload data'!$B:$B,"custody")/SUMIFS('caseload data'!K:K,'caseload data'!$B:$B,"custody",'caseload data'!$C:$C,'custody %'!$B$71),"")</f>
        <v/>
      </c>
      <c r="J73" s="167" t="str">
        <f>IFERROR(SUMIFS('caseload data'!L:L,'caseload data'!$C:$C,'custody %'!$B$71,'caseload data'!$D:$D,"PO",'caseload data'!$B:$B,"custody")/SUMIFS('caseload data'!L:L,'caseload data'!$B:$B,"custody",'caseload data'!$C:$C,'custody %'!$B$71),"")</f>
        <v/>
      </c>
      <c r="K73" s="167" t="str">
        <f>IFERROR(SUMIFS('caseload data'!M:M,'caseload data'!$C:$C,'custody %'!$B$71,'caseload data'!$D:$D,"PO",'caseload data'!$B:$B,"custody")/SUMIFS('caseload data'!M:M,'caseload data'!$B:$B,"custody",'caseload data'!$C:$C,'custody %'!$B$71),"")</f>
        <v/>
      </c>
      <c r="L73" s="167" t="str">
        <f>IFERROR(SUMIFS('caseload data'!N:N,'caseload data'!$C:$C,'custody %'!$B$71,'caseload data'!$D:$D,"PO",'caseload data'!$B:$B,"custody")/SUMIFS('caseload data'!N:N,'caseload data'!$B:$B,"custody",'caseload data'!$C:$C,'custody %'!$B$71),"")</f>
        <v/>
      </c>
      <c r="M73" s="167" t="str">
        <f>IFERROR(SUMIFS('caseload data'!O:O,'caseload data'!$C:$C,'custody %'!$B$71,'caseload data'!$D:$D,"PO",'caseload data'!$B:$B,"custody")/SUMIFS('caseload data'!O:O,'caseload data'!$B:$B,"custody",'caseload data'!$C:$C,'custody %'!$B$71),"")</f>
        <v/>
      </c>
      <c r="N73" s="167" t="str">
        <f>IFERROR(SUMIFS('caseload data'!P:P,'caseload data'!$C:$C,'custody %'!$B$71,'caseload data'!$D:$D,"PO",'caseload data'!$B:$B,"custody")/SUMIFS('caseload data'!P:P,'caseload data'!$B:$B,"custody",'caseload data'!$C:$C,'custody %'!$B$71),"")</f>
        <v/>
      </c>
      <c r="O73" s="167" t="str">
        <f>IFERROR(SUMIFS('caseload data'!Q:Q,'caseload data'!$C:$C,'custody %'!$B$71,'caseload data'!$D:$D,"PO",'caseload data'!$B:$B,"custody")/SUMIFS('caseload data'!Q:Q,'caseload data'!$B:$B,"custody",'caseload data'!$C:$C,'custody %'!$B$71),"")</f>
        <v/>
      </c>
      <c r="P73" s="167" t="str">
        <f>IFERROR(SUMIFS('caseload data'!R:R,'caseload data'!$C:$C,'custody %'!$B$71,'caseload data'!$D:$D,"PO",'caseload data'!$B:$B,"custody")/SUMIFS('caseload data'!R:R,'caseload data'!$B:$B,"custody",'caseload data'!$C:$C,'custody %'!$B$71),"")</f>
        <v/>
      </c>
      <c r="Q73" s="167" t="str">
        <f>IFERROR(SUMIFS('caseload data'!S:S,'caseload data'!$C:$C,'custody %'!$B$71,'caseload data'!$D:$D,"PO",'caseload data'!$B:$B,"custody")/SUMIFS('caseload data'!S:S,'caseload data'!$B:$B,"custody",'caseload data'!$C:$C,'custody %'!$B$71),"")</f>
        <v/>
      </c>
      <c r="R73" s="167" t="str">
        <f>IFERROR(SUMIFS('caseload data'!T:T,'caseload data'!$C:$C,'custody %'!$B$71,'caseload data'!$D:$D,"PO",'caseload data'!$B:$B,"custody")/SUMIFS('caseload data'!T:T,'caseload data'!$B:$B,"custody",'caseload data'!$C:$C,'custody %'!$B$71),"")</f>
        <v/>
      </c>
      <c r="T73" s="96" t="s">
        <v>997</v>
      </c>
      <c r="U73" s="167" t="str">
        <f>IFERROR(SUMIFS('caseload data'!E:E,'caseload data'!$C:$C,'custody %'!$T$71,'caseload data'!$D:$D,"PO",'caseload data'!$B:$B,"custody")/SUMIFS('caseload data'!E:E,'caseload data'!$B:$B,"custody",'caseload data'!$C:$C,'custody %'!$T$71),"")</f>
        <v/>
      </c>
      <c r="V73" s="167" t="str">
        <f>IFERROR(SUMIFS('caseload data'!F:F,'caseload data'!$C:$C,'custody %'!$T$71,'caseload data'!$D:$D,"PO",'caseload data'!$B:$B,"custody")/SUMIFS('caseload data'!F:F,'caseload data'!$B:$B,"custody",'caseload data'!$C:$C,'custody %'!$T$71),"")</f>
        <v/>
      </c>
      <c r="W73" s="167" t="str">
        <f>IFERROR(SUMIFS('caseload data'!G:G,'caseload data'!$C:$C,'custody %'!$T$71,'caseload data'!$D:$D,"PO",'caseload data'!$B:$B,"custody")/SUMIFS('caseload data'!G:G,'caseload data'!$B:$B,"custody",'caseload data'!$C:$C,'custody %'!$T$71),"")</f>
        <v/>
      </c>
      <c r="X73" s="167" t="str">
        <f>IFERROR(SUMIFS('caseload data'!H:H,'caseload data'!$C:$C,'custody %'!$T$71,'caseload data'!$D:$D,"PO",'caseload data'!$B:$B,"custody")/SUMIFS('caseload data'!H:H,'caseload data'!$B:$B,"custody",'caseload data'!$C:$C,'custody %'!$T$71),"")</f>
        <v/>
      </c>
      <c r="Y73" s="167" t="str">
        <f>IFERROR(SUMIFS('caseload data'!I:I,'caseload data'!$C:$C,'custody %'!$T$71,'caseload data'!$D:$D,"PO",'caseload data'!$B:$B,"custody")/SUMIFS('caseload data'!I:I,'caseload data'!$B:$B,"custody",'caseload data'!$C:$C,'custody %'!$T$71),"")</f>
        <v/>
      </c>
      <c r="Z73" s="167" t="str">
        <f>IFERROR(SUMIFS('caseload data'!J:J,'caseload data'!$C:$C,'custody %'!$T$71,'caseload data'!$D:$D,"PO",'caseload data'!$B:$B,"custody")/SUMIFS('caseload data'!J:J,'caseload data'!$B:$B,"custody",'caseload data'!$C:$C,'custody %'!$T$71),"")</f>
        <v/>
      </c>
      <c r="AA73" s="167" t="str">
        <f>IFERROR(SUMIFS('caseload data'!K:K,'caseload data'!$C:$C,'custody %'!$T$71,'caseload data'!$D:$D,"PO",'caseload data'!$B:$B,"custody")/SUMIFS('caseload data'!K:K,'caseload data'!$B:$B,"custody",'caseload data'!$C:$C,'custody %'!$T$71),"")</f>
        <v/>
      </c>
      <c r="AB73" s="167" t="str">
        <f>IFERROR(SUMIFS('caseload data'!L:L,'caseload data'!$C:$C,'custody %'!$T$71,'caseload data'!$D:$D,"PO",'caseload data'!$B:$B,"custody")/SUMIFS('caseload data'!L:L,'caseload data'!$B:$B,"custody",'caseload data'!$C:$C,'custody %'!$T$71),"")</f>
        <v/>
      </c>
      <c r="AC73" s="167" t="str">
        <f>IFERROR(SUMIFS('caseload data'!M:M,'caseload data'!$C:$C,'custody %'!$T$71,'caseload data'!$D:$D,"PO",'caseload data'!$B:$B,"custody")/SUMIFS('caseload data'!M:M,'caseload data'!$B:$B,"custody",'caseload data'!$C:$C,'custody %'!$T$71),"")</f>
        <v/>
      </c>
      <c r="AD73" s="167" t="str">
        <f>IFERROR(SUMIFS('caseload data'!N:N,'caseload data'!$C:$C,'custody %'!$T$71,'caseload data'!$D:$D,"PO",'caseload data'!$B:$B,"custody")/SUMIFS('caseload data'!N:N,'caseload data'!$B:$B,"custody",'caseload data'!$C:$C,'custody %'!$T$71),"")</f>
        <v/>
      </c>
      <c r="AE73" s="167" t="str">
        <f>IFERROR(SUMIFS('caseload data'!O:O,'caseload data'!$C:$C,'custody %'!$T$71,'caseload data'!$D:$D,"PO",'caseload data'!$B:$B,"custody")/SUMIFS('caseload data'!O:O,'caseload data'!$B:$B,"custody",'caseload data'!$C:$C,'custody %'!$T$71),"")</f>
        <v/>
      </c>
      <c r="AF73" s="167" t="str">
        <f>IFERROR(SUMIFS('caseload data'!P:P,'caseload data'!$C:$C,'custody %'!$T$71,'caseload data'!$D:$D,"PO",'caseload data'!$B:$B,"custody")/SUMIFS('caseload data'!P:P,'caseload data'!$B:$B,"custody",'caseload data'!$C:$C,'custody %'!$T$71),"")</f>
        <v/>
      </c>
      <c r="AG73" s="167" t="str">
        <f>IFERROR(SUMIFS('caseload data'!Q:Q,'caseload data'!$C:$C,'custody %'!$T$71,'caseload data'!$D:$D,"PO",'caseload data'!$B:$B,"custody")/SUMIFS('caseload data'!Q:Q,'caseload data'!$B:$B,"custody",'caseload data'!$C:$C,'custody %'!$T$71),"")</f>
        <v/>
      </c>
      <c r="AH73" s="167" t="str">
        <f>IFERROR(SUMIFS('caseload data'!R:R,'caseload data'!$C:$C,'custody %'!$T$71,'caseload data'!$D:$D,"PO",'caseload data'!$B:$B,"custody")/SUMIFS('caseload data'!R:R,'caseload data'!$B:$B,"custody",'caseload data'!$C:$C,'custody %'!$T$71),"")</f>
        <v/>
      </c>
      <c r="AI73" s="167"/>
      <c r="AJ73" s="167"/>
    </row>
    <row r="74" spans="2:36" x14ac:dyDescent="0.15">
      <c r="B74" s="97" t="s">
        <v>1002</v>
      </c>
      <c r="C74" s="167" t="str">
        <f>IFERROR(SUMIFS('caseload data'!E:E,'caseload data'!$C:$C,'custody %'!$B$71,'caseload data'!$D:$D,"PSO",'caseload data'!$B:$B,"custody")/SUMIFS('caseload data'!E:E,'caseload data'!$B:$B,"custody",'caseload data'!$C:$C,'custody %'!$B$71),"")</f>
        <v/>
      </c>
      <c r="D74" s="167" t="str">
        <f>IFERROR(SUMIFS('caseload data'!F:F,'caseload data'!$C:$C,'custody %'!$B$71,'caseload data'!$D:$D,"PSO",'caseload data'!$B:$B,"custody")/SUMIFS('caseload data'!F:F,'caseload data'!$B:$B,"custody",'caseload data'!$C:$C,'custody %'!$B$71),"")</f>
        <v/>
      </c>
      <c r="E74" s="167" t="str">
        <f>IFERROR(SUMIFS('caseload data'!G:G,'caseload data'!$C:$C,'custody %'!$B$71,'caseload data'!$D:$D,"PSO",'caseload data'!$B:$B,"custody")/SUMIFS('caseload data'!G:G,'caseload data'!$B:$B,"custody",'caseload data'!$C:$C,'custody %'!$B$71),"")</f>
        <v/>
      </c>
      <c r="F74" s="167" t="str">
        <f>IFERROR(SUMIFS('caseload data'!H:H,'caseload data'!$C:$C,'custody %'!$B$71,'caseload data'!$D:$D,"PSO",'caseload data'!$B:$B,"custody")/SUMIFS('caseload data'!H:H,'caseload data'!$B:$B,"custody",'caseload data'!$C:$C,'custody %'!$B$71),"")</f>
        <v/>
      </c>
      <c r="G74" s="167" t="str">
        <f>IFERROR(SUMIFS('caseload data'!I:I,'caseload data'!$C:$C,'custody %'!$B$71,'caseload data'!$D:$D,"PSO",'caseload data'!$B:$B,"custody")/SUMIFS('caseload data'!I:I,'caseload data'!$B:$B,"custody",'caseload data'!$C:$C,'custody %'!$B$71),"")</f>
        <v/>
      </c>
      <c r="H74" s="167" t="str">
        <f>IFERROR(SUMIFS('caseload data'!J:J,'caseload data'!$C:$C,'custody %'!$B$71,'caseload data'!$D:$D,"PSO",'caseload data'!$B:$B,"custody")/SUMIFS('caseload data'!J:J,'caseload data'!$B:$B,"custody",'caseload data'!$C:$C,'custody %'!$B$71),"")</f>
        <v/>
      </c>
      <c r="I74" s="167" t="str">
        <f>IFERROR(SUMIFS('caseload data'!K:K,'caseload data'!$C:$C,'custody %'!$B$71,'caseload data'!$D:$D,"PSO",'caseload data'!$B:$B,"custody")/SUMIFS('caseload data'!K:K,'caseload data'!$B:$B,"custody",'caseload data'!$C:$C,'custody %'!$B$71),"")</f>
        <v/>
      </c>
      <c r="J74" s="167" t="str">
        <f>IFERROR(SUMIFS('caseload data'!L:L,'caseload data'!$C:$C,'custody %'!$B$71,'caseload data'!$D:$D,"PSO",'caseload data'!$B:$B,"custody")/SUMIFS('caseload data'!L:L,'caseload data'!$B:$B,"custody",'caseload data'!$C:$C,'custody %'!$B$71),"")</f>
        <v/>
      </c>
      <c r="K74" s="167" t="str">
        <f>IFERROR(SUMIFS('caseload data'!M:M,'caseload data'!$C:$C,'custody %'!$B$71,'caseload data'!$D:$D,"PSO",'caseload data'!$B:$B,"custody")/SUMIFS('caseload data'!M:M,'caseload data'!$B:$B,"custody",'caseload data'!$C:$C,'custody %'!$B$71),"")</f>
        <v/>
      </c>
      <c r="L74" s="167" t="str">
        <f>IFERROR(SUMIFS('caseload data'!N:N,'caseload data'!$C:$C,'custody %'!$B$71,'caseload data'!$D:$D,"PSO",'caseload data'!$B:$B,"custody")/SUMIFS('caseload data'!N:N,'caseload data'!$B:$B,"custody",'caseload data'!$C:$C,'custody %'!$B$71),"")</f>
        <v/>
      </c>
      <c r="M74" s="167" t="str">
        <f>IFERROR(SUMIFS('caseload data'!O:O,'caseload data'!$C:$C,'custody %'!$B$71,'caseload data'!$D:$D,"PSO",'caseload data'!$B:$B,"custody")/SUMIFS('caseload data'!O:O,'caseload data'!$B:$B,"custody",'caseload data'!$C:$C,'custody %'!$B$71),"")</f>
        <v/>
      </c>
      <c r="N74" s="167" t="str">
        <f>IFERROR(SUMIFS('caseload data'!P:P,'caseload data'!$C:$C,'custody %'!$B$71,'caseload data'!$D:$D,"PSO",'caseload data'!$B:$B,"custody")/SUMIFS('caseload data'!P:P,'caseload data'!$B:$B,"custody",'caseload data'!$C:$C,'custody %'!$B$71),"")</f>
        <v/>
      </c>
      <c r="O74" s="167" t="str">
        <f>IFERROR(SUMIFS('caseload data'!Q:Q,'caseload data'!$C:$C,'custody %'!$B$71,'caseload data'!$D:$D,"PSO",'caseload data'!$B:$B,"custody")/SUMIFS('caseload data'!Q:Q,'caseload data'!$B:$B,"custody",'caseload data'!$C:$C,'custody %'!$B$71),"")</f>
        <v/>
      </c>
      <c r="P74" s="167" t="str">
        <f>IFERROR(SUMIFS('caseload data'!R:R,'caseload data'!$C:$C,'custody %'!$B$71,'caseload data'!$D:$D,"PSO",'caseload data'!$B:$B,"custody")/SUMIFS('caseload data'!R:R,'caseload data'!$B:$B,"custody",'caseload data'!$C:$C,'custody %'!$B$71),"")</f>
        <v/>
      </c>
      <c r="Q74" s="167" t="str">
        <f>IFERROR(SUMIFS('caseload data'!S:S,'caseload data'!$C:$C,'custody %'!$B$71,'caseload data'!$D:$D,"PSO",'caseload data'!$B:$B,"custody")/SUMIFS('caseload data'!S:S,'caseload data'!$B:$B,"custody",'caseload data'!$C:$C,'custody %'!$B$71),"")</f>
        <v/>
      </c>
      <c r="R74" s="167" t="str">
        <f>IFERROR(SUMIFS('caseload data'!T:T,'caseload data'!$C:$C,'custody %'!$B$71,'caseload data'!$D:$D,"PSO",'caseload data'!$B:$B,"custody")/SUMIFS('caseload data'!T:T,'caseload data'!$B:$B,"custody",'caseload data'!$C:$C,'custody %'!$B$71),"")</f>
        <v/>
      </c>
      <c r="T74" s="97" t="s">
        <v>1002</v>
      </c>
      <c r="U74" s="167" t="str">
        <f>IFERROR(SUMIFS('caseload data'!E:E,'caseload data'!$C:$C,'custody %'!$T$71,'caseload data'!$D:$D,"PSO",'caseload data'!$B:$B,"custody")/SUMIFS('caseload data'!E:E,'caseload data'!$B:$B,"custody",'caseload data'!$C:$C,'custody %'!$T$71),"")</f>
        <v/>
      </c>
      <c r="V74" s="167" t="str">
        <f>IFERROR(SUMIFS('caseload data'!F:F,'caseload data'!$C:$C,'custody %'!$T$71,'caseload data'!$D:$D,"PSO",'caseload data'!$B:$B,"custody")/SUMIFS('caseload data'!F:F,'caseload data'!$B:$B,"custody",'caseload data'!$C:$C,'custody %'!$T$71),"")</f>
        <v/>
      </c>
      <c r="W74" s="167" t="str">
        <f>IFERROR(SUMIFS('caseload data'!G:G,'caseload data'!$C:$C,'custody %'!$T$71,'caseload data'!$D:$D,"PSO",'caseload data'!$B:$B,"custody")/SUMIFS('caseload data'!G:G,'caseload data'!$B:$B,"custody",'caseload data'!$C:$C,'custody %'!$T$71),"")</f>
        <v/>
      </c>
      <c r="X74" s="167" t="str">
        <f>IFERROR(SUMIFS('caseload data'!H:H,'caseload data'!$C:$C,'custody %'!$T$71,'caseload data'!$D:$D,"PSO",'caseload data'!$B:$B,"custody")/SUMIFS('caseload data'!H:H,'caseload data'!$B:$B,"custody",'caseload data'!$C:$C,'custody %'!$T$71),"")</f>
        <v/>
      </c>
      <c r="Y74" s="167" t="str">
        <f>IFERROR(SUMIFS('caseload data'!I:I,'caseload data'!$C:$C,'custody %'!$T$71,'caseload data'!$D:$D,"PSO",'caseload data'!$B:$B,"custody")/SUMIFS('caseload data'!I:I,'caseload data'!$B:$B,"custody",'caseload data'!$C:$C,'custody %'!$T$71),"")</f>
        <v/>
      </c>
      <c r="Z74" s="167" t="str">
        <f>IFERROR(SUMIFS('caseload data'!J:J,'caseload data'!$C:$C,'custody %'!$T$71,'caseload data'!$D:$D,"PSO",'caseload data'!$B:$B,"custody")/SUMIFS('caseload data'!J:J,'caseload data'!$B:$B,"custody",'caseload data'!$C:$C,'custody %'!$T$71),"")</f>
        <v/>
      </c>
      <c r="AA74" s="167" t="str">
        <f>IFERROR(SUMIFS('caseload data'!K:K,'caseload data'!$C:$C,'custody %'!$T$71,'caseload data'!$D:$D,"PSO",'caseload data'!$B:$B,"custody")/SUMIFS('caseload data'!K:K,'caseload data'!$B:$B,"custody",'caseload data'!$C:$C,'custody %'!$T$71),"")</f>
        <v/>
      </c>
      <c r="AB74" s="167" t="str">
        <f>IFERROR(SUMIFS('caseload data'!L:L,'caseload data'!$C:$C,'custody %'!$T$71,'caseload data'!$D:$D,"PSO",'caseload data'!$B:$B,"custody")/SUMIFS('caseload data'!L:L,'caseload data'!$B:$B,"custody",'caseload data'!$C:$C,'custody %'!$T$71),"")</f>
        <v/>
      </c>
      <c r="AC74" s="167" t="str">
        <f>IFERROR(SUMIFS('caseload data'!M:M,'caseload data'!$C:$C,'custody %'!$T$71,'caseload data'!$D:$D,"PSO",'caseload data'!$B:$B,"custody")/SUMIFS('caseload data'!M:M,'caseload data'!$B:$B,"custody",'caseload data'!$C:$C,'custody %'!$T$71),"")</f>
        <v/>
      </c>
      <c r="AD74" s="167" t="str">
        <f>IFERROR(SUMIFS('caseload data'!N:N,'caseload data'!$C:$C,'custody %'!$T$71,'caseload data'!$D:$D,"PSO",'caseload data'!$B:$B,"custody")/SUMIFS('caseload data'!N:N,'caseload data'!$B:$B,"custody",'caseload data'!$C:$C,'custody %'!$T$71),"")</f>
        <v/>
      </c>
      <c r="AE74" s="167" t="str">
        <f>IFERROR(SUMIFS('caseload data'!O:O,'caseload data'!$C:$C,'custody %'!$T$71,'caseload data'!$D:$D,"PSO",'caseload data'!$B:$B,"custody")/SUMIFS('caseload data'!O:O,'caseload data'!$B:$B,"custody",'caseload data'!$C:$C,'custody %'!$T$71),"")</f>
        <v/>
      </c>
      <c r="AF74" s="167" t="str">
        <f>IFERROR(SUMIFS('caseload data'!P:P,'caseload data'!$C:$C,'custody %'!$T$71,'caseload data'!$D:$D,"PSO",'caseload data'!$B:$B,"custody")/SUMIFS('caseload data'!P:P,'caseload data'!$B:$B,"custody",'caseload data'!$C:$C,'custody %'!$T$71),"")</f>
        <v/>
      </c>
      <c r="AG74" s="167" t="str">
        <f>IFERROR(SUMIFS('caseload data'!Q:Q,'caseload data'!$C:$C,'custody %'!$T$71,'caseload data'!$D:$D,"PSO",'caseload data'!$B:$B,"custody")/SUMIFS('caseload data'!Q:Q,'caseload data'!$B:$B,"custody",'caseload data'!$C:$C,'custody %'!$T$71),"")</f>
        <v/>
      </c>
      <c r="AH74" s="167" t="str">
        <f>IFERROR(SUMIFS('caseload data'!R:R,'caseload data'!$C:$C,'custody %'!$T$71,'caseload data'!$D:$D,"PSO",'caseload data'!$B:$B,"custody")/SUMIFS('caseload data'!R:R,'caseload data'!$B:$B,"custody",'caseload data'!$C:$C,'custody %'!$T$71),"")</f>
        <v/>
      </c>
      <c r="AI74" s="167"/>
      <c r="AJ74" s="167"/>
    </row>
    <row r="75" spans="2:36" x14ac:dyDescent="0.15">
      <c r="B75" s="97" t="s">
        <v>1003</v>
      </c>
      <c r="C75" s="167" t="str">
        <f>IFERROR(SUMIFS('caseload data'!E:E,'caseload data'!$C:$C,'custody %'!$B$71,'caseload data'!$D:$D,"TPO",'caseload data'!$B:$B,"custody")/SUMIFS('caseload data'!E:E,'caseload data'!$B:$B,"custody",'caseload data'!$C:$C,'custody %'!$B$71),"")</f>
        <v/>
      </c>
      <c r="D75" s="167" t="str">
        <f>IFERROR(SUMIFS('caseload data'!F:F,'caseload data'!$C:$C,'custody %'!$B$71,'caseload data'!$D:$D,"TPO",'caseload data'!$B:$B,"custody")/SUMIFS('caseload data'!F:F,'caseload data'!$B:$B,"custody",'caseload data'!$C:$C,'custody %'!$B$71),"")</f>
        <v/>
      </c>
      <c r="E75" s="167" t="str">
        <f>IFERROR(SUMIFS('caseload data'!G:G,'caseload data'!$C:$C,'custody %'!$B$71,'caseload data'!$D:$D,"TPO",'caseload data'!$B:$B,"custody")/SUMIFS('caseload data'!G:G,'caseload data'!$B:$B,"custody",'caseload data'!$C:$C,'custody %'!$B$71),"")</f>
        <v/>
      </c>
      <c r="F75" s="167" t="str">
        <f>IFERROR(SUMIFS('caseload data'!H:H,'caseload data'!$C:$C,'custody %'!$B$71,'caseload data'!$D:$D,"TPO",'caseload data'!$B:$B,"custody")/SUMIFS('caseload data'!H:H,'caseload data'!$B:$B,"custody",'caseload data'!$C:$C,'custody %'!$B$71),"")</f>
        <v/>
      </c>
      <c r="G75" s="167" t="str">
        <f>IFERROR(SUMIFS('caseload data'!I:I,'caseload data'!$C:$C,'custody %'!$B$71,'caseload data'!$D:$D,"TPO",'caseload data'!$B:$B,"custody")/SUMIFS('caseload data'!I:I,'caseload data'!$B:$B,"custody",'caseload data'!$C:$C,'custody %'!$B$71),"")</f>
        <v/>
      </c>
      <c r="H75" s="167" t="str">
        <f>IFERROR(SUMIFS('caseload data'!J:J,'caseload data'!$C:$C,'custody %'!$B$71,'caseload data'!$D:$D,"TPO",'caseload data'!$B:$B,"custody")/SUMIFS('caseload data'!J:J,'caseload data'!$B:$B,"custody",'caseload data'!$C:$C,'custody %'!$B$71),"")</f>
        <v/>
      </c>
      <c r="I75" s="167" t="str">
        <f>IFERROR(SUMIFS('caseload data'!K:K,'caseload data'!$C:$C,'custody %'!$B$71,'caseload data'!$D:$D,"TPO",'caseload data'!$B:$B,"custody")/SUMIFS('caseload data'!K:K,'caseload data'!$B:$B,"custody",'caseload data'!$C:$C,'custody %'!$B$71),"")</f>
        <v/>
      </c>
      <c r="J75" s="167" t="str">
        <f>IFERROR(SUMIFS('caseload data'!L:L,'caseload data'!$C:$C,'custody %'!$B$71,'caseload data'!$D:$D,"TPO",'caseload data'!$B:$B,"custody")/SUMIFS('caseload data'!L:L,'caseload data'!$B:$B,"custody",'caseload data'!$C:$C,'custody %'!$B$71),"")</f>
        <v/>
      </c>
      <c r="K75" s="167" t="str">
        <f>IFERROR(SUMIFS('caseload data'!M:M,'caseload data'!$C:$C,'custody %'!$B$71,'caseload data'!$D:$D,"TPO",'caseload data'!$B:$B,"custody")/SUMIFS('caseload data'!M:M,'caseload data'!$B:$B,"custody",'caseload data'!$C:$C,'custody %'!$B$71),"")</f>
        <v/>
      </c>
      <c r="L75" s="167" t="str">
        <f>IFERROR(SUMIFS('caseload data'!N:N,'caseload data'!$C:$C,'custody %'!$B$71,'caseload data'!$D:$D,"TPO",'caseload data'!$B:$B,"custody")/SUMIFS('caseload data'!N:N,'caseload data'!$B:$B,"custody",'caseload data'!$C:$C,'custody %'!$B$71),"")</f>
        <v/>
      </c>
      <c r="M75" s="167" t="str">
        <f>IFERROR(SUMIFS('caseload data'!O:O,'caseload data'!$C:$C,'custody %'!$B$71,'caseload data'!$D:$D,"TPO",'caseload data'!$B:$B,"custody")/SUMIFS('caseload data'!O:O,'caseload data'!$B:$B,"custody",'caseload data'!$C:$C,'custody %'!$B$71),"")</f>
        <v/>
      </c>
      <c r="N75" s="167" t="str">
        <f>IFERROR(SUMIFS('caseload data'!P:P,'caseload data'!$C:$C,'custody %'!$B$71,'caseload data'!$D:$D,"TPO",'caseload data'!$B:$B,"custody")/SUMIFS('caseload data'!P:P,'caseload data'!$B:$B,"custody",'caseload data'!$C:$C,'custody %'!$B$71),"")</f>
        <v/>
      </c>
      <c r="O75" s="167" t="str">
        <f>IFERROR(SUMIFS('caseload data'!Q:Q,'caseload data'!$C:$C,'custody %'!$B$71,'caseload data'!$D:$D,"TPO",'caseload data'!$B:$B,"custody")/SUMIFS('caseload data'!Q:Q,'caseload data'!$B:$B,"custody",'caseload data'!$C:$C,'custody %'!$B$71),"")</f>
        <v/>
      </c>
      <c r="P75" s="167" t="str">
        <f>IFERROR(SUMIFS('caseload data'!R:R,'caseload data'!$C:$C,'custody %'!$B$71,'caseload data'!$D:$D,"TPO",'caseload data'!$B:$B,"custody")/SUMIFS('caseload data'!R:R,'caseload data'!$B:$B,"custody",'caseload data'!$C:$C,'custody %'!$B$71),"")</f>
        <v/>
      </c>
      <c r="Q75" s="167" t="str">
        <f>IFERROR(SUMIFS('caseload data'!S:S,'caseload data'!$C:$C,'custody %'!$B$71,'caseload data'!$D:$D,"TPO",'caseload data'!$B:$B,"custody")/SUMIFS('caseload data'!S:S,'caseload data'!$B:$B,"custody",'caseload data'!$C:$C,'custody %'!$B$71),"")</f>
        <v/>
      </c>
      <c r="R75" s="167" t="str">
        <f>IFERROR(SUMIFS('caseload data'!T:T,'caseload data'!$C:$C,'custody %'!$B$71,'caseload data'!$D:$D,"TPO",'caseload data'!$B:$B,"custody")/SUMIFS('caseload data'!T:T,'caseload data'!$B:$B,"custody",'caseload data'!$C:$C,'custody %'!$B$71),"")</f>
        <v/>
      </c>
      <c r="T75" s="97" t="s">
        <v>1003</v>
      </c>
      <c r="U75" s="167" t="str">
        <f>IFERROR(SUMIFS('caseload data'!E:E,'caseload data'!$C:$C,'custody %'!$T$71,'caseload data'!$D:$D,"TPO",'caseload data'!$B:$B,"custody")/SUMIFS('caseload data'!E:E,'caseload data'!$B:$B,"custody",'caseload data'!$C:$C,'custody %'!$T$71),"")</f>
        <v/>
      </c>
      <c r="V75" s="167" t="str">
        <f>IFERROR(SUMIFS('caseload data'!F:F,'caseload data'!$C:$C,'custody %'!$T$71,'caseload data'!$D:$D,"TPO",'caseload data'!$B:$B,"custody")/SUMIFS('caseload data'!F:F,'caseload data'!$B:$B,"custody",'caseload data'!$C:$C,'custody %'!$T$71),"")</f>
        <v/>
      </c>
      <c r="W75" s="167" t="str">
        <f>IFERROR(SUMIFS('caseload data'!G:G,'caseload data'!$C:$C,'custody %'!$T$71,'caseload data'!$D:$D,"TPO",'caseload data'!$B:$B,"custody")/SUMIFS('caseload data'!G:G,'caseload data'!$B:$B,"custody",'caseload data'!$C:$C,'custody %'!$T$71),"")</f>
        <v/>
      </c>
      <c r="X75" s="167" t="str">
        <f>IFERROR(SUMIFS('caseload data'!H:H,'caseload data'!$C:$C,'custody %'!$T$71,'caseload data'!$D:$D,"TPO",'caseload data'!$B:$B,"custody")/SUMIFS('caseload data'!H:H,'caseload data'!$B:$B,"custody",'caseload data'!$C:$C,'custody %'!$T$71),"")</f>
        <v/>
      </c>
      <c r="Y75" s="167" t="str">
        <f>IFERROR(SUMIFS('caseload data'!I:I,'caseload data'!$C:$C,'custody %'!$T$71,'caseload data'!$D:$D,"TPO",'caseload data'!$B:$B,"custody")/SUMIFS('caseload data'!I:I,'caseload data'!$B:$B,"custody",'caseload data'!$C:$C,'custody %'!$T$71),"")</f>
        <v/>
      </c>
      <c r="Z75" s="167" t="str">
        <f>IFERROR(SUMIFS('caseload data'!J:J,'caseload data'!$C:$C,'custody %'!$T$71,'caseload data'!$D:$D,"TPO",'caseload data'!$B:$B,"custody")/SUMIFS('caseload data'!J:J,'caseload data'!$B:$B,"custody",'caseload data'!$C:$C,'custody %'!$T$71),"")</f>
        <v/>
      </c>
      <c r="AA75" s="167" t="str">
        <f>IFERROR(SUMIFS('caseload data'!K:K,'caseload data'!$C:$C,'custody %'!$T$71,'caseload data'!$D:$D,"TPO",'caseload data'!$B:$B,"custody")/SUMIFS('caseload data'!K:K,'caseload data'!$B:$B,"custody",'caseload data'!$C:$C,'custody %'!$T$71),"")</f>
        <v/>
      </c>
      <c r="AB75" s="167" t="str">
        <f>IFERROR(SUMIFS('caseload data'!L:L,'caseload data'!$C:$C,'custody %'!$T$71,'caseload data'!$D:$D,"TPO",'caseload data'!$B:$B,"custody")/SUMIFS('caseload data'!L:L,'caseload data'!$B:$B,"custody",'caseload data'!$C:$C,'custody %'!$T$71),"")</f>
        <v/>
      </c>
      <c r="AC75" s="167" t="str">
        <f>IFERROR(SUMIFS('caseload data'!M:M,'caseload data'!$C:$C,'custody %'!$T$71,'caseload data'!$D:$D,"TPO",'caseload data'!$B:$B,"custody")/SUMIFS('caseload data'!M:M,'caseload data'!$B:$B,"custody",'caseload data'!$C:$C,'custody %'!$T$71),"")</f>
        <v/>
      </c>
      <c r="AD75" s="167" t="str">
        <f>IFERROR(SUMIFS('caseload data'!N:N,'caseload data'!$C:$C,'custody %'!$T$71,'caseload data'!$D:$D,"TPO",'caseload data'!$B:$B,"custody")/SUMIFS('caseload data'!N:N,'caseload data'!$B:$B,"custody",'caseload data'!$C:$C,'custody %'!$T$71),"")</f>
        <v/>
      </c>
      <c r="AE75" s="167" t="str">
        <f>IFERROR(SUMIFS('caseload data'!O:O,'caseload data'!$C:$C,'custody %'!$T$71,'caseload data'!$D:$D,"TPO",'caseload data'!$B:$B,"custody")/SUMIFS('caseload data'!O:O,'caseload data'!$B:$B,"custody",'caseload data'!$C:$C,'custody %'!$T$71),"")</f>
        <v/>
      </c>
      <c r="AF75" s="167" t="str">
        <f>IFERROR(SUMIFS('caseload data'!P:P,'caseload data'!$C:$C,'custody %'!$T$71,'caseload data'!$D:$D,"TPO",'caseload data'!$B:$B,"custody")/SUMIFS('caseload data'!P:P,'caseload data'!$B:$B,"custody",'caseload data'!$C:$C,'custody %'!$T$71),"")</f>
        <v/>
      </c>
      <c r="AG75" s="167" t="str">
        <f>IFERROR(SUMIFS('caseload data'!Q:Q,'caseload data'!$C:$C,'custody %'!$T$71,'caseload data'!$D:$D,"TPO",'caseload data'!$B:$B,"custody")/SUMIFS('caseload data'!Q:Q,'caseload data'!$B:$B,"custody",'caseload data'!$C:$C,'custody %'!$T$71),"")</f>
        <v/>
      </c>
      <c r="AH75" s="167" t="str">
        <f>IFERROR(SUMIFS('caseload data'!R:R,'caseload data'!$C:$C,'custody %'!$T$71,'caseload data'!$D:$D,"TPO",'caseload data'!$B:$B,"custody")/SUMIFS('caseload data'!R:R,'caseload data'!$B:$B,"custody",'caseload data'!$C:$C,'custody %'!$T$71),"")</f>
        <v/>
      </c>
      <c r="AI75" s="167"/>
      <c r="AJ75" s="167"/>
    </row>
    <row r="76" spans="2:36" x14ac:dyDescent="0.15">
      <c r="B76" s="98" t="s">
        <v>1004</v>
      </c>
      <c r="C76" s="167" t="str">
        <f>IFERROR(SUMIFS('caseload data'!E:E,'caseload data'!$C:$C,'custody %'!$B$71,'caseload data'!$D:$D,"SPO",'caseload data'!$B:$B,"custody")/SUMIFS('caseload data'!E:E,'caseload data'!$B:$B,"custody",'caseload data'!$C:$C,'custody %'!$B$71),"")</f>
        <v/>
      </c>
      <c r="D76" s="167" t="str">
        <f>IFERROR(SUMIFS('caseload data'!F:F,'caseload data'!$C:$C,'custody %'!$B$71,'caseload data'!$D:$D,"SPO",'caseload data'!$B:$B,"custody")/SUMIFS('caseload data'!F:F,'caseload data'!$B:$B,"custody",'caseload data'!$C:$C,'custody %'!$B$71),"")</f>
        <v/>
      </c>
      <c r="E76" s="167" t="str">
        <f>IFERROR(SUMIFS('caseload data'!G:G,'caseload data'!$C:$C,'custody %'!$B$71,'caseload data'!$D:$D,"SPO",'caseload data'!$B:$B,"custody")/SUMIFS('caseload data'!G:G,'caseload data'!$B:$B,"custody",'caseload data'!$C:$C,'custody %'!$B$71),"")</f>
        <v/>
      </c>
      <c r="F76" s="167" t="str">
        <f>IFERROR(SUMIFS('caseload data'!H:H,'caseload data'!$C:$C,'custody %'!$B$71,'caseload data'!$D:$D,"SPO",'caseload data'!$B:$B,"custody")/SUMIFS('caseload data'!H:H,'caseload data'!$B:$B,"custody",'caseload data'!$C:$C,'custody %'!$B$71),"")</f>
        <v/>
      </c>
      <c r="G76" s="167" t="str">
        <f>IFERROR(SUMIFS('caseload data'!I:I,'caseload data'!$C:$C,'custody %'!$B$71,'caseload data'!$D:$D,"SPO",'caseload data'!$B:$B,"custody")/SUMIFS('caseload data'!I:I,'caseload data'!$B:$B,"custody",'caseload data'!$C:$C,'custody %'!$B$71),"")</f>
        <v/>
      </c>
      <c r="H76" s="167" t="str">
        <f>IFERROR(SUMIFS('caseload data'!J:J,'caseload data'!$C:$C,'custody %'!$B$71,'caseload data'!$D:$D,"SPO",'caseload data'!$B:$B,"custody")/SUMIFS('caseload data'!J:J,'caseload data'!$B:$B,"custody",'caseload data'!$C:$C,'custody %'!$B$71),"")</f>
        <v/>
      </c>
      <c r="I76" s="167" t="str">
        <f>IFERROR(SUMIFS('caseload data'!K:K,'caseload data'!$C:$C,'custody %'!$B$71,'caseload data'!$D:$D,"SPO",'caseload data'!$B:$B,"custody")/SUMIFS('caseload data'!K:K,'caseload data'!$B:$B,"custody",'caseload data'!$C:$C,'custody %'!$B$71),"")</f>
        <v/>
      </c>
      <c r="J76" s="167" t="str">
        <f>IFERROR(SUMIFS('caseload data'!L:L,'caseload data'!$C:$C,'custody %'!$B$71,'caseload data'!$D:$D,"SPO",'caseload data'!$B:$B,"custody")/SUMIFS('caseload data'!L:L,'caseload data'!$B:$B,"custody",'caseload data'!$C:$C,'custody %'!$B$71),"")</f>
        <v/>
      </c>
      <c r="K76" s="167" t="str">
        <f>IFERROR(SUMIFS('caseload data'!M:M,'caseload data'!$C:$C,'custody %'!$B$71,'caseload data'!$D:$D,"SPO",'caseload data'!$B:$B,"custody")/SUMIFS('caseload data'!M:M,'caseload data'!$B:$B,"custody",'caseload data'!$C:$C,'custody %'!$B$71),"")</f>
        <v/>
      </c>
      <c r="L76" s="167" t="str">
        <f>IFERROR(SUMIFS('caseload data'!N:N,'caseload data'!$C:$C,'custody %'!$B$71,'caseload data'!$D:$D,"TPO",'caseload data'!$B:$B,"custody")/SUMIFS('caseload data'!N:N,'caseload data'!$B:$B,"custody",'caseload data'!$C:$C,'custody %'!$B$71),"")</f>
        <v/>
      </c>
      <c r="M76" s="167" t="str">
        <f>IFERROR(SUMIFS('caseload data'!O:O,'caseload data'!$C:$C,'custody %'!$B$71,'caseload data'!$D:$D,"SPO",'caseload data'!$B:$B,"custody")/SUMIFS('caseload data'!O:O,'caseload data'!$B:$B,"custody",'caseload data'!$C:$C,'custody %'!$B$71),"")</f>
        <v/>
      </c>
      <c r="N76" s="167" t="str">
        <f>IFERROR(SUMIFS('caseload data'!P:P,'caseload data'!$C:$C,'custody %'!$B$71,'caseload data'!$D:$D,"SPO",'caseload data'!$B:$B,"custody")/SUMIFS('caseload data'!P:P,'caseload data'!$B:$B,"custody",'caseload data'!$C:$C,'custody %'!$B$71),"")</f>
        <v/>
      </c>
      <c r="O76" s="167" t="str">
        <f>IFERROR(SUMIFS('caseload data'!Q:Q,'caseload data'!$C:$C,'custody %'!$B$71,'caseload data'!$D:$D,"SPO",'caseload data'!$B:$B,"custody")/SUMIFS('caseload data'!Q:Q,'caseload data'!$B:$B,"custody",'caseload data'!$C:$C,'custody %'!$B$71),"")</f>
        <v/>
      </c>
      <c r="P76" s="167" t="str">
        <f>IFERROR(SUMIFS('caseload data'!R:R,'caseload data'!$C:$C,'custody %'!$B$71,'caseload data'!$D:$D,"SPO",'caseload data'!$B:$B,"custody")/SUMIFS('caseload data'!R:R,'caseload data'!$B:$B,"custody",'caseload data'!$C:$C,'custody %'!$B$71),"")</f>
        <v/>
      </c>
      <c r="Q76" s="167" t="str">
        <f>IFERROR(SUMIFS('caseload data'!S:S,'caseload data'!$C:$C,'custody %'!$B$71,'caseload data'!$D:$D,"SPO",'caseload data'!$B:$B,"custody")/SUMIFS('caseload data'!S:S,'caseload data'!$B:$B,"custody",'caseload data'!$C:$C,'custody %'!$B$71),"")</f>
        <v/>
      </c>
      <c r="R76" s="167" t="str">
        <f>IFERROR(SUMIFS('caseload data'!T:T,'caseload data'!$C:$C,'custody %'!$B$71,'caseload data'!$D:$D,"SPO",'caseload data'!$B:$B,"custody")/SUMIFS('caseload data'!T:T,'caseload data'!$B:$B,"custody",'caseload data'!$C:$C,'custody %'!$B$71),"")</f>
        <v/>
      </c>
      <c r="T76" s="98" t="s">
        <v>1004</v>
      </c>
      <c r="U76" s="167" t="str">
        <f>IFERROR(SUMIFS('caseload data'!E:E,'caseload data'!$C:$C,'custody %'!$T$71,'caseload data'!$D:$D,"SPO",'caseload data'!$B:$B,"custody")/SUMIFS('caseload data'!E:E,'caseload data'!$B:$B,"custody",'caseload data'!$C:$C,'custody %'!$T$71),"")</f>
        <v/>
      </c>
      <c r="V76" s="167" t="str">
        <f>IFERROR(SUMIFS('caseload data'!F:F,'caseload data'!$C:$C,'custody %'!$T$71,'caseload data'!$D:$D,"SPO",'caseload data'!$B:$B,"custody")/SUMIFS('caseload data'!F:F,'caseload data'!$B:$B,"custody",'caseload data'!$C:$C,'custody %'!$T$71),"")</f>
        <v/>
      </c>
      <c r="W76" s="167" t="str">
        <f>IFERROR(SUMIFS('caseload data'!G:G,'caseload data'!$C:$C,'custody %'!$T$71,'caseload data'!$D:$D,"SPO",'caseload data'!$B:$B,"custody")/SUMIFS('caseload data'!G:G,'caseload data'!$B:$B,"custody",'caseload data'!$C:$C,'custody %'!$T$71),"")</f>
        <v/>
      </c>
      <c r="X76" s="167" t="str">
        <f>IFERROR(SUMIFS('caseload data'!H:H,'caseload data'!$C:$C,'custody %'!$T$71,'caseload data'!$D:$D,"SPO",'caseload data'!$B:$B,"custody")/SUMIFS('caseload data'!H:H,'caseload data'!$B:$B,"custody",'caseload data'!$C:$C,'custody %'!$T$71),"")</f>
        <v/>
      </c>
      <c r="Y76" s="167" t="str">
        <f>IFERROR(SUMIFS('caseload data'!I:I,'caseload data'!$C:$C,'custody %'!$T$71,'caseload data'!$D:$D,"SPO",'caseload data'!$B:$B,"custody")/SUMIFS('caseload data'!I:I,'caseload data'!$B:$B,"custody",'caseload data'!$C:$C,'custody %'!$T$71),"")</f>
        <v/>
      </c>
      <c r="Z76" s="167" t="str">
        <f>IFERROR(SUMIFS('caseload data'!J:J,'caseload data'!$C:$C,'custody %'!$T$71,'caseload data'!$D:$D,"SPO",'caseload data'!$B:$B,"custody")/SUMIFS('caseload data'!J:J,'caseload data'!$B:$B,"custody",'caseload data'!$C:$C,'custody %'!$T$71),"")</f>
        <v/>
      </c>
      <c r="AA76" s="167" t="str">
        <f>IFERROR(SUMIFS('caseload data'!K:K,'caseload data'!$C:$C,'custody %'!$T$71,'caseload data'!$D:$D,"SPO",'caseload data'!$B:$B,"custody")/SUMIFS('caseload data'!K:K,'caseload data'!$B:$B,"custody",'caseload data'!$C:$C,'custody %'!$T$71),"")</f>
        <v/>
      </c>
      <c r="AB76" s="167" t="str">
        <f>IFERROR(SUMIFS('caseload data'!L:L,'caseload data'!$C:$C,'custody %'!$T$71,'caseload data'!$D:$D,"SPO",'caseload data'!$B:$B,"custody")/SUMIFS('caseload data'!L:L,'caseload data'!$B:$B,"custody",'caseload data'!$C:$C,'custody %'!$T$71),"")</f>
        <v/>
      </c>
      <c r="AC76" s="167" t="str">
        <f>IFERROR(SUMIFS('caseload data'!M:M,'caseload data'!$C:$C,'custody %'!$T$71,'caseload data'!$D:$D,"SPO",'caseload data'!$B:$B,"custody")/SUMIFS('caseload data'!M:M,'caseload data'!$B:$B,"custody",'caseload data'!$C:$C,'custody %'!$T$71),"")</f>
        <v/>
      </c>
      <c r="AD76" s="167" t="str">
        <f>IFERROR(SUMIFS('caseload data'!N:N,'caseload data'!$C:$C,'custody %'!$T$71,'caseload data'!$D:$D,"SPO",'caseload data'!$B:$B,"custody")/SUMIFS('caseload data'!N:N,'caseload data'!$B:$B,"custody",'caseload data'!$C:$C,'custody %'!$T$71),"")</f>
        <v/>
      </c>
      <c r="AE76" s="167" t="str">
        <f>IFERROR(SUMIFS('caseload data'!O:O,'caseload data'!$C:$C,'custody %'!$T$71,'caseload data'!$D:$D,"SPO",'caseload data'!$B:$B,"custody")/SUMIFS('caseload data'!O:O,'caseload data'!$B:$B,"custody",'caseload data'!$C:$C,'custody %'!$T$71),"")</f>
        <v/>
      </c>
      <c r="AF76" s="167" t="str">
        <f>IFERROR(SUMIFS('caseload data'!P:P,'caseload data'!$C:$C,'custody %'!$T$71,'caseload data'!$D:$D,"SPO",'caseload data'!$B:$B,"custody")/SUMIFS('caseload data'!P:P,'caseload data'!$B:$B,"custody",'caseload data'!$C:$C,'custody %'!$T$71),"")</f>
        <v/>
      </c>
      <c r="AG76" s="167" t="str">
        <f>IFERROR(SUMIFS('caseload data'!Q:Q,'caseload data'!$C:$C,'custody %'!$T$71,'caseload data'!$D:$D,"SPO",'caseload data'!$B:$B,"custody")/SUMIFS('caseload data'!Q:Q,'caseload data'!$B:$B,"custody",'caseload data'!$C:$C,'custody %'!$T$71),"")</f>
        <v/>
      </c>
      <c r="AH76" s="167" t="str">
        <f>IFERROR(SUMIFS('caseload data'!R:R,'caseload data'!$C:$C,'custody %'!$T$71,'caseload data'!$D:$D,"SPO",'caseload data'!$B:$B,"custody")/SUMIFS('caseload data'!R:R,'caseload data'!$B:$B,"custody",'caseload data'!$C:$C,'custody %'!$T$71),"")</f>
        <v/>
      </c>
      <c r="AI76" s="167"/>
      <c r="AJ76" s="167"/>
    </row>
    <row r="78" spans="2:36" ht="25.5" customHeight="1" x14ac:dyDescent="0.15">
      <c r="B78" s="289">
        <f>HLOOKUP($B$5,Region_Table,22,0)</f>
        <v>0</v>
      </c>
      <c r="C78" s="517" t="s">
        <v>1126</v>
      </c>
      <c r="D78" s="518"/>
      <c r="E78" s="518"/>
      <c r="F78" s="518"/>
      <c r="G78" s="518"/>
      <c r="H78" s="518"/>
      <c r="I78" s="518"/>
      <c r="J78" s="518"/>
      <c r="K78" s="518"/>
      <c r="L78" s="518"/>
      <c r="M78" s="537"/>
      <c r="N78" s="537"/>
      <c r="O78" s="538"/>
      <c r="P78" s="512">
        <f>SUMIF('caseload data'!$C:$C,'custody %'!B78,'caseload data'!V:V)</f>
        <v>0</v>
      </c>
      <c r="Q78" s="529"/>
      <c r="R78" s="530"/>
      <c r="T78" s="289">
        <f>HLOOKUP($B$5,Region_Table,23,0)</f>
        <v>0</v>
      </c>
      <c r="U78" s="517" t="s">
        <v>1126</v>
      </c>
      <c r="V78" s="518"/>
      <c r="W78" s="518"/>
      <c r="X78" s="518"/>
      <c r="Y78" s="518"/>
      <c r="Z78" s="518"/>
      <c r="AA78" s="518"/>
      <c r="AB78" s="518"/>
      <c r="AC78" s="537"/>
      <c r="AD78" s="537"/>
      <c r="AE78" s="538"/>
      <c r="AF78" s="512">
        <f>SUMIF('caseload data'!$C:$C,'custody %'!T78,'caseload data'!V:V)</f>
        <v>0</v>
      </c>
      <c r="AG78" s="529"/>
      <c r="AH78" s="530"/>
    </row>
    <row r="79" spans="2:36" x14ac:dyDescent="0.15">
      <c r="B79" s="95" t="s">
        <v>1000</v>
      </c>
      <c r="C79" s="38" t="s">
        <v>864</v>
      </c>
      <c r="D79" s="38" t="s">
        <v>865</v>
      </c>
      <c r="E79" s="38" t="s">
        <v>866</v>
      </c>
      <c r="F79" s="38" t="s">
        <v>867</v>
      </c>
      <c r="G79" s="38" t="s">
        <v>868</v>
      </c>
      <c r="H79" s="38" t="s">
        <v>869</v>
      </c>
      <c r="I79" s="38" t="s">
        <v>870</v>
      </c>
      <c r="J79" s="38" t="s">
        <v>871</v>
      </c>
      <c r="K79" s="38" t="s">
        <v>872</v>
      </c>
      <c r="L79" s="38" t="s">
        <v>873</v>
      </c>
      <c r="M79" s="38" t="s">
        <v>874</v>
      </c>
      <c r="N79" s="38" t="s">
        <v>875</v>
      </c>
      <c r="O79" s="38" t="s">
        <v>876</v>
      </c>
      <c r="P79" s="38" t="s">
        <v>877</v>
      </c>
      <c r="Q79" s="38" t="s">
        <v>878</v>
      </c>
      <c r="R79" s="38" t="s">
        <v>879</v>
      </c>
      <c r="T79" s="95" t="s">
        <v>1000</v>
      </c>
      <c r="U79" s="38" t="s">
        <v>864</v>
      </c>
      <c r="V79" s="38" t="s">
        <v>865</v>
      </c>
      <c r="W79" s="38" t="s">
        <v>866</v>
      </c>
      <c r="X79" s="38" t="s">
        <v>867</v>
      </c>
      <c r="Y79" s="38" t="s">
        <v>868</v>
      </c>
      <c r="Z79" s="38" t="s">
        <v>869</v>
      </c>
      <c r="AA79" s="38" t="s">
        <v>870</v>
      </c>
      <c r="AB79" s="38" t="s">
        <v>871</v>
      </c>
      <c r="AC79" s="38" t="s">
        <v>872</v>
      </c>
      <c r="AD79" s="38" t="s">
        <v>873</v>
      </c>
      <c r="AE79" s="38" t="s">
        <v>874</v>
      </c>
      <c r="AF79" s="38" t="s">
        <v>875</v>
      </c>
      <c r="AG79" s="38" t="s">
        <v>876</v>
      </c>
      <c r="AH79" s="38" t="s">
        <v>877</v>
      </c>
      <c r="AI79" s="38" t="s">
        <v>878</v>
      </c>
      <c r="AJ79" s="38" t="s">
        <v>879</v>
      </c>
    </row>
    <row r="80" spans="2:36" x14ac:dyDescent="0.15">
      <c r="B80" s="96" t="s">
        <v>997</v>
      </c>
      <c r="C80" s="167" t="str">
        <f>IFERROR(SUMIFS('caseload data'!E:E,'caseload data'!$C:$C,'custody %'!$B$78,'caseload data'!$D:$D,"PO",'caseload data'!$B:$B,"custody")/SUMIFS('caseload data'!E:E,'caseload data'!$B:$B,"custody",'caseload data'!$C:$C,'custody %'!$B$78),"")</f>
        <v/>
      </c>
      <c r="D80" s="167" t="str">
        <f>IFERROR(SUMIFS('caseload data'!F:F,'caseload data'!$C:$C,'custody %'!$B$78,'caseload data'!$D:$D,"PO",'caseload data'!$B:$B,"custody")/SUMIFS('caseload data'!F:F,'caseload data'!$B:$B,"custody",'caseload data'!$C:$C,'custody %'!$B$78),"")</f>
        <v/>
      </c>
      <c r="E80" s="167" t="str">
        <f>IFERROR(SUMIFS('caseload data'!G:G,'caseload data'!$C:$C,'custody %'!$B$78,'caseload data'!$D:$D,"PO",'caseload data'!$B:$B,"custody")/SUMIFS('caseload data'!G:G,'caseload data'!$B:$B,"custody",'caseload data'!$C:$C,'custody %'!$B$78),"")</f>
        <v/>
      </c>
      <c r="F80" s="167" t="str">
        <f>IFERROR(SUMIFS('caseload data'!H:H,'caseload data'!$C:$C,'custody %'!$B$78,'caseload data'!$D:$D,"PO",'caseload data'!$B:$B,"custody")/SUMIFS('caseload data'!H:H,'caseload data'!$B:$B,"custody",'caseload data'!$C:$C,'custody %'!$B$78),"")</f>
        <v/>
      </c>
      <c r="G80" s="167" t="str">
        <f>IFERROR(SUMIFS('caseload data'!I:I,'caseload data'!$C:$C,'custody %'!$B$78,'caseload data'!$D:$D,"PO",'caseload data'!$B:$B,"custody")/SUMIFS('caseload data'!I:I,'caseload data'!$B:$B,"custody",'caseload data'!$C:$C,'custody %'!$B$78),"")</f>
        <v/>
      </c>
      <c r="H80" s="167" t="str">
        <f>IFERROR(SUMIFS('caseload data'!J:J,'caseload data'!$C:$C,'custody %'!$B$78,'caseload data'!$D:$D,"PO",'caseload data'!$B:$B,"custody")/SUMIFS('caseload data'!J:J,'caseload data'!$B:$B,"custody",'caseload data'!$C:$C,'custody %'!$B$78),"")</f>
        <v/>
      </c>
      <c r="I80" s="167" t="str">
        <f>IFERROR(SUMIFS('caseload data'!K:K,'caseload data'!$C:$C,'custody %'!$B$78,'caseload data'!$D:$D,"PO",'caseload data'!$B:$B,"custody")/SUMIFS('caseload data'!K:K,'caseload data'!$B:$B,"custody",'caseload data'!$C:$C,'custody %'!$B$78),"")</f>
        <v/>
      </c>
      <c r="J80" s="167" t="str">
        <f>IFERROR(SUMIFS('caseload data'!L:L,'caseload data'!$C:$C,'custody %'!$B$78,'caseload data'!$D:$D,"PO",'caseload data'!$B:$B,"custody")/SUMIFS('caseload data'!L:L,'caseload data'!$B:$B,"custody",'caseload data'!$C:$C,'custody %'!$B$78),"")</f>
        <v/>
      </c>
      <c r="K80" s="167" t="str">
        <f>IFERROR(SUMIFS('caseload data'!M:M,'caseload data'!$C:$C,'custody %'!$B$78,'caseload data'!$D:$D,"PO",'caseload data'!$B:$B,"custody")/SUMIFS('caseload data'!M:M,'caseload data'!$B:$B,"custody",'caseload data'!$C:$C,'custody %'!$B$78),"")</f>
        <v/>
      </c>
      <c r="L80" s="167" t="str">
        <f>IFERROR(SUMIFS('caseload data'!N:N,'caseload data'!$C:$C,'custody %'!$B$78,'caseload data'!$D:$D,"PO",'caseload data'!$B:$B,"custody")/SUMIFS('caseload data'!N:N,'caseload data'!$B:$B,"custody",'caseload data'!$C:$C,'custody %'!$B$78),"")</f>
        <v/>
      </c>
      <c r="M80" s="167" t="str">
        <f>IFERROR(SUMIFS('caseload data'!O:O,'caseload data'!$C:$C,'custody %'!$B$78,'caseload data'!$D:$D,"PO",'caseload data'!$B:$B,"custody")/SUMIFS('caseload data'!O:O,'caseload data'!$B:$B,"custody",'caseload data'!$C:$C,'custody %'!$B$78),"")</f>
        <v/>
      </c>
      <c r="N80" s="167" t="str">
        <f>IFERROR(SUMIFS('caseload data'!P:P,'caseload data'!$C:$C,'custody %'!$B$78,'caseload data'!$D:$D,"PO",'caseload data'!$B:$B,"custody")/SUMIFS('caseload data'!P:P,'caseload data'!$B:$B,"custody",'caseload data'!$C:$C,'custody %'!$B$78),"")</f>
        <v/>
      </c>
      <c r="O80" s="167" t="str">
        <f>IFERROR(SUMIFS('caseload data'!Q:Q,'caseload data'!$C:$C,'custody %'!$B$78,'caseload data'!$D:$D,"PO",'caseload data'!$B:$B,"custody")/SUMIFS('caseload data'!Q:Q,'caseload data'!$B:$B,"custody",'caseload data'!$C:$C,'custody %'!$B$78),"")</f>
        <v/>
      </c>
      <c r="P80" s="167" t="str">
        <f>IFERROR(SUMIFS('caseload data'!R:R,'caseload data'!$C:$C,'custody %'!$B$78,'caseload data'!$D:$D,"PO",'caseload data'!$B:$B,"custody")/SUMIFS('caseload data'!R:R,'caseload data'!$B:$B,"custody",'caseload data'!$C:$C,'custody %'!$B$78),"")</f>
        <v/>
      </c>
      <c r="Q80" s="167" t="str">
        <f>IFERROR(SUMIFS('caseload data'!S:S,'caseload data'!$C:$C,'custody %'!$B$78,'caseload data'!$D:$D,"PO",'caseload data'!$B:$B,"custody")/SUMIFS('caseload data'!S:S,'caseload data'!$B:$B,"custody",'caseload data'!$C:$C,'custody %'!$B$78),"")</f>
        <v/>
      </c>
      <c r="R80" s="167" t="str">
        <f>IFERROR(SUMIFS('caseload data'!T:T,'caseload data'!$C:$C,'custody %'!$B$78,'caseload data'!$D:$D,"PO",'caseload data'!$B:$B,"custody")/SUMIFS('caseload data'!T:T,'caseload data'!$B:$B,"custody",'caseload data'!$C:$C,'custody %'!$B$78),"")</f>
        <v/>
      </c>
      <c r="T80" s="96" t="s">
        <v>997</v>
      </c>
      <c r="U80" s="167" t="str">
        <f>IFERROR(SUMIFS('caseload data'!E:E,'caseload data'!$C:$C,'custody %'!$T$78,'caseload data'!$D:$D,"PO",'caseload data'!$B:$B,"custody")/SUMIFS('caseload data'!E:E,'caseload data'!$B:$B,"custody",'caseload data'!$C:$C,'custody %'!$T$78),"")</f>
        <v/>
      </c>
      <c r="V80" s="167" t="str">
        <f>IFERROR(SUMIFS('caseload data'!F:F,'caseload data'!$C:$C,'custody %'!$T$78,'caseload data'!$D:$D,"PO",'caseload data'!$B:$B,"custody")/SUMIFS('caseload data'!F:F,'caseload data'!$B:$B,"custody",'caseload data'!$C:$C,'custody %'!$T$78),"")</f>
        <v/>
      </c>
      <c r="W80" s="167" t="str">
        <f>IFERROR(SUMIFS('caseload data'!G:G,'caseload data'!$C:$C,'custody %'!$T$78,'caseload data'!$D:$D,"PO",'caseload data'!$B:$B,"custody")/SUMIFS('caseload data'!G:G,'caseload data'!$B:$B,"custody",'caseload data'!$C:$C,'custody %'!$T$78),"")</f>
        <v/>
      </c>
      <c r="X80" s="167" t="str">
        <f>IFERROR(SUMIFS('caseload data'!H:H,'caseload data'!$C:$C,'custody %'!$T$78,'caseload data'!$D:$D,"PO",'caseload data'!$B:$B,"custody")/SUMIFS('caseload data'!H:H,'caseload data'!$B:$B,"custody",'caseload data'!$C:$C,'custody %'!$T$78),"")</f>
        <v/>
      </c>
      <c r="Y80" s="167" t="str">
        <f>IFERROR(SUMIFS('caseload data'!I:I,'caseload data'!$C:$C,'custody %'!$T$78,'caseload data'!$D:$D,"PO",'caseload data'!$B:$B,"custody")/SUMIFS('caseload data'!I:I,'caseload data'!$B:$B,"custody",'caseload data'!$C:$C,'custody %'!$T$78),"")</f>
        <v/>
      </c>
      <c r="Z80" s="167" t="str">
        <f>IFERROR(SUMIFS('caseload data'!J:J,'caseload data'!$C:$C,'custody %'!$T$78,'caseload data'!$D:$D,"PO",'caseload data'!$B:$B,"custody")/SUMIFS('caseload data'!J:J,'caseload data'!$B:$B,"custody",'caseload data'!$C:$C,'custody %'!$T$78),"")</f>
        <v/>
      </c>
      <c r="AA80" s="167" t="str">
        <f>IFERROR(SUMIFS('caseload data'!K:K,'caseload data'!$C:$C,'custody %'!$T$78,'caseload data'!$D:$D,"PO",'caseload data'!$B:$B,"custody")/SUMIFS('caseload data'!K:K,'caseload data'!$B:$B,"custody",'caseload data'!$C:$C,'custody %'!$T$78),"")</f>
        <v/>
      </c>
      <c r="AB80" s="167" t="str">
        <f>IFERROR(SUMIFS('caseload data'!L:L,'caseload data'!$C:$C,'custody %'!$T$78,'caseload data'!$D:$D,"PO",'caseload data'!$B:$B,"custody")/SUMIFS('caseload data'!L:L,'caseload data'!$B:$B,"custody",'caseload data'!$C:$C,'custody %'!$T$78),"")</f>
        <v/>
      </c>
      <c r="AC80" s="167" t="str">
        <f>IFERROR(SUMIFS('caseload data'!M:M,'caseload data'!$C:$C,'custody %'!$T$78,'caseload data'!$D:$D,"PO",'caseload data'!$B:$B,"custody")/SUMIFS('caseload data'!M:M,'caseload data'!$B:$B,"custody",'caseload data'!$C:$C,'custody %'!$T$78),"")</f>
        <v/>
      </c>
      <c r="AD80" s="167" t="str">
        <f>IFERROR(SUMIFS('caseload data'!N:N,'caseload data'!$C:$C,'custody %'!$T$78,'caseload data'!$D:$D,"PO",'caseload data'!$B:$B,"custody")/SUMIFS('caseload data'!N:N,'caseload data'!$B:$B,"custody",'caseload data'!$C:$C,'custody %'!$T$78),"")</f>
        <v/>
      </c>
      <c r="AE80" s="167" t="str">
        <f>IFERROR(SUMIFS('caseload data'!O:O,'caseload data'!$C:$C,'custody %'!$T$78,'caseload data'!$D:$D,"PO",'caseload data'!$B:$B,"custody")/SUMIFS('caseload data'!O:O,'caseload data'!$B:$B,"custody",'caseload data'!$C:$C,'custody %'!$T$78),"")</f>
        <v/>
      </c>
      <c r="AF80" s="167" t="str">
        <f>IFERROR(SUMIFS('caseload data'!P:P,'caseload data'!$C:$C,'custody %'!$T$78,'caseload data'!$D:$D,"PO",'caseload data'!$B:$B,"custody")/SUMIFS('caseload data'!P:P,'caseload data'!$B:$B,"custody",'caseload data'!$C:$C,'custody %'!$T$78),"")</f>
        <v/>
      </c>
      <c r="AG80" s="167" t="str">
        <f>IFERROR(SUMIFS('caseload data'!Q:Q,'caseload data'!$C:$C,'custody %'!$T$78,'caseload data'!$D:$D,"PO",'caseload data'!$B:$B,"custody")/SUMIFS('caseload data'!Q:Q,'caseload data'!$B:$B,"custody",'caseload data'!$C:$C,'custody %'!$T$78),"")</f>
        <v/>
      </c>
      <c r="AH80" s="167" t="str">
        <f>IFERROR(SUMIFS('caseload data'!R:R,'caseload data'!$C:$C,'custody %'!$T$78,'caseload data'!$D:$D,"PO",'caseload data'!$B:$B,"custody")/SUMIFS('caseload data'!R:R,'caseload data'!$B:$B,"custody",'caseload data'!$C:$C,'custody %'!$T$78),"")</f>
        <v/>
      </c>
      <c r="AI80" s="167"/>
      <c r="AJ80" s="167"/>
    </row>
    <row r="81" spans="2:36" x14ac:dyDescent="0.15">
      <c r="B81" s="97" t="s">
        <v>1002</v>
      </c>
      <c r="C81" s="167" t="str">
        <f>IFERROR(SUMIFS('caseload data'!E:E,'caseload data'!$C:$C,'custody %'!$B$78,'caseload data'!$D:$D,"PSO",'caseload data'!$B:$B,"custody")/SUMIFS('caseload data'!E:E,'caseload data'!$B:$B,"custody",'caseload data'!$C:$C,'custody %'!$B$78),"")</f>
        <v/>
      </c>
      <c r="D81" s="167" t="str">
        <f>IFERROR(SUMIFS('caseload data'!F:F,'caseload data'!$C:$C,'custody %'!$B$78,'caseload data'!$D:$D,"PSO",'caseload data'!$B:$B,"custody")/SUMIFS('caseload data'!F:F,'caseload data'!$B:$B,"custody",'caseload data'!$C:$C,'custody %'!$B$78),"")</f>
        <v/>
      </c>
      <c r="E81" s="167" t="str">
        <f>IFERROR(SUMIFS('caseload data'!G:G,'caseload data'!$C:$C,'custody %'!$B$78,'caseload data'!$D:$D,"PSO",'caseload data'!$B:$B,"custody")/SUMIFS('caseload data'!G:G,'caseload data'!$B:$B,"custody",'caseload data'!$C:$C,'custody %'!$B$78),"")</f>
        <v/>
      </c>
      <c r="F81" s="167" t="str">
        <f>IFERROR(SUMIFS('caseload data'!H:H,'caseload data'!$C:$C,'custody %'!$B$78,'caseload data'!$D:$D,"PSO",'caseload data'!$B:$B,"custody")/SUMIFS('caseload data'!H:H,'caseload data'!$B:$B,"custody",'caseload data'!$C:$C,'custody %'!$B$78),"")</f>
        <v/>
      </c>
      <c r="G81" s="167" t="str">
        <f>IFERROR(SUMIFS('caseload data'!I:I,'caseload data'!$C:$C,'custody %'!$B$78,'caseload data'!$D:$D,"PSO",'caseload data'!$B:$B,"custody")/SUMIFS('caseload data'!I:I,'caseload data'!$B:$B,"custody",'caseload data'!$C:$C,'custody %'!$B$78),"")</f>
        <v/>
      </c>
      <c r="H81" s="167" t="str">
        <f>IFERROR(SUMIFS('caseload data'!J:J,'caseload data'!$C:$C,'custody %'!$B$78,'caseload data'!$D:$D,"PSO",'caseload data'!$B:$B,"custody")/SUMIFS('caseload data'!J:J,'caseload data'!$B:$B,"custody",'caseload data'!$C:$C,'custody %'!$B$78),"")</f>
        <v/>
      </c>
      <c r="I81" s="167" t="str">
        <f>IFERROR(SUMIFS('caseload data'!K:K,'caseload data'!$C:$C,'custody %'!$B$78,'caseload data'!$D:$D,"PSO",'caseload data'!$B:$B,"custody")/SUMIFS('caseload data'!K:K,'caseload data'!$B:$B,"custody",'caseload data'!$C:$C,'custody %'!$B$78),"")</f>
        <v/>
      </c>
      <c r="J81" s="167" t="str">
        <f>IFERROR(SUMIFS('caseload data'!L:L,'caseload data'!$C:$C,'custody %'!$B$78,'caseload data'!$D:$D,"PSO",'caseload data'!$B:$B,"custody")/SUMIFS('caseload data'!L:L,'caseload data'!$B:$B,"custody",'caseload data'!$C:$C,'custody %'!$B$78),"")</f>
        <v/>
      </c>
      <c r="K81" s="167" t="str">
        <f>IFERROR(SUMIFS('caseload data'!M:M,'caseload data'!$C:$C,'custody %'!$B$78,'caseload data'!$D:$D,"PSO",'caseload data'!$B:$B,"custody")/SUMIFS('caseload data'!M:M,'caseload data'!$B:$B,"custody",'caseload data'!$C:$C,'custody %'!$B$78),"")</f>
        <v/>
      </c>
      <c r="L81" s="167" t="str">
        <f>IFERROR(SUMIFS('caseload data'!N:N,'caseload data'!$C:$C,'custody %'!$B$78,'caseload data'!$D:$D,"PSO",'caseload data'!$B:$B,"custody")/SUMIFS('caseload data'!N:N,'caseload data'!$B:$B,"custody",'caseload data'!$C:$C,'custody %'!$B$78),"")</f>
        <v/>
      </c>
      <c r="M81" s="167" t="str">
        <f>IFERROR(SUMIFS('caseload data'!O:O,'caseload data'!$C:$C,'custody %'!$B$78,'caseload data'!$D:$D,"PSO",'caseload data'!$B:$B,"custody")/SUMIFS('caseload data'!O:O,'caseload data'!$B:$B,"custody",'caseload data'!$C:$C,'custody %'!$B$78),"")</f>
        <v/>
      </c>
      <c r="N81" s="167" t="str">
        <f>IFERROR(SUMIFS('caseload data'!P:P,'caseload data'!$C:$C,'custody %'!$B$78,'caseload data'!$D:$D,"PSO",'caseload data'!$B:$B,"custody")/SUMIFS('caseload data'!P:P,'caseload data'!$B:$B,"custody",'caseload data'!$C:$C,'custody %'!$B$78),"")</f>
        <v/>
      </c>
      <c r="O81" s="167" t="str">
        <f>IFERROR(SUMIFS('caseload data'!Q:Q,'caseload data'!$C:$C,'custody %'!$B$78,'caseload data'!$D:$D,"PSO",'caseload data'!$B:$B,"custody")/SUMIFS('caseload data'!Q:Q,'caseload data'!$B:$B,"custody",'caseload data'!$C:$C,'custody %'!$B$78),"")</f>
        <v/>
      </c>
      <c r="P81" s="167" t="str">
        <f>IFERROR(SUMIFS('caseload data'!R:R,'caseload data'!$C:$C,'custody %'!$B$78,'caseload data'!$D:$D,"PSO",'caseload data'!$B:$B,"custody")/SUMIFS('caseload data'!R:R,'caseload data'!$B:$B,"custody",'caseload data'!$C:$C,'custody %'!$B$78),"")</f>
        <v/>
      </c>
      <c r="Q81" s="167" t="str">
        <f>IFERROR(SUMIFS('caseload data'!S:S,'caseload data'!$C:$C,'custody %'!$B$78,'caseload data'!$D:$D,"PSO",'caseload data'!$B:$B,"custody")/SUMIFS('caseload data'!S:S,'caseload data'!$B:$B,"custody",'caseload data'!$C:$C,'custody %'!$B$78),"")</f>
        <v/>
      </c>
      <c r="R81" s="167" t="str">
        <f>IFERROR(SUMIFS('caseload data'!T:T,'caseload data'!$C:$C,'custody %'!$B$78,'caseload data'!$D:$D,"PSO",'caseload data'!$B:$B,"custody")/SUMIFS('caseload data'!T:T,'caseload data'!$B:$B,"custody",'caseload data'!$C:$C,'custody %'!$B$78),"")</f>
        <v/>
      </c>
      <c r="T81" s="97" t="s">
        <v>1002</v>
      </c>
      <c r="U81" s="167" t="str">
        <f>IFERROR(SUMIFS('caseload data'!E:E,'caseload data'!$C:$C,'custody %'!$T$78,'caseload data'!$D:$D,"PSO",'caseload data'!$B:$B,"custody")/SUMIFS('caseload data'!E:E,'caseload data'!$B:$B,"custody",'caseload data'!$C:$C,'custody %'!$T$78),"")</f>
        <v/>
      </c>
      <c r="V81" s="167" t="str">
        <f>IFERROR(SUMIFS('caseload data'!F:F,'caseload data'!$C:$C,'custody %'!$T$78,'caseload data'!$D:$D,"PSO",'caseload data'!$B:$B,"custody")/SUMIFS('caseload data'!F:F,'caseload data'!$B:$B,"custody",'caseload data'!$C:$C,'custody %'!$T$78),"")</f>
        <v/>
      </c>
      <c r="W81" s="167" t="str">
        <f>IFERROR(SUMIFS('caseload data'!G:G,'caseload data'!$C:$C,'custody %'!$T$78,'caseload data'!$D:$D,"PSO",'caseload data'!$B:$B,"custody")/SUMIFS('caseload data'!G:G,'caseload data'!$B:$B,"custody",'caseload data'!$C:$C,'custody %'!$T$78),"")</f>
        <v/>
      </c>
      <c r="X81" s="167" t="str">
        <f>IFERROR(SUMIFS('caseload data'!H:H,'caseload data'!$C:$C,'custody %'!$T$78,'caseload data'!$D:$D,"PSO",'caseload data'!$B:$B,"custody")/SUMIFS('caseload data'!H:H,'caseload data'!$B:$B,"custody",'caseload data'!$C:$C,'custody %'!$T$78),"")</f>
        <v/>
      </c>
      <c r="Y81" s="167" t="str">
        <f>IFERROR(SUMIFS('caseload data'!I:I,'caseload data'!$C:$C,'custody %'!$T$78,'caseload data'!$D:$D,"PSO",'caseload data'!$B:$B,"custody")/SUMIFS('caseload data'!I:I,'caseload data'!$B:$B,"custody",'caseload data'!$C:$C,'custody %'!$T$78),"")</f>
        <v/>
      </c>
      <c r="Z81" s="167" t="str">
        <f>IFERROR(SUMIFS('caseload data'!J:J,'caseload data'!$C:$C,'custody %'!$T$78,'caseload data'!$D:$D,"PSO",'caseload data'!$B:$B,"custody")/SUMIFS('caseload data'!J:J,'caseload data'!$B:$B,"custody",'caseload data'!$C:$C,'custody %'!$T$78),"")</f>
        <v/>
      </c>
      <c r="AA81" s="167" t="str">
        <f>IFERROR(SUMIFS('caseload data'!K:K,'caseload data'!$C:$C,'custody %'!$T$78,'caseload data'!$D:$D,"PSO",'caseload data'!$B:$B,"custody")/SUMIFS('caseload data'!K:K,'caseload data'!$B:$B,"custody",'caseload data'!$C:$C,'custody %'!$T$78),"")</f>
        <v/>
      </c>
      <c r="AB81" s="167" t="str">
        <f>IFERROR(SUMIFS('caseload data'!L:L,'caseload data'!$C:$C,'custody %'!$T$78,'caseload data'!$D:$D,"PSO",'caseload data'!$B:$B,"custody")/SUMIFS('caseload data'!L:L,'caseload data'!$B:$B,"custody",'caseload data'!$C:$C,'custody %'!$T$78),"")</f>
        <v/>
      </c>
      <c r="AC81" s="167" t="str">
        <f>IFERROR(SUMIFS('caseload data'!M:M,'caseload data'!$C:$C,'custody %'!$T$78,'caseload data'!$D:$D,"PSO",'caseload data'!$B:$B,"custody")/SUMIFS('caseload data'!M:M,'caseload data'!$B:$B,"custody",'caseload data'!$C:$C,'custody %'!$T$78),"")</f>
        <v/>
      </c>
      <c r="AD81" s="167" t="str">
        <f>IFERROR(SUMIFS('caseload data'!N:N,'caseload data'!$C:$C,'custody %'!$T$78,'caseload data'!$D:$D,"PSO",'caseload data'!$B:$B,"custody")/SUMIFS('caseload data'!N:N,'caseload data'!$B:$B,"custody",'caseload data'!$C:$C,'custody %'!$T$78),"")</f>
        <v/>
      </c>
      <c r="AE81" s="167" t="str">
        <f>IFERROR(SUMIFS('caseload data'!O:O,'caseload data'!$C:$C,'custody %'!$T$78,'caseload data'!$D:$D,"PSO",'caseload data'!$B:$B,"custody")/SUMIFS('caseload data'!O:O,'caseload data'!$B:$B,"custody",'caseload data'!$C:$C,'custody %'!$T$78),"")</f>
        <v/>
      </c>
      <c r="AF81" s="167" t="str">
        <f>IFERROR(SUMIFS('caseload data'!P:P,'caseload data'!$C:$C,'custody %'!$T$78,'caseload data'!$D:$D,"PSO",'caseload data'!$B:$B,"custody")/SUMIFS('caseload data'!P:P,'caseload data'!$B:$B,"custody",'caseload data'!$C:$C,'custody %'!$T$78),"")</f>
        <v/>
      </c>
      <c r="AG81" s="167" t="str">
        <f>IFERROR(SUMIFS('caseload data'!Q:Q,'caseload data'!$C:$C,'custody %'!$T$78,'caseload data'!$D:$D,"PSO",'caseload data'!$B:$B,"custody")/SUMIFS('caseload data'!Q:Q,'caseload data'!$B:$B,"custody",'caseload data'!$C:$C,'custody %'!$T$78),"")</f>
        <v/>
      </c>
      <c r="AH81" s="167" t="str">
        <f>IFERROR(SUMIFS('caseload data'!R:R,'caseload data'!$C:$C,'custody %'!$T$78,'caseload data'!$D:$D,"PSO",'caseload data'!$B:$B,"custody")/SUMIFS('caseload data'!R:R,'caseload data'!$B:$B,"custody",'caseload data'!$C:$C,'custody %'!$T$78),"")</f>
        <v/>
      </c>
      <c r="AI81" s="167"/>
      <c r="AJ81" s="167"/>
    </row>
    <row r="82" spans="2:36" x14ac:dyDescent="0.15">
      <c r="B82" s="97" t="s">
        <v>1003</v>
      </c>
      <c r="C82" s="167" t="str">
        <f>IFERROR(SUMIFS('caseload data'!E:E,'caseload data'!$C:$C,'custody %'!$B$78,'caseload data'!$D:$D,"TPO",'caseload data'!$B:$B,"custody")/SUMIFS('caseload data'!E:E,'caseload data'!$B:$B,"custody",'caseload data'!$C:$C,'custody %'!$B$78),"")</f>
        <v/>
      </c>
      <c r="D82" s="167" t="str">
        <f>IFERROR(SUMIFS('caseload data'!F:F,'caseload data'!$C:$C,'custody %'!$B$78,'caseload data'!$D:$D,"TPO",'caseload data'!$B:$B,"custody")/SUMIFS('caseload data'!F:F,'caseload data'!$B:$B,"custody",'caseload data'!$C:$C,'custody %'!$B$78),"")</f>
        <v/>
      </c>
      <c r="E82" s="167" t="str">
        <f>IFERROR(SUMIFS('caseload data'!G:G,'caseload data'!$C:$C,'custody %'!$B$78,'caseload data'!$D:$D,"TPO",'caseload data'!$B:$B,"custody")/SUMIFS('caseload data'!G:G,'caseload data'!$B:$B,"custody",'caseload data'!$C:$C,'custody %'!$B$78),"")</f>
        <v/>
      </c>
      <c r="F82" s="167" t="str">
        <f>IFERROR(SUMIFS('caseload data'!H:H,'caseload data'!$C:$C,'custody %'!$B$78,'caseload data'!$D:$D,"TPO",'caseload data'!$B:$B,"custody")/SUMIFS('caseload data'!H:H,'caseload data'!$B:$B,"custody",'caseload data'!$C:$C,'custody %'!$B$78),"")</f>
        <v/>
      </c>
      <c r="G82" s="167" t="str">
        <f>IFERROR(SUMIFS('caseload data'!I:I,'caseload data'!$C:$C,'custody %'!$B$78,'caseload data'!$D:$D,"TPO",'caseload data'!$B:$B,"custody")/SUMIFS('caseload data'!I:I,'caseload data'!$B:$B,"custody",'caseload data'!$C:$C,'custody %'!$B$78),"")</f>
        <v/>
      </c>
      <c r="H82" s="167" t="str">
        <f>IFERROR(SUMIFS('caseload data'!J:J,'caseload data'!$C:$C,'custody %'!$B$78,'caseload data'!$D:$D,"TPO",'caseload data'!$B:$B,"custody")/SUMIFS('caseload data'!J:J,'caseload data'!$B:$B,"custody",'caseload data'!$C:$C,'custody %'!$B$78),"")</f>
        <v/>
      </c>
      <c r="I82" s="167" t="str">
        <f>IFERROR(SUMIFS('caseload data'!K:K,'caseload data'!$C:$C,'custody %'!$B$78,'caseload data'!$D:$D,"TPO",'caseload data'!$B:$B,"custody")/SUMIFS('caseload data'!K:K,'caseload data'!$B:$B,"custody",'caseload data'!$C:$C,'custody %'!$B$78),"")</f>
        <v/>
      </c>
      <c r="J82" s="167" t="str">
        <f>IFERROR(SUMIFS('caseload data'!L:L,'caseload data'!$C:$C,'custody %'!$B$78,'caseload data'!$D:$D,"TPO",'caseload data'!$B:$B,"custody")/SUMIFS('caseload data'!L:L,'caseload data'!$B:$B,"custody",'caseload data'!$C:$C,'custody %'!$B$78),"")</f>
        <v/>
      </c>
      <c r="K82" s="167" t="str">
        <f>IFERROR(SUMIFS('caseload data'!M:M,'caseload data'!$C:$C,'custody %'!$B$78,'caseload data'!$D:$D,"TPO",'caseload data'!$B:$B,"custody")/SUMIFS('caseload data'!M:M,'caseload data'!$B:$B,"custody",'caseload data'!$C:$C,'custody %'!$B$78),"")</f>
        <v/>
      </c>
      <c r="L82" s="167" t="str">
        <f>IFERROR(SUMIFS('caseload data'!N:N,'caseload data'!$C:$C,'custody %'!$B$78,'caseload data'!$D:$D,"TPO",'caseload data'!$B:$B,"custody")/SUMIFS('caseload data'!N:N,'caseload data'!$B:$B,"custody",'caseload data'!$C:$C,'custody %'!$B$78),"")</f>
        <v/>
      </c>
      <c r="M82" s="167" t="str">
        <f>IFERROR(SUMIFS('caseload data'!O:O,'caseload data'!$C:$C,'custody %'!$B$78,'caseload data'!$D:$D,"TPO",'caseload data'!$B:$B,"custody")/SUMIFS('caseload data'!O:O,'caseload data'!$B:$B,"custody",'caseload data'!$C:$C,'custody %'!$B$78),"")</f>
        <v/>
      </c>
      <c r="N82" s="167" t="str">
        <f>IFERROR(SUMIFS('caseload data'!P:P,'caseload data'!$C:$C,'custody %'!$B$78,'caseload data'!$D:$D,"TPO",'caseload data'!$B:$B,"custody")/SUMIFS('caseload data'!P:P,'caseload data'!$B:$B,"custody",'caseload data'!$C:$C,'custody %'!$B$78),"")</f>
        <v/>
      </c>
      <c r="O82" s="167" t="str">
        <f>IFERROR(SUMIFS('caseload data'!Q:Q,'caseload data'!$C:$C,'custody %'!$B$78,'caseload data'!$D:$D,"TPO",'caseload data'!$B:$B,"custody")/SUMIFS('caseload data'!Q:Q,'caseload data'!$B:$B,"custody",'caseload data'!$C:$C,'custody %'!$B$78),"")</f>
        <v/>
      </c>
      <c r="P82" s="167" t="str">
        <f>IFERROR(SUMIFS('caseload data'!R:R,'caseload data'!$C:$C,'custody %'!$B$78,'caseload data'!$D:$D,"TPO",'caseload data'!$B:$B,"custody")/SUMIFS('caseload data'!R:R,'caseload data'!$B:$B,"custody",'caseload data'!$C:$C,'custody %'!$B$78),"")</f>
        <v/>
      </c>
      <c r="Q82" s="167" t="str">
        <f>IFERROR(SUMIFS('caseload data'!S:S,'caseload data'!$C:$C,'custody %'!$B$78,'caseload data'!$D:$D,"TPO",'caseload data'!$B:$B,"custody")/SUMIFS('caseload data'!S:S,'caseload data'!$B:$B,"custody",'caseload data'!$C:$C,'custody %'!$B$78),"")</f>
        <v/>
      </c>
      <c r="R82" s="167" t="str">
        <f>IFERROR(SUMIFS('caseload data'!T:T,'caseload data'!$C:$C,'custody %'!$B$78,'caseload data'!$D:$D,"TPO",'caseload data'!$B:$B,"custody")/SUMIFS('caseload data'!T:T,'caseload data'!$B:$B,"custody",'caseload data'!$C:$C,'custody %'!$B$78),"")</f>
        <v/>
      </c>
      <c r="T82" s="97" t="s">
        <v>1003</v>
      </c>
      <c r="U82" s="167" t="str">
        <f>IFERROR(SUMIFS('caseload data'!E:E,'caseload data'!$C:$C,'custody %'!$T$78,'caseload data'!$D:$D,"TPO",'caseload data'!$B:$B,"custody")/SUMIFS('caseload data'!E:E,'caseload data'!$B:$B,"custody",'caseload data'!$C:$C,'custody %'!$T$78),"")</f>
        <v/>
      </c>
      <c r="V82" s="167" t="str">
        <f>IFERROR(SUMIFS('caseload data'!F:F,'caseload data'!$C:$C,'custody %'!$T$78,'caseload data'!$D:$D,"TPO",'caseload data'!$B:$B,"custody")/SUMIFS('caseload data'!F:F,'caseload data'!$B:$B,"custody",'caseload data'!$C:$C,'custody %'!$T$78),"")</f>
        <v/>
      </c>
      <c r="W82" s="167" t="str">
        <f>IFERROR(SUMIFS('caseload data'!G:G,'caseload data'!$C:$C,'custody %'!$T$78,'caseload data'!$D:$D,"TPO",'caseload data'!$B:$B,"custody")/SUMIFS('caseload data'!G:G,'caseload data'!$B:$B,"custody",'caseload data'!$C:$C,'custody %'!$T$78),"")</f>
        <v/>
      </c>
      <c r="X82" s="167" t="str">
        <f>IFERROR(SUMIFS('caseload data'!H:H,'caseload data'!$C:$C,'custody %'!$T$78,'caseload data'!$D:$D,"TPO",'caseload data'!$B:$B,"custody")/SUMIFS('caseload data'!H:H,'caseload data'!$B:$B,"custody",'caseload data'!$C:$C,'custody %'!$T$78),"")</f>
        <v/>
      </c>
      <c r="Y82" s="167" t="str">
        <f>IFERROR(SUMIFS('caseload data'!I:I,'caseload data'!$C:$C,'custody %'!$T$78,'caseload data'!$D:$D,"TPO",'caseload data'!$B:$B,"custody")/SUMIFS('caseload data'!I:I,'caseload data'!$B:$B,"custody",'caseload data'!$C:$C,'custody %'!$T$78),"")</f>
        <v/>
      </c>
      <c r="Z82" s="167" t="str">
        <f>IFERROR(SUMIFS('caseload data'!J:J,'caseload data'!$C:$C,'custody %'!$T$78,'caseload data'!$D:$D,"TPO",'caseload data'!$B:$B,"custody")/SUMIFS('caseload data'!J:J,'caseload data'!$B:$B,"custody",'caseload data'!$C:$C,'custody %'!$T$78),"")</f>
        <v/>
      </c>
      <c r="AA82" s="167" t="str">
        <f>IFERROR(SUMIFS('caseload data'!K:K,'caseload data'!$C:$C,'custody %'!$T$78,'caseload data'!$D:$D,"TPO",'caseload data'!$B:$B,"custody")/SUMIFS('caseload data'!K:K,'caseload data'!$B:$B,"custody",'caseload data'!$C:$C,'custody %'!$T$78),"")</f>
        <v/>
      </c>
      <c r="AB82" s="167" t="str">
        <f>IFERROR(SUMIFS('caseload data'!L:L,'caseload data'!$C:$C,'custody %'!$T$78,'caseload data'!$D:$D,"TPO",'caseload data'!$B:$B,"custody")/SUMIFS('caseload data'!L:L,'caseload data'!$B:$B,"custody",'caseload data'!$C:$C,'custody %'!$T$78),"")</f>
        <v/>
      </c>
      <c r="AC82" s="167" t="str">
        <f>IFERROR(SUMIFS('caseload data'!M:M,'caseload data'!$C:$C,'custody %'!$T$78,'caseload data'!$D:$D,"TPO",'caseload data'!$B:$B,"custody")/SUMIFS('caseload data'!M:M,'caseload data'!$B:$B,"custody",'caseload data'!$C:$C,'custody %'!$T$78),"")</f>
        <v/>
      </c>
      <c r="AD82" s="167" t="str">
        <f>IFERROR(SUMIFS('caseload data'!N:N,'caseload data'!$C:$C,'custody %'!$T$78,'caseload data'!$D:$D,"TPO",'caseload data'!$B:$B,"custody")/SUMIFS('caseload data'!N:N,'caseload data'!$B:$B,"custody",'caseload data'!$C:$C,'custody %'!$T$78),"")</f>
        <v/>
      </c>
      <c r="AE82" s="167" t="str">
        <f>IFERROR(SUMIFS('caseload data'!O:O,'caseload data'!$C:$C,'custody %'!$T$78,'caseload data'!$D:$D,"TPO",'caseload data'!$B:$B,"custody")/SUMIFS('caseload data'!O:O,'caseload data'!$B:$B,"custody",'caseload data'!$C:$C,'custody %'!$T$78),"")</f>
        <v/>
      </c>
      <c r="AF82" s="167" t="str">
        <f>IFERROR(SUMIFS('caseload data'!P:P,'caseload data'!$C:$C,'custody %'!$T$78,'caseload data'!$D:$D,"TPO",'caseload data'!$B:$B,"custody")/SUMIFS('caseload data'!P:P,'caseload data'!$B:$B,"custody",'caseload data'!$C:$C,'custody %'!$T$78),"")</f>
        <v/>
      </c>
      <c r="AG82" s="167" t="str">
        <f>IFERROR(SUMIFS('caseload data'!Q:Q,'caseload data'!$C:$C,'custody %'!$T$78,'caseload data'!$D:$D,"TPO",'caseload data'!$B:$B,"custody")/SUMIFS('caseload data'!Q:Q,'caseload data'!$B:$B,"custody",'caseload data'!$C:$C,'custody %'!$T$78),"")</f>
        <v/>
      </c>
      <c r="AH82" s="167" t="str">
        <f>IFERROR(SUMIFS('caseload data'!R:R,'caseload data'!$C:$C,'custody %'!$T$78,'caseload data'!$D:$D,"TPO",'caseload data'!$B:$B,"custody")/SUMIFS('caseload data'!R:R,'caseload data'!$B:$B,"custody",'caseload data'!$C:$C,'custody %'!$T$78),"")</f>
        <v/>
      </c>
      <c r="AI82" s="167"/>
      <c r="AJ82" s="167"/>
    </row>
    <row r="83" spans="2:36" x14ac:dyDescent="0.15">
      <c r="B83" s="98" t="s">
        <v>1004</v>
      </c>
      <c r="C83" s="167" t="str">
        <f>IFERROR(SUMIFS('caseload data'!E:E,'caseload data'!$C:$C,'custody %'!$B$78,'caseload data'!$D:$D,"SPO",'caseload data'!$B:$B,"custody")/SUMIFS('caseload data'!E:E,'caseload data'!$B:$B,"custody",'caseload data'!$C:$C,'custody %'!$B$78),"")</f>
        <v/>
      </c>
      <c r="D83" s="167" t="str">
        <f>IFERROR(SUMIFS('caseload data'!F:F,'caseload data'!$C:$C,'custody %'!$B$78,'caseload data'!$D:$D,"SPO",'caseload data'!$B:$B,"custody")/SUMIFS('caseload data'!F:F,'caseload data'!$B:$B,"custody",'caseload data'!$C:$C,'custody %'!$B$78),"")</f>
        <v/>
      </c>
      <c r="E83" s="167" t="str">
        <f>IFERROR(SUMIFS('caseload data'!G:G,'caseload data'!$C:$C,'custody %'!$B$78,'caseload data'!$D:$D,"SPO",'caseload data'!$B:$B,"custody")/SUMIFS('caseload data'!G:G,'caseload data'!$B:$B,"custody",'caseload data'!$C:$C,'custody %'!$B$78),"")</f>
        <v/>
      </c>
      <c r="F83" s="167" t="str">
        <f>IFERROR(SUMIFS('caseload data'!H:H,'caseload data'!$C:$C,'custody %'!$B$78,'caseload data'!$D:$D,"SPO",'caseload data'!$B:$B,"custody")/SUMIFS('caseload data'!H:H,'caseload data'!$B:$B,"custody",'caseload data'!$C:$C,'custody %'!$B$78),"")</f>
        <v/>
      </c>
      <c r="G83" s="167" t="str">
        <f>IFERROR(SUMIFS('caseload data'!I:I,'caseload data'!$C:$C,'custody %'!$B$78,'caseload data'!$D:$D,"SPO",'caseload data'!$B:$B,"custody")/SUMIFS('caseload data'!I:I,'caseload data'!$B:$B,"custody",'caseload data'!$C:$C,'custody %'!$B$78),"")</f>
        <v/>
      </c>
      <c r="H83" s="167" t="str">
        <f>IFERROR(SUMIFS('caseload data'!J:J,'caseload data'!$C:$C,'custody %'!$B$78,'caseload data'!$D:$D,"SPO",'caseload data'!$B:$B,"custody")/SUMIFS('caseload data'!J:J,'caseload data'!$B:$B,"custody",'caseload data'!$C:$C,'custody %'!$B$78),"")</f>
        <v/>
      </c>
      <c r="I83" s="167" t="str">
        <f>IFERROR(SUMIFS('caseload data'!K:K,'caseload data'!$C:$C,'custody %'!$B$78,'caseload data'!$D:$D,"SPO",'caseload data'!$B:$B,"custody")/SUMIFS('caseload data'!K:K,'caseload data'!$B:$B,"custody",'caseload data'!$C:$C,'custody %'!$B$78),"")</f>
        <v/>
      </c>
      <c r="J83" s="167" t="str">
        <f>IFERROR(SUMIFS('caseload data'!L:L,'caseload data'!$C:$C,'custody %'!$B$78,'caseload data'!$D:$D,"SPO",'caseload data'!$B:$B,"custody")/SUMIFS('caseload data'!L:L,'caseload data'!$B:$B,"custody",'caseload data'!$C:$C,'custody %'!$B$78),"")</f>
        <v/>
      </c>
      <c r="K83" s="167" t="str">
        <f>IFERROR(SUMIFS('caseload data'!M:M,'caseload data'!$C:$C,'custody %'!$B$78,'caseload data'!$D:$D,"SPO",'caseload data'!$B:$B,"custody")/SUMIFS('caseload data'!M:M,'caseload data'!$B:$B,"custody",'caseload data'!$C:$C,'custody %'!$B$78),"")</f>
        <v/>
      </c>
      <c r="L83" s="167" t="str">
        <f>IFERROR(SUMIFS('caseload data'!N:N,'caseload data'!$C:$C,'custody %'!$B$78,'caseload data'!$D:$D,"SPO",'caseload data'!$B:$B,"custody")/SUMIFS('caseload data'!N:N,'caseload data'!$B:$B,"custody",'caseload data'!$C:$C,'custody %'!$B$78),"")</f>
        <v/>
      </c>
      <c r="M83" s="167" t="str">
        <f>IFERROR(SUMIFS('caseload data'!O:O,'caseload data'!$C:$C,'custody %'!$B$78,'caseload data'!$D:$D,"SPO",'caseload data'!$B:$B,"custody")/SUMIFS('caseload data'!O:O,'caseload data'!$B:$B,"custody",'caseload data'!$C:$C,'custody %'!$B$78),"")</f>
        <v/>
      </c>
      <c r="N83" s="167" t="str">
        <f>IFERROR(SUMIFS('caseload data'!P:P,'caseload data'!$C:$C,'custody %'!$B$78,'caseload data'!$D:$D,"SPO",'caseload data'!$B:$B,"custody")/SUMIFS('caseload data'!P:P,'caseload data'!$B:$B,"custody",'caseload data'!$C:$C,'custody %'!$B$78),"")</f>
        <v/>
      </c>
      <c r="O83" s="167" t="str">
        <f>IFERROR(SUMIFS('caseload data'!Q:Q,'caseload data'!$C:$C,'custody %'!$B$78,'caseload data'!$D:$D,"SPO",'caseload data'!$B:$B,"custody")/SUMIFS('caseload data'!Q:Q,'caseload data'!$B:$B,"custody",'caseload data'!$C:$C,'custody %'!$B$78),"")</f>
        <v/>
      </c>
      <c r="P83" s="167" t="str">
        <f>IFERROR(SUMIFS('caseload data'!R:R,'caseload data'!$C:$C,'custody %'!$B$78,'caseload data'!$D:$D,"SPO",'caseload data'!$B:$B,"custody")/SUMIFS('caseload data'!R:R,'caseload data'!$B:$B,"custody",'caseload data'!$C:$C,'custody %'!$B$78),"")</f>
        <v/>
      </c>
      <c r="Q83" s="167" t="str">
        <f>IFERROR(SUMIFS('caseload data'!S:S,'caseload data'!$C:$C,'custody %'!$B$78,'caseload data'!$D:$D,"SPO",'caseload data'!$B:$B,"custody")/SUMIFS('caseload data'!S:S,'caseload data'!$B:$B,"custody",'caseload data'!$C:$C,'custody %'!$B$78),"")</f>
        <v/>
      </c>
      <c r="R83" s="167" t="str">
        <f>IFERROR(SUMIFS('caseload data'!T:T,'caseload data'!$C:$C,'custody %'!$B$78,'caseload data'!$D:$D,"SPO",'caseload data'!$B:$B,"custody")/SUMIFS('caseload data'!T:T,'caseload data'!$B:$B,"custody",'caseload data'!$C:$C,'custody %'!$B$78),"")</f>
        <v/>
      </c>
      <c r="T83" s="98" t="s">
        <v>1004</v>
      </c>
      <c r="U83" s="167" t="str">
        <f>IFERROR(SUMIFS('caseload data'!E:E,'caseload data'!$C:$C,'custody %'!$T$78,'caseload data'!$D:$D,"SPO",'caseload data'!$B:$B,"custody")/SUMIFS('caseload data'!E:E,'caseload data'!$B:$B,"custody",'caseload data'!$C:$C,'custody %'!$T$78),"")</f>
        <v/>
      </c>
      <c r="V83" s="167" t="str">
        <f>IFERROR(SUMIFS('caseload data'!F:F,'caseload data'!$C:$C,'custody %'!$T$78,'caseload data'!$D:$D,"SPO",'caseload data'!$B:$B,"custody")/SUMIFS('caseload data'!F:F,'caseload data'!$B:$B,"custody",'caseload data'!$C:$C,'custody %'!$T$78),"")</f>
        <v/>
      </c>
      <c r="W83" s="167" t="str">
        <f>IFERROR(SUMIFS('caseload data'!G:G,'caseload data'!$C:$C,'custody %'!$T$78,'caseload data'!$D:$D,"SPO",'caseload data'!$B:$B,"custody")/SUMIFS('caseload data'!G:G,'caseload data'!$B:$B,"custody",'caseload data'!$C:$C,'custody %'!$T$78),"")</f>
        <v/>
      </c>
      <c r="X83" s="167" t="str">
        <f>IFERROR(SUMIFS('caseload data'!H:H,'caseload data'!$C:$C,'custody %'!$T$78,'caseload data'!$D:$D,"SPO",'caseload data'!$B:$B,"custody")/SUMIFS('caseload data'!H:H,'caseload data'!$B:$B,"custody",'caseload data'!$C:$C,'custody %'!$T$78),"")</f>
        <v/>
      </c>
      <c r="Y83" s="167" t="str">
        <f>IFERROR(SUMIFS('caseload data'!I:I,'caseload data'!$C:$C,'custody %'!$T$78,'caseload data'!$D:$D,"SPO",'caseload data'!$B:$B,"custody")/SUMIFS('caseload data'!I:I,'caseload data'!$B:$B,"custody",'caseload data'!$C:$C,'custody %'!$T$78),"")</f>
        <v/>
      </c>
      <c r="Z83" s="167" t="str">
        <f>IFERROR(SUMIFS('caseload data'!J:J,'caseload data'!$C:$C,'custody %'!$T$78,'caseload data'!$D:$D,"SPO",'caseload data'!$B:$B,"custody")/SUMIFS('caseload data'!J:J,'caseload data'!$B:$B,"custody",'caseload data'!$C:$C,'custody %'!$T$78),"")</f>
        <v/>
      </c>
      <c r="AA83" s="167" t="str">
        <f>IFERROR(SUMIFS('caseload data'!K:K,'caseload data'!$C:$C,'custody %'!$T$78,'caseload data'!$D:$D,"SPO",'caseload data'!$B:$B,"custody")/SUMIFS('caseload data'!K:K,'caseload data'!$B:$B,"custody",'caseload data'!$C:$C,'custody %'!$T$78),"")</f>
        <v/>
      </c>
      <c r="AB83" s="167" t="str">
        <f>IFERROR(SUMIFS('caseload data'!L:L,'caseload data'!$C:$C,'custody %'!$T$78,'caseload data'!$D:$D,"SPO",'caseload data'!$B:$B,"custody")/SUMIFS('caseload data'!L:L,'caseload data'!$B:$B,"custody",'caseload data'!$C:$C,'custody %'!$T$78),"")</f>
        <v/>
      </c>
      <c r="AC83" s="167" t="str">
        <f>IFERROR(SUMIFS('caseload data'!M:M,'caseload data'!$C:$C,'custody %'!$T$78,'caseload data'!$D:$D,"SPO",'caseload data'!$B:$B,"custody")/SUMIFS('caseload data'!M:M,'caseload data'!$B:$B,"custody",'caseload data'!$C:$C,'custody %'!$T$78),"")</f>
        <v/>
      </c>
      <c r="AD83" s="167" t="str">
        <f>IFERROR(SUMIFS('caseload data'!N:N,'caseload data'!$C:$C,'custody %'!$T$78,'caseload data'!$D:$D,"SPO",'caseload data'!$B:$B,"custody")/SUMIFS('caseload data'!N:N,'caseload data'!$B:$B,"custody",'caseload data'!$C:$C,'custody %'!$T$78),"")</f>
        <v/>
      </c>
      <c r="AE83" s="167" t="str">
        <f>IFERROR(SUMIFS('caseload data'!O:O,'caseload data'!$C:$C,'custody %'!$T$78,'caseload data'!$D:$D,"SPO",'caseload data'!$B:$B,"custody")/SUMIFS('caseload data'!O:O,'caseload data'!$B:$B,"custody",'caseload data'!$C:$C,'custody %'!$T$78),"")</f>
        <v/>
      </c>
      <c r="AF83" s="167" t="str">
        <f>IFERROR(SUMIFS('caseload data'!P:P,'caseload data'!$C:$C,'custody %'!$T$78,'caseload data'!$D:$D,"SPO",'caseload data'!$B:$B,"custody")/SUMIFS('caseload data'!P:P,'caseload data'!$B:$B,"custody",'caseload data'!$C:$C,'custody %'!$T$78),"")</f>
        <v/>
      </c>
      <c r="AG83" s="167" t="str">
        <f>IFERROR(SUMIFS('caseload data'!Q:Q,'caseload data'!$C:$C,'custody %'!$T$78,'caseload data'!$D:$D,"SPO",'caseload data'!$B:$B,"custody")/SUMIFS('caseload data'!Q:Q,'caseload data'!$B:$B,"custody",'caseload data'!$C:$C,'custody %'!$T$78),"")</f>
        <v/>
      </c>
      <c r="AH83" s="167" t="str">
        <f>IFERROR(SUMIFS('caseload data'!R:R,'caseload data'!$C:$C,'custody %'!$T$78,'caseload data'!$D:$D,"SPO",'caseload data'!$B:$B,"custody")/SUMIFS('caseload data'!R:R,'caseload data'!$B:$B,"custody",'caseload data'!$C:$C,'custody %'!$T$78),"")</f>
        <v/>
      </c>
      <c r="AI83" s="167"/>
      <c r="AJ83" s="167"/>
    </row>
    <row r="85" spans="2:36" ht="24.75" customHeight="1" x14ac:dyDescent="0.15">
      <c r="B85" s="289">
        <f>HLOOKUP($B$5,Region_Table,24,0)</f>
        <v>0</v>
      </c>
      <c r="C85" s="517" t="s">
        <v>1126</v>
      </c>
      <c r="D85" s="518"/>
      <c r="E85" s="518"/>
      <c r="F85" s="518"/>
      <c r="G85" s="518"/>
      <c r="H85" s="518"/>
      <c r="I85" s="518"/>
      <c r="J85" s="518"/>
      <c r="K85" s="518"/>
      <c r="L85" s="518"/>
      <c r="M85" s="537"/>
      <c r="N85" s="537"/>
      <c r="O85" s="538"/>
      <c r="P85" s="512">
        <f>SUMIF('caseload data'!$C:$C,'custody %'!B85,'caseload data'!V:V)</f>
        <v>0</v>
      </c>
      <c r="Q85" s="529"/>
      <c r="R85" s="530"/>
      <c r="T85" s="289">
        <f>HLOOKUP($B$5,Region_Table,25,0)</f>
        <v>0</v>
      </c>
      <c r="U85" s="517" t="s">
        <v>1126</v>
      </c>
      <c r="V85" s="518"/>
      <c r="W85" s="518"/>
      <c r="X85" s="518"/>
      <c r="Y85" s="518"/>
      <c r="Z85" s="518"/>
      <c r="AA85" s="518"/>
      <c r="AB85" s="518"/>
      <c r="AC85" s="537"/>
      <c r="AD85" s="537"/>
      <c r="AE85" s="538"/>
      <c r="AF85" s="512">
        <f>SUMIF('caseload data'!$C:$C,'custody %'!T85,'caseload data'!V:V)</f>
        <v>0</v>
      </c>
      <c r="AG85" s="529"/>
      <c r="AH85" s="530"/>
    </row>
    <row r="86" spans="2:36" x14ac:dyDescent="0.15">
      <c r="B86" s="95" t="s">
        <v>1000</v>
      </c>
      <c r="C86" s="38" t="s">
        <v>864</v>
      </c>
      <c r="D86" s="38" t="s">
        <v>865</v>
      </c>
      <c r="E86" s="38" t="s">
        <v>866</v>
      </c>
      <c r="F86" s="38" t="s">
        <v>867</v>
      </c>
      <c r="G86" s="38" t="s">
        <v>868</v>
      </c>
      <c r="H86" s="38" t="s">
        <v>869</v>
      </c>
      <c r="I86" s="38" t="s">
        <v>870</v>
      </c>
      <c r="J86" s="38" t="s">
        <v>871</v>
      </c>
      <c r="K86" s="38" t="s">
        <v>872</v>
      </c>
      <c r="L86" s="38" t="s">
        <v>873</v>
      </c>
      <c r="M86" s="38" t="s">
        <v>874</v>
      </c>
      <c r="N86" s="38" t="s">
        <v>875</v>
      </c>
      <c r="O86" s="38" t="s">
        <v>876</v>
      </c>
      <c r="P86" s="38" t="s">
        <v>877</v>
      </c>
      <c r="Q86" s="38" t="s">
        <v>878</v>
      </c>
      <c r="R86" s="38" t="s">
        <v>879</v>
      </c>
      <c r="T86" s="95" t="s">
        <v>1000</v>
      </c>
      <c r="U86" s="38" t="s">
        <v>864</v>
      </c>
      <c r="V86" s="38" t="s">
        <v>865</v>
      </c>
      <c r="W86" s="38" t="s">
        <v>866</v>
      </c>
      <c r="X86" s="38" t="s">
        <v>867</v>
      </c>
      <c r="Y86" s="38" t="s">
        <v>868</v>
      </c>
      <c r="Z86" s="38" t="s">
        <v>869</v>
      </c>
      <c r="AA86" s="38" t="s">
        <v>870</v>
      </c>
      <c r="AB86" s="38" t="s">
        <v>871</v>
      </c>
      <c r="AC86" s="38" t="s">
        <v>872</v>
      </c>
      <c r="AD86" s="38" t="s">
        <v>873</v>
      </c>
      <c r="AE86" s="38" t="s">
        <v>874</v>
      </c>
      <c r="AF86" s="38" t="s">
        <v>875</v>
      </c>
      <c r="AG86" s="38" t="s">
        <v>876</v>
      </c>
      <c r="AH86" s="38" t="s">
        <v>877</v>
      </c>
      <c r="AI86" s="38" t="s">
        <v>878</v>
      </c>
      <c r="AJ86" s="38" t="s">
        <v>879</v>
      </c>
    </row>
    <row r="87" spans="2:36" x14ac:dyDescent="0.15">
      <c r="B87" s="96" t="s">
        <v>997</v>
      </c>
      <c r="C87" s="167" t="str">
        <f>IFERROR(SUMIFS('caseload data'!E:E,'caseload data'!$C:$C,'custody %'!$B$85,'caseload data'!$D:$D,"PO",'caseload data'!$B:$B,"custody")/SUMIFS('caseload data'!E:E,'caseload data'!$B:$B,"custody",'caseload data'!$C:$C,'custody %'!$B$85),"")</f>
        <v/>
      </c>
      <c r="D87" s="167" t="str">
        <f>IFERROR(SUMIFS('caseload data'!F:F,'caseload data'!$C:$C,'custody %'!$B$85,'caseload data'!$D:$D,"PO",'caseload data'!$B:$B,"custody")/SUMIFS('caseload data'!F:F,'caseload data'!$B:$B,"custody",'caseload data'!$C:$C,'custody %'!$B$85),"")</f>
        <v/>
      </c>
      <c r="E87" s="167" t="str">
        <f>IFERROR(SUMIFS('caseload data'!G:G,'caseload data'!$C:$C,'custody %'!$B$85,'caseload data'!$D:$D,"PO",'caseload data'!$B:$B,"custody")/SUMIFS('caseload data'!G:G,'caseload data'!$B:$B,"custody",'caseload data'!$C:$C,'custody %'!$B$85),"")</f>
        <v/>
      </c>
      <c r="F87" s="167" t="str">
        <f>IFERROR(SUMIFS('caseload data'!H:H,'caseload data'!$C:$C,'custody %'!$B$85,'caseload data'!$D:$D,"PO",'caseload data'!$B:$B,"custody")/SUMIFS('caseload data'!H:H,'caseload data'!$B:$B,"custody",'caseload data'!$C:$C,'custody %'!$B$85),"")</f>
        <v/>
      </c>
      <c r="G87" s="167" t="str">
        <f>IFERROR(SUMIFS('caseload data'!I:I,'caseload data'!$C:$C,'custody %'!$B$85,'caseload data'!$D:$D,"PO",'caseload data'!$B:$B,"custody")/SUMIFS('caseload data'!I:I,'caseload data'!$B:$B,"custody",'caseload data'!$C:$C,'custody %'!$B$85),"")</f>
        <v/>
      </c>
      <c r="H87" s="167" t="str">
        <f>IFERROR(SUMIFS('caseload data'!J:J,'caseload data'!$C:$C,'custody %'!$B$85,'caseload data'!$D:$D,"PO",'caseload data'!$B:$B,"custody")/SUMIFS('caseload data'!J:J,'caseload data'!$B:$B,"custody",'caseload data'!$C:$C,'custody %'!$B$85),"")</f>
        <v/>
      </c>
      <c r="I87" s="167" t="str">
        <f>IFERROR(SUMIFS('caseload data'!K:K,'caseload data'!$C:$C,'custody %'!$B$85,'caseload data'!$D:$D,"PO",'caseload data'!$B:$B,"custody")/SUMIFS('caseload data'!K:K,'caseload data'!$B:$B,"custody",'caseload data'!$C:$C,'custody %'!$B$85),"")</f>
        <v/>
      </c>
      <c r="J87" s="167" t="str">
        <f>IFERROR(SUMIFS('caseload data'!L:L,'caseload data'!$C:$C,'custody %'!$B$85,'caseload data'!$D:$D,"PO",'caseload data'!$B:$B,"custody")/SUMIFS('caseload data'!L:L,'caseload data'!$B:$B,"custody",'caseload data'!$C:$C,'custody %'!$B$85),"")</f>
        <v/>
      </c>
      <c r="K87" s="167" t="str">
        <f>IFERROR(SUMIFS('caseload data'!M:M,'caseload data'!$C:$C,'custody %'!$B$85,'caseload data'!$D:$D,"PO",'caseload data'!$B:$B,"custody")/SUMIFS('caseload data'!M:M,'caseload data'!$B:$B,"custody",'caseload data'!$C:$C,'custody %'!$B$85),"")</f>
        <v/>
      </c>
      <c r="L87" s="167" t="str">
        <f>IFERROR(SUMIFS('caseload data'!N:N,'caseload data'!$C:$C,'custody %'!$B$85,'caseload data'!$D:$D,"PO",'caseload data'!$B:$B,"custody")/SUMIFS('caseload data'!N:N,'caseload data'!$B:$B,"custody",'caseload data'!$C:$C,'custody %'!$B$85),"")</f>
        <v/>
      </c>
      <c r="M87" s="167" t="str">
        <f>IFERROR(SUMIFS('caseload data'!O:O,'caseload data'!$C:$C,'custody %'!$B$85,'caseload data'!$D:$D,"PO",'caseload data'!$B:$B,"custody")/SUMIFS('caseload data'!O:O,'caseload data'!$B:$B,"custody",'caseload data'!$C:$C,'custody %'!$B$85),"")</f>
        <v/>
      </c>
      <c r="N87" s="167" t="str">
        <f>IFERROR(SUMIFS('caseload data'!P:P,'caseload data'!$C:$C,'custody %'!$B$85,'caseload data'!$D:$D,"PO",'caseload data'!$B:$B,"custody")/SUMIFS('caseload data'!P:P,'caseload data'!$B:$B,"custody",'caseload data'!$C:$C,'custody %'!$B$85),"")</f>
        <v/>
      </c>
      <c r="O87" s="167" t="str">
        <f>IFERROR(SUMIFS('caseload data'!Q:Q,'caseload data'!$C:$C,'custody %'!$B$85,'caseload data'!$D:$D,"PO",'caseload data'!$B:$B,"custody")/SUMIFS('caseload data'!Q:Q,'caseload data'!$B:$B,"custody",'caseload data'!$C:$C,'custody %'!$B$85),"")</f>
        <v/>
      </c>
      <c r="P87" s="167" t="str">
        <f>IFERROR(SUMIFS('caseload data'!R:R,'caseload data'!$C:$C,'custody %'!$B$85,'caseload data'!$D:$D,"PO",'caseload data'!$B:$B,"custody")/SUMIFS('caseload data'!R:R,'caseload data'!$B:$B,"custody",'caseload data'!$C:$C,'custody %'!$B$85),"")</f>
        <v/>
      </c>
      <c r="Q87" s="167" t="str">
        <f>IFERROR(SUMIFS('caseload data'!S:S,'caseload data'!$C:$C,'custody %'!$B$85,'caseload data'!$D:$D,"PO",'caseload data'!$B:$B,"custody")/SUMIFS('caseload data'!S:S,'caseload data'!$B:$B,"custody",'caseload data'!$C:$C,'custody %'!$B$85),"")</f>
        <v/>
      </c>
      <c r="R87" s="167" t="str">
        <f>IFERROR(SUMIFS('caseload data'!T:T,'caseload data'!$C:$C,'custody %'!$B$85,'caseload data'!$D:$D,"PO",'caseload data'!$B:$B,"custody")/SUMIFS('caseload data'!T:T,'caseload data'!$B:$B,"custody",'caseload data'!$C:$C,'custody %'!$B$85),"")</f>
        <v/>
      </c>
      <c r="T87" s="96" t="s">
        <v>997</v>
      </c>
      <c r="U87" s="167" t="str">
        <f>IFERROR(SUMIFS('caseload data'!E:E,'caseload data'!$C:$C,'custody %'!$T$85,'caseload data'!$D:$D,"PO",'caseload data'!$B:$B,"custody")/SUMIFS('caseload data'!E:E,'caseload data'!$B:$B,"custody",'caseload data'!$C:$C,'custody %'!$T$85),"")</f>
        <v/>
      </c>
      <c r="V87" s="167" t="str">
        <f>IFERROR(SUMIFS('caseload data'!F:F,'caseload data'!$C:$C,'custody %'!$T$85,'caseload data'!$D:$D,"PO",'caseload data'!$B:$B,"custody")/SUMIFS('caseload data'!F:F,'caseload data'!$B:$B,"custody",'caseload data'!$C:$C,'custody %'!$T$85),"")</f>
        <v/>
      </c>
      <c r="W87" s="167" t="str">
        <f>IFERROR(SUMIFS('caseload data'!G:G,'caseload data'!$C:$C,'custody %'!$T$85,'caseload data'!$D:$D,"PO",'caseload data'!$B:$B,"custody")/SUMIFS('caseload data'!G:G,'caseload data'!$B:$B,"custody",'caseload data'!$C:$C,'custody %'!$T$85),"")</f>
        <v/>
      </c>
      <c r="X87" s="167" t="str">
        <f>IFERROR(SUMIFS('caseload data'!H:H,'caseload data'!$C:$C,'custody %'!$T$85,'caseload data'!$D:$D,"PO",'caseload data'!$B:$B,"custody")/SUMIFS('caseload data'!H:H,'caseload data'!$B:$B,"custody",'caseload data'!$C:$C,'custody %'!$T$85),"")</f>
        <v/>
      </c>
      <c r="Y87" s="167" t="str">
        <f>IFERROR(SUMIFS('caseload data'!I:I,'caseload data'!$C:$C,'custody %'!$T$85,'caseload data'!$D:$D,"PO",'caseload data'!$B:$B,"custody")/SUMIFS('caseload data'!I:I,'caseload data'!$B:$B,"custody",'caseload data'!$C:$C,'custody %'!$T$85),"")</f>
        <v/>
      </c>
      <c r="Z87" s="167" t="str">
        <f>IFERROR(SUMIFS('caseload data'!J:J,'caseload data'!$C:$C,'custody %'!$T$85,'caseload data'!$D:$D,"PO",'caseload data'!$B:$B,"custody")/SUMIFS('caseload data'!J:J,'caseload data'!$B:$B,"custody",'caseload data'!$C:$C,'custody %'!$T$85),"")</f>
        <v/>
      </c>
      <c r="AA87" s="167" t="str">
        <f>IFERROR(SUMIFS('caseload data'!K:K,'caseload data'!$C:$C,'custody %'!$T$85,'caseload data'!$D:$D,"PO",'caseload data'!$B:$B,"custody")/SUMIFS('caseload data'!K:K,'caseload data'!$B:$B,"custody",'caseload data'!$C:$C,'custody %'!$T$85),"")</f>
        <v/>
      </c>
      <c r="AB87" s="167" t="str">
        <f>IFERROR(SUMIFS('caseload data'!L:L,'caseload data'!$C:$C,'custody %'!$T$85,'caseload data'!$D:$D,"PO",'caseload data'!$B:$B,"custody")/SUMIFS('caseload data'!L:L,'caseload data'!$B:$B,"custody",'caseload data'!$C:$C,'custody %'!$T$85),"")</f>
        <v/>
      </c>
      <c r="AC87" s="167" t="str">
        <f>IFERROR(SUMIFS('caseload data'!M:M,'caseload data'!$C:$C,'custody %'!$T$85,'caseload data'!$D:$D,"PO",'caseload data'!$B:$B,"custody")/SUMIFS('caseload data'!M:M,'caseload data'!$B:$B,"custody",'caseload data'!$C:$C,'custody %'!$T$85),"")</f>
        <v/>
      </c>
      <c r="AD87" s="167" t="str">
        <f>IFERROR(SUMIFS('caseload data'!N:N,'caseload data'!$C:$C,'custody %'!$T$85,'caseload data'!$D:$D,"PO",'caseload data'!$B:$B,"custody")/SUMIFS('caseload data'!N:N,'caseload data'!$B:$B,"custody",'caseload data'!$C:$C,'custody %'!$T$85),"")</f>
        <v/>
      </c>
      <c r="AE87" s="167" t="str">
        <f>IFERROR(SUMIFS('caseload data'!O:O,'caseload data'!$C:$C,'custody %'!$T$85,'caseload data'!$D:$D,"PO",'caseload data'!$B:$B,"custody")/SUMIFS('caseload data'!O:O,'caseload data'!$B:$B,"custody",'caseload data'!$C:$C,'custody %'!$T$85),"")</f>
        <v/>
      </c>
      <c r="AF87" s="167" t="str">
        <f>IFERROR(SUMIFS('caseload data'!P:P,'caseload data'!$C:$C,'custody %'!$T$85,'caseload data'!$D:$D,"PO",'caseload data'!$B:$B,"custody")/SUMIFS('caseload data'!P:P,'caseload data'!$B:$B,"custody",'caseload data'!$C:$C,'custody %'!$T$85),"")</f>
        <v/>
      </c>
      <c r="AG87" s="167" t="str">
        <f>IFERROR(SUMIFS('caseload data'!Q:Q,'caseload data'!$C:$C,'custody %'!$T$85,'caseload data'!$D:$D,"PO",'caseload data'!$B:$B,"custody")/SUMIFS('caseload data'!Q:Q,'caseload data'!$B:$B,"custody",'caseload data'!$C:$C,'custody %'!$T$85),"")</f>
        <v/>
      </c>
      <c r="AH87" s="167" t="str">
        <f>IFERROR(SUMIFS('caseload data'!R:R,'caseload data'!$C:$C,'custody %'!$T$85,'caseload data'!$D:$D,"PO",'caseload data'!$B:$B,"custody")/SUMIFS('caseload data'!R:R,'caseload data'!$B:$B,"custody",'caseload data'!$C:$C,'custody %'!$T$85),"")</f>
        <v/>
      </c>
      <c r="AI87" s="167"/>
      <c r="AJ87" s="167"/>
    </row>
    <row r="88" spans="2:36" x14ac:dyDescent="0.15">
      <c r="B88" s="97" t="s">
        <v>1002</v>
      </c>
      <c r="C88" s="167" t="str">
        <f>IFERROR(SUMIFS('caseload data'!E:E,'caseload data'!$C:$C,'custody %'!$B$85,'caseload data'!$D:$D,"PSO",'caseload data'!$B:$B,"custody")/SUMIFS('caseload data'!E:E,'caseload data'!$B:$B,"custody",'caseload data'!$C:$C,'custody %'!$B$85),"")</f>
        <v/>
      </c>
      <c r="D88" s="167" t="str">
        <f>IFERROR(SUMIFS('caseload data'!F:F,'caseload data'!$C:$C,'custody %'!$B$85,'caseload data'!$D:$D,"PSO",'caseload data'!$B:$B,"custody")/SUMIFS('caseload data'!F:F,'caseload data'!$B:$B,"custody",'caseload data'!$C:$C,'custody %'!$B$85),"")</f>
        <v/>
      </c>
      <c r="E88" s="167" t="str">
        <f>IFERROR(SUMIFS('caseload data'!G:G,'caseload data'!$C:$C,'custody %'!$B$85,'caseload data'!$D:$D,"PSO",'caseload data'!$B:$B,"custody")/SUMIFS('caseload data'!G:G,'caseload data'!$B:$B,"custody",'caseload data'!$C:$C,'custody %'!$B$85),"")</f>
        <v/>
      </c>
      <c r="F88" s="167" t="str">
        <f>IFERROR(SUMIFS('caseload data'!H:H,'caseload data'!$C:$C,'custody %'!$B$85,'caseload data'!$D:$D,"PSO",'caseload data'!$B:$B,"custody")/SUMIFS('caseload data'!H:H,'caseload data'!$B:$B,"custody",'caseload data'!$C:$C,'custody %'!$B$85),"")</f>
        <v/>
      </c>
      <c r="G88" s="167" t="str">
        <f>IFERROR(SUMIFS('caseload data'!I:I,'caseload data'!$C:$C,'custody %'!$B$85,'caseload data'!$D:$D,"PSO",'caseload data'!$B:$B,"custody")/SUMIFS('caseload data'!I:I,'caseload data'!$B:$B,"custody",'caseload data'!$C:$C,'custody %'!$B$85),"")</f>
        <v/>
      </c>
      <c r="H88" s="167" t="str">
        <f>IFERROR(SUMIFS('caseload data'!J:J,'caseload data'!$C:$C,'custody %'!$B$85,'caseload data'!$D:$D,"PSO",'caseload data'!$B:$B,"custody")/SUMIFS('caseload data'!J:J,'caseload data'!$B:$B,"custody",'caseload data'!$C:$C,'custody %'!$B$85),"")</f>
        <v/>
      </c>
      <c r="I88" s="167" t="str">
        <f>IFERROR(SUMIFS('caseload data'!K:K,'caseload data'!$C:$C,'custody %'!$B$85,'caseload data'!$D:$D,"PSO",'caseload data'!$B:$B,"custody")/SUMIFS('caseload data'!K:K,'caseload data'!$B:$B,"custody",'caseload data'!$C:$C,'custody %'!$B$85),"")</f>
        <v/>
      </c>
      <c r="J88" s="167" t="str">
        <f>IFERROR(SUMIFS('caseload data'!L:L,'caseload data'!$C:$C,'custody %'!$B$85,'caseload data'!$D:$D,"PSO",'caseload data'!$B:$B,"custody")/SUMIFS('caseload data'!L:L,'caseload data'!$B:$B,"custody",'caseload data'!$C:$C,'custody %'!$B$85),"")</f>
        <v/>
      </c>
      <c r="K88" s="167" t="str">
        <f>IFERROR(SUMIFS('caseload data'!M:M,'caseload data'!$C:$C,'custody %'!$B$85,'caseload data'!$D:$D,"PSO",'caseload data'!$B:$B,"custody")/SUMIFS('caseload data'!M:M,'caseload data'!$B:$B,"custody",'caseload data'!$C:$C,'custody %'!$B$85),"")</f>
        <v/>
      </c>
      <c r="L88" s="167" t="str">
        <f>IFERROR(SUMIFS('caseload data'!N:N,'caseload data'!$C:$C,'custody %'!$B$85,'caseload data'!$D:$D,"PSO",'caseload data'!$B:$B,"custody")/SUMIFS('caseload data'!N:N,'caseload data'!$B:$B,"custody",'caseload data'!$C:$C,'custody %'!$B$85),"")</f>
        <v/>
      </c>
      <c r="M88" s="167" t="str">
        <f>IFERROR(SUMIFS('caseload data'!O:O,'caseload data'!$C:$C,'custody %'!$B$85,'caseload data'!$D:$D,"PSO",'caseload data'!$B:$B,"custody")/SUMIFS('caseload data'!O:O,'caseload data'!$B:$B,"custody",'caseload data'!$C:$C,'custody %'!$B$85),"")</f>
        <v/>
      </c>
      <c r="N88" s="167" t="str">
        <f>IFERROR(SUMIFS('caseload data'!P:P,'caseload data'!$C:$C,'custody %'!$B$85,'caseload data'!$D:$D,"PSO",'caseload data'!$B:$B,"custody")/SUMIFS('caseload data'!P:P,'caseload data'!$B:$B,"custody",'caseload data'!$C:$C,'custody %'!$B$85),"")</f>
        <v/>
      </c>
      <c r="O88" s="167" t="str">
        <f>IFERROR(SUMIFS('caseload data'!Q:Q,'caseload data'!$C:$C,'custody %'!$B$85,'caseload data'!$D:$D,"PSO",'caseload data'!$B:$B,"custody")/SUMIFS('caseload data'!Q:Q,'caseload data'!$B:$B,"custody",'caseload data'!$C:$C,'custody %'!$B$85),"")</f>
        <v/>
      </c>
      <c r="P88" s="167" t="str">
        <f>IFERROR(SUMIFS('caseload data'!R:R,'caseload data'!$C:$C,'custody %'!$B$85,'caseload data'!$D:$D,"PSO",'caseload data'!$B:$B,"custody")/SUMIFS('caseload data'!R:R,'caseload data'!$B:$B,"custody",'caseload data'!$C:$C,'custody %'!$B$85),"")</f>
        <v/>
      </c>
      <c r="Q88" s="167" t="str">
        <f>IFERROR(SUMIFS('caseload data'!S:S,'caseload data'!$C:$C,'custody %'!$B$85,'caseload data'!$D:$D,"PSO",'caseload data'!$B:$B,"custody")/SUMIFS('caseload data'!S:S,'caseload data'!$B:$B,"custody",'caseload data'!$C:$C,'custody %'!$B$85),"")</f>
        <v/>
      </c>
      <c r="R88" s="167" t="str">
        <f>IFERROR(SUMIFS('caseload data'!T:T,'caseload data'!$C:$C,'custody %'!$B$85,'caseload data'!$D:$D,"PSO",'caseload data'!$B:$B,"custody")/SUMIFS('caseload data'!T:T,'caseload data'!$B:$B,"custody",'caseload data'!$C:$C,'custody %'!$B$85),"")</f>
        <v/>
      </c>
      <c r="T88" s="97" t="s">
        <v>1002</v>
      </c>
      <c r="U88" s="167" t="str">
        <f>IFERROR(SUMIFS('caseload data'!E:E,'caseload data'!$C:$C,'custody %'!$T$85,'caseload data'!$D:$D,"PSO",'caseload data'!$B:$B,"custody")/SUMIFS('caseload data'!E:E,'caseload data'!$B:$B,"custody",'caseload data'!$C:$C,'custody %'!$T$85),"")</f>
        <v/>
      </c>
      <c r="V88" s="167" t="str">
        <f>IFERROR(SUMIFS('caseload data'!F:F,'caseload data'!$C:$C,'custody %'!$T$85,'caseload data'!$D:$D,"PSO",'caseload data'!$B:$B,"custody")/SUMIFS('caseload data'!F:F,'caseload data'!$B:$B,"custody",'caseload data'!$C:$C,'custody %'!$T$85),"")</f>
        <v/>
      </c>
      <c r="W88" s="167" t="str">
        <f>IFERROR(SUMIFS('caseload data'!G:G,'caseload data'!$C:$C,'custody %'!$T$85,'caseload data'!$D:$D,"PSO",'caseload data'!$B:$B,"custody")/SUMIFS('caseload data'!G:G,'caseload data'!$B:$B,"custody",'caseload data'!$C:$C,'custody %'!$T$85),"")</f>
        <v/>
      </c>
      <c r="X88" s="167" t="str">
        <f>IFERROR(SUMIFS('caseload data'!H:H,'caseload data'!$C:$C,'custody %'!$T$85,'caseload data'!$D:$D,"PSO",'caseload data'!$B:$B,"custody")/SUMIFS('caseload data'!H:H,'caseload data'!$B:$B,"custody",'caseload data'!$C:$C,'custody %'!$T$85),"")</f>
        <v/>
      </c>
      <c r="Y88" s="167" t="str">
        <f>IFERROR(SUMIFS('caseload data'!I:I,'caseload data'!$C:$C,'custody %'!$T$85,'caseload data'!$D:$D,"PSO",'caseload data'!$B:$B,"custody")/SUMIFS('caseload data'!I:I,'caseload data'!$B:$B,"custody",'caseload data'!$C:$C,'custody %'!$T$85),"")</f>
        <v/>
      </c>
      <c r="Z88" s="167" t="str">
        <f>IFERROR(SUMIFS('caseload data'!J:J,'caseload data'!$C:$C,'custody %'!$T$85,'caseload data'!$D:$D,"PSO",'caseload data'!$B:$B,"custody")/SUMIFS('caseload data'!J:J,'caseload data'!$B:$B,"custody",'caseload data'!$C:$C,'custody %'!$T$85),"")</f>
        <v/>
      </c>
      <c r="AA88" s="167" t="str">
        <f>IFERROR(SUMIFS('caseload data'!K:K,'caseload data'!$C:$C,'custody %'!$T$85,'caseload data'!$D:$D,"PSO",'caseload data'!$B:$B,"custody")/SUMIFS('caseload data'!K:K,'caseload data'!$B:$B,"custody",'caseload data'!$C:$C,'custody %'!$T$85),"")</f>
        <v/>
      </c>
      <c r="AB88" s="167" t="str">
        <f>IFERROR(SUMIFS('caseload data'!L:L,'caseload data'!$C:$C,'custody %'!$T$85,'caseload data'!$D:$D,"PSO",'caseload data'!$B:$B,"custody")/SUMIFS('caseload data'!L:L,'caseload data'!$B:$B,"custody",'caseload data'!$C:$C,'custody %'!$T$85),"")</f>
        <v/>
      </c>
      <c r="AC88" s="167" t="str">
        <f>IFERROR(SUMIFS('caseload data'!M:M,'caseload data'!$C:$C,'custody %'!$T$85,'caseload data'!$D:$D,"PSO",'caseload data'!$B:$B,"custody")/SUMIFS('caseload data'!M:M,'caseload data'!$B:$B,"custody",'caseload data'!$C:$C,'custody %'!$T$85),"")</f>
        <v/>
      </c>
      <c r="AD88" s="167" t="str">
        <f>IFERROR(SUMIFS('caseload data'!N:N,'caseload data'!$C:$C,'custody %'!$T$85,'caseload data'!$D:$D,"PSO",'caseload data'!$B:$B,"custody")/SUMIFS('caseload data'!N:N,'caseload data'!$B:$B,"custody",'caseload data'!$C:$C,'custody %'!$T$85),"")</f>
        <v/>
      </c>
      <c r="AE88" s="167" t="str">
        <f>IFERROR(SUMIFS('caseload data'!O:O,'caseload data'!$C:$C,'custody %'!$T$85,'caseload data'!$D:$D,"PSO",'caseload data'!$B:$B,"custody")/SUMIFS('caseload data'!O:O,'caseload data'!$B:$B,"custody",'caseload data'!$C:$C,'custody %'!$T$85),"")</f>
        <v/>
      </c>
      <c r="AF88" s="167" t="str">
        <f>IFERROR(SUMIFS('caseload data'!P:P,'caseload data'!$C:$C,'custody %'!$T$85,'caseload data'!$D:$D,"PSO",'caseload data'!$B:$B,"custody")/SUMIFS('caseload data'!P:P,'caseload data'!$B:$B,"custody",'caseload data'!$C:$C,'custody %'!$T$85),"")</f>
        <v/>
      </c>
      <c r="AG88" s="167" t="str">
        <f>IFERROR(SUMIFS('caseload data'!Q:Q,'caseload data'!$C:$C,'custody %'!$T$85,'caseload data'!$D:$D,"PSO",'caseload data'!$B:$B,"custody")/SUMIFS('caseload data'!Q:Q,'caseload data'!$B:$B,"custody",'caseload data'!$C:$C,'custody %'!$T$85),"")</f>
        <v/>
      </c>
      <c r="AH88" s="167" t="str">
        <f>IFERROR(SUMIFS('caseload data'!R:R,'caseload data'!$C:$C,'custody %'!$T$85,'caseload data'!$D:$D,"PSO",'caseload data'!$B:$B,"custody")/SUMIFS('caseload data'!R:R,'caseload data'!$B:$B,"custody",'caseload data'!$C:$C,'custody %'!$T$85),"")</f>
        <v/>
      </c>
      <c r="AI88" s="167"/>
      <c r="AJ88" s="167"/>
    </row>
    <row r="89" spans="2:36" x14ac:dyDescent="0.15">
      <c r="B89" s="97" t="s">
        <v>1003</v>
      </c>
      <c r="C89" s="167" t="str">
        <f>IFERROR(SUMIFS('caseload data'!E:E,'caseload data'!$C:$C,'custody %'!$B$85,'caseload data'!$D:$D,"TPO",'caseload data'!$B:$B,"custody")/SUMIFS('caseload data'!E:E,'caseload data'!$B:$B,"custody",'caseload data'!$C:$C,'custody %'!$B$85),"")</f>
        <v/>
      </c>
      <c r="D89" s="167" t="str">
        <f>IFERROR(SUMIFS('caseload data'!F:F,'caseload data'!$C:$C,'custody %'!$B$85,'caseload data'!$D:$D,"TPO",'caseload data'!$B:$B,"custody")/SUMIFS('caseload data'!F:F,'caseload data'!$B:$B,"custody",'caseload data'!$C:$C,'custody %'!$B$85),"")</f>
        <v/>
      </c>
      <c r="E89" s="167" t="str">
        <f>IFERROR(SUMIFS('caseload data'!G:G,'caseload data'!$C:$C,'custody %'!$B$85,'caseload data'!$D:$D,"TPO",'caseload data'!$B:$B,"custody")/SUMIFS('caseload data'!G:G,'caseload data'!$B:$B,"custody",'caseload data'!$C:$C,'custody %'!$B$85),"")</f>
        <v/>
      </c>
      <c r="F89" s="167" t="str">
        <f>IFERROR(SUMIFS('caseload data'!H:H,'caseload data'!$C:$C,'custody %'!$B$85,'caseload data'!$D:$D,"TPO",'caseload data'!$B:$B,"custody")/SUMIFS('caseload data'!H:H,'caseload data'!$B:$B,"custody",'caseload data'!$C:$C,'custody %'!$B$85),"")</f>
        <v/>
      </c>
      <c r="G89" s="167" t="str">
        <f>IFERROR(SUMIFS('caseload data'!I:I,'caseload data'!$C:$C,'custody %'!$B$85,'caseload data'!$D:$D,"TPO",'caseload data'!$B:$B,"custody")/SUMIFS('caseload data'!I:I,'caseload data'!$B:$B,"custody",'caseload data'!$C:$C,'custody %'!$B$85),"")</f>
        <v/>
      </c>
      <c r="H89" s="167" t="str">
        <f>IFERROR(SUMIFS('caseload data'!J:J,'caseload data'!$C:$C,'custody %'!$B$85,'caseload data'!$D:$D,"TPO",'caseload data'!$B:$B,"custody")/SUMIFS('caseload data'!J:J,'caseload data'!$B:$B,"custody",'caseload data'!$C:$C,'custody %'!$B$85),"")</f>
        <v/>
      </c>
      <c r="I89" s="167" t="str">
        <f>IFERROR(SUMIFS('caseload data'!K:K,'caseload data'!$C:$C,'custody %'!$B$85,'caseload data'!$D:$D,"TPO",'caseload data'!$B:$B,"custody")/SUMIFS('caseload data'!K:K,'caseload data'!$B:$B,"custody",'caseload data'!$C:$C,'custody %'!$B$85),"")</f>
        <v/>
      </c>
      <c r="J89" s="167" t="str">
        <f>IFERROR(SUMIFS('caseload data'!L:L,'caseload data'!$C:$C,'custody %'!$B$85,'caseload data'!$D:$D,"TPO",'caseload data'!$B:$B,"custody")/SUMIFS('caseload data'!L:L,'caseload data'!$B:$B,"custody",'caseload data'!$C:$C,'custody %'!$B$85),"")</f>
        <v/>
      </c>
      <c r="K89" s="167" t="str">
        <f>IFERROR(SUMIFS('caseload data'!M:M,'caseload data'!$C:$C,'custody %'!$B$85,'caseload data'!$D:$D,"TPO",'caseload data'!$B:$B,"custody")/SUMIFS('caseload data'!M:M,'caseload data'!$B:$B,"custody",'caseload data'!$C:$C,'custody %'!$B$85),"")</f>
        <v/>
      </c>
      <c r="L89" s="167" t="str">
        <f>IFERROR(SUMIFS('caseload data'!N:N,'caseload data'!$C:$C,'custody %'!$B$85,'caseload data'!$D:$D,"TPO",'caseload data'!$B:$B,"custody")/SUMIFS('caseload data'!N:N,'caseload data'!$B:$B,"custody",'caseload data'!$C:$C,'custody %'!$B$85),"")</f>
        <v/>
      </c>
      <c r="M89" s="167" t="str">
        <f>IFERROR(SUMIFS('caseload data'!O:O,'caseload data'!$C:$C,'custody %'!$B$85,'caseload data'!$D:$D,"TPO",'caseload data'!$B:$B,"custody")/SUMIFS('caseload data'!O:O,'caseload data'!$B:$B,"custody",'caseload data'!$C:$C,'custody %'!$B$85),"")</f>
        <v/>
      </c>
      <c r="N89" s="167" t="str">
        <f>IFERROR(SUMIFS('caseload data'!P:P,'caseload data'!$C:$C,'custody %'!$B$85,'caseload data'!$D:$D,"TPO",'caseload data'!$B:$B,"custody")/SUMIFS('caseload data'!P:P,'caseload data'!$B:$B,"custody",'caseload data'!$C:$C,'custody %'!$B$85),"")</f>
        <v/>
      </c>
      <c r="O89" s="167" t="str">
        <f>IFERROR(SUMIFS('caseload data'!Q:Q,'caseload data'!$C:$C,'custody %'!$B$85,'caseload data'!$D:$D,"TPO",'caseload data'!$B:$B,"custody")/SUMIFS('caseload data'!Q:Q,'caseload data'!$B:$B,"custody",'caseload data'!$C:$C,'custody %'!$B$85),"")</f>
        <v/>
      </c>
      <c r="P89" s="167" t="str">
        <f>IFERROR(SUMIFS('caseload data'!R:R,'caseload data'!$C:$C,'custody %'!$B$85,'caseload data'!$D:$D,"TPO",'caseload data'!$B:$B,"custody")/SUMIFS('caseload data'!R:R,'caseload data'!$B:$B,"custody",'caseload data'!$C:$C,'custody %'!$B$85),"")</f>
        <v/>
      </c>
      <c r="Q89" s="167" t="str">
        <f>IFERROR(SUMIFS('caseload data'!S:S,'caseload data'!$C:$C,'custody %'!$B$85,'caseload data'!$D:$D,"TPO",'caseload data'!$B:$B,"custody")/SUMIFS('caseload data'!S:S,'caseload data'!$B:$B,"custody",'caseload data'!$C:$C,'custody %'!$B$85),"")</f>
        <v/>
      </c>
      <c r="R89" s="167" t="str">
        <f>IFERROR(SUMIFS('caseload data'!T:T,'caseload data'!$C:$C,'custody %'!$B$85,'caseload data'!$D:$D,"TPO",'caseload data'!$B:$B,"custody")/SUMIFS('caseload data'!T:T,'caseload data'!$B:$B,"custody",'caseload data'!$C:$C,'custody %'!$B$85),"")</f>
        <v/>
      </c>
      <c r="T89" s="97" t="s">
        <v>1003</v>
      </c>
      <c r="U89" s="167" t="str">
        <f>IFERROR(SUMIFS('caseload data'!E:E,'caseload data'!$C:$C,'custody %'!$T$85,'caseload data'!$D:$D,"TPO",'caseload data'!$B:$B,"custody")/SUMIFS('caseload data'!E:E,'caseload data'!$B:$B,"custody",'caseload data'!$C:$C,'custody %'!$T$85),"")</f>
        <v/>
      </c>
      <c r="V89" s="167" t="str">
        <f>IFERROR(SUMIFS('caseload data'!F:F,'caseload data'!$C:$C,'custody %'!$T$85,'caseload data'!$D:$D,"TPO",'caseload data'!$B:$B,"custody")/SUMIFS('caseload data'!F:F,'caseload data'!$B:$B,"custody",'caseload data'!$C:$C,'custody %'!$T$85),"")</f>
        <v/>
      </c>
      <c r="W89" s="167" t="str">
        <f>IFERROR(SUMIFS('caseload data'!G:G,'caseload data'!$C:$C,'custody %'!$T$85,'caseload data'!$D:$D,"TPO",'caseload data'!$B:$B,"custody")/SUMIFS('caseload data'!G:G,'caseload data'!$B:$B,"custody",'caseload data'!$C:$C,'custody %'!$T$85),"")</f>
        <v/>
      </c>
      <c r="X89" s="167" t="str">
        <f>IFERROR(SUMIFS('caseload data'!H:H,'caseload data'!$C:$C,'custody %'!$T$85,'caseload data'!$D:$D,"TPO",'caseload data'!$B:$B,"custody")/SUMIFS('caseload data'!H:H,'caseload data'!$B:$B,"custody",'caseload data'!$C:$C,'custody %'!$T$85),"")</f>
        <v/>
      </c>
      <c r="Y89" s="167" t="str">
        <f>IFERROR(SUMIFS('caseload data'!I:I,'caseload data'!$C:$C,'custody %'!$T$85,'caseload data'!$D:$D,"TPO",'caseload data'!$B:$B,"custody")/SUMIFS('caseload data'!I:I,'caseload data'!$B:$B,"custody",'caseload data'!$C:$C,'custody %'!$T$85),"")</f>
        <v/>
      </c>
      <c r="Z89" s="167" t="str">
        <f>IFERROR(SUMIFS('caseload data'!J:J,'caseload data'!$C:$C,'custody %'!$T$85,'caseload data'!$D:$D,"TPO",'caseload data'!$B:$B,"custody")/SUMIFS('caseload data'!J:J,'caseload data'!$B:$B,"custody",'caseload data'!$C:$C,'custody %'!$T$85),"")</f>
        <v/>
      </c>
      <c r="AA89" s="167" t="str">
        <f>IFERROR(SUMIFS('caseload data'!K:K,'caseload data'!$C:$C,'custody %'!$T$85,'caseload data'!$D:$D,"TPO",'caseload data'!$B:$B,"custody")/SUMIFS('caseload data'!K:K,'caseload data'!$B:$B,"custody",'caseload data'!$C:$C,'custody %'!$T$85),"")</f>
        <v/>
      </c>
      <c r="AB89" s="167" t="str">
        <f>IFERROR(SUMIFS('caseload data'!L:L,'caseload data'!$C:$C,'custody %'!$T$85,'caseload data'!$D:$D,"TPO",'caseload data'!$B:$B,"custody")/SUMIFS('caseload data'!L:L,'caseload data'!$B:$B,"custody",'caseload data'!$C:$C,'custody %'!$T$85),"")</f>
        <v/>
      </c>
      <c r="AC89" s="167" t="str">
        <f>IFERROR(SUMIFS('caseload data'!M:M,'caseload data'!$C:$C,'custody %'!$T$85,'caseload data'!$D:$D,"TPO",'caseload data'!$B:$B,"custody")/SUMIFS('caseload data'!M:M,'caseload data'!$B:$B,"custody",'caseload data'!$C:$C,'custody %'!$T$85),"")</f>
        <v/>
      </c>
      <c r="AD89" s="167" t="str">
        <f>IFERROR(SUMIFS('caseload data'!N:N,'caseload data'!$C:$C,'custody %'!$T$85,'caseload data'!$D:$D,"TPO",'caseload data'!$B:$B,"custody")/SUMIFS('caseload data'!N:N,'caseload data'!$B:$B,"custody",'caseload data'!$C:$C,'custody %'!$T$85),"")</f>
        <v/>
      </c>
      <c r="AE89" s="167" t="str">
        <f>IFERROR(SUMIFS('caseload data'!O:O,'caseload data'!$C:$C,'custody %'!$T$85,'caseload data'!$D:$D,"TPO",'caseload data'!$B:$B,"custody")/SUMIFS('caseload data'!O:O,'caseload data'!$B:$B,"custody",'caseload data'!$C:$C,'custody %'!$T$85),"")</f>
        <v/>
      </c>
      <c r="AF89" s="167" t="str">
        <f>IFERROR(SUMIFS('caseload data'!P:P,'caseload data'!$C:$C,'custody %'!$T$85,'caseload data'!$D:$D,"TPO",'caseload data'!$B:$B,"custody")/SUMIFS('caseload data'!P:P,'caseload data'!$B:$B,"custody",'caseload data'!$C:$C,'custody %'!$T$85),"")</f>
        <v/>
      </c>
      <c r="AG89" s="167" t="str">
        <f>IFERROR(SUMIFS('caseload data'!Q:Q,'caseload data'!$C:$C,'custody %'!$T$85,'caseload data'!$D:$D,"TPO",'caseload data'!$B:$B,"custody")/SUMIFS('caseload data'!Q:Q,'caseload data'!$B:$B,"custody",'caseload data'!$C:$C,'custody %'!$T$85),"")</f>
        <v/>
      </c>
      <c r="AH89" s="167" t="str">
        <f>IFERROR(SUMIFS('caseload data'!R:R,'caseload data'!$C:$C,'custody %'!$T$85,'caseload data'!$D:$D,"TPO",'caseload data'!$B:$B,"custody")/SUMIFS('caseload data'!R:R,'caseload data'!$B:$B,"custody",'caseload data'!$C:$C,'custody %'!$T$85),"")</f>
        <v/>
      </c>
      <c r="AI89" s="167"/>
      <c r="AJ89" s="167"/>
    </row>
    <row r="90" spans="2:36" x14ac:dyDescent="0.15">
      <c r="B90" s="98" t="s">
        <v>1004</v>
      </c>
      <c r="C90" s="167" t="str">
        <f>IFERROR(SUMIFS('caseload data'!E:E,'caseload data'!$C:$C,'custody %'!$B$85,'caseload data'!$D:$D,"SPO",'caseload data'!$B:$B,"custody")/SUMIFS('caseload data'!E:E,'caseload data'!$B:$B,"custody",'caseload data'!$C:$C,'custody %'!$B$85),"")</f>
        <v/>
      </c>
      <c r="D90" s="167" t="str">
        <f>IFERROR(SUMIFS('caseload data'!F:F,'caseload data'!$C:$C,'custody %'!$B$85,'caseload data'!$D:$D,"SPO",'caseload data'!$B:$B,"custody")/SUMIFS('caseload data'!F:F,'caseload data'!$B:$B,"custody",'caseload data'!$C:$C,'custody %'!$B$85),"")</f>
        <v/>
      </c>
      <c r="E90" s="167" t="str">
        <f>IFERROR(SUMIFS('caseload data'!G:G,'caseload data'!$C:$C,'custody %'!$B$85,'caseload data'!$D:$D,"SPO",'caseload data'!$B:$B,"custody")/SUMIFS('caseload data'!G:G,'caseload data'!$B:$B,"custody",'caseload data'!$C:$C,'custody %'!$B$85),"")</f>
        <v/>
      </c>
      <c r="F90" s="167" t="str">
        <f>IFERROR(SUMIFS('caseload data'!H:H,'caseload data'!$C:$C,'custody %'!$B$85,'caseload data'!$D:$D,"SPO",'caseload data'!$B:$B,"custody")/SUMIFS('caseload data'!H:H,'caseload data'!$B:$B,"custody",'caseload data'!$C:$C,'custody %'!$B$85),"")</f>
        <v/>
      </c>
      <c r="G90" s="167" t="str">
        <f>IFERROR(SUMIFS('caseload data'!I:I,'caseload data'!$C:$C,'custody %'!$B$85,'caseload data'!$D:$D,"SPO",'caseload data'!$B:$B,"custody")/SUMIFS('caseload data'!I:I,'caseload data'!$B:$B,"custody",'caseload data'!$C:$C,'custody %'!$B$85),"")</f>
        <v/>
      </c>
      <c r="H90" s="167" t="str">
        <f>IFERROR(SUMIFS('caseload data'!J:J,'caseload data'!$C:$C,'custody %'!$B$85,'caseload data'!$D:$D,"SPO",'caseload data'!$B:$B,"custody")/SUMIFS('caseload data'!J:J,'caseload data'!$B:$B,"custody",'caseload data'!$C:$C,'custody %'!$B$85),"")</f>
        <v/>
      </c>
      <c r="I90" s="167" t="str">
        <f>IFERROR(SUMIFS('caseload data'!K:K,'caseload data'!$C:$C,'custody %'!$B$85,'caseload data'!$D:$D,"SPO",'caseload data'!$B:$B,"custody")/SUMIFS('caseload data'!K:K,'caseload data'!$B:$B,"custody",'caseload data'!$C:$C,'custody %'!$B$85),"")</f>
        <v/>
      </c>
      <c r="J90" s="167" t="str">
        <f>IFERROR(SUMIFS('caseload data'!L:L,'caseload data'!$C:$C,'custody %'!$B$85,'caseload data'!$D:$D,"SPO",'caseload data'!$B:$B,"custody")/SUMIFS('caseload data'!L:L,'caseload data'!$B:$B,"custody",'caseload data'!$C:$C,'custody %'!$B$85),"")</f>
        <v/>
      </c>
      <c r="K90" s="167" t="str">
        <f>IFERROR(SUMIFS('caseload data'!M:M,'caseload data'!$C:$C,'custody %'!$B$85,'caseload data'!$D:$D,"SPO",'caseload data'!$B:$B,"custody")/SUMIFS('caseload data'!M:M,'caseload data'!$B:$B,"custody",'caseload data'!$C:$C,'custody %'!$B$85),"")</f>
        <v/>
      </c>
      <c r="L90" s="167" t="str">
        <f>IFERROR(SUMIFS('caseload data'!N:N,'caseload data'!$C:$C,'custody %'!$B$85,'caseload data'!$D:$D,"SPO",'caseload data'!$B:$B,"custody")/SUMIFS('caseload data'!N:N,'caseload data'!$B:$B,"custody",'caseload data'!$C:$C,'custody %'!$B$85),"")</f>
        <v/>
      </c>
      <c r="M90" s="167" t="str">
        <f>IFERROR(SUMIFS('caseload data'!O:O,'caseload data'!$C:$C,'custody %'!$B$85,'caseload data'!$D:$D,"SPO",'caseload data'!$B:$B,"custody")/SUMIFS('caseload data'!O:O,'caseload data'!$B:$B,"custody",'caseload data'!$C:$C,'custody %'!$B$85),"")</f>
        <v/>
      </c>
      <c r="N90" s="167" t="str">
        <f>IFERROR(SUMIFS('caseload data'!P:P,'caseload data'!$C:$C,'custody %'!$B$85,'caseload data'!$D:$D,"SPO",'caseload data'!$B:$B,"custody")/SUMIFS('caseload data'!P:P,'caseload data'!$B:$B,"custody",'caseload data'!$C:$C,'custody %'!$B$85),"")</f>
        <v/>
      </c>
      <c r="O90" s="167" t="str">
        <f>IFERROR(SUMIFS('caseload data'!Q:Q,'caseload data'!$C:$C,'custody %'!$B$85,'caseload data'!$D:$D,"SPO",'caseload data'!$B:$B,"custody")/SUMIFS('caseload data'!Q:Q,'caseload data'!$B:$B,"custody",'caseload data'!$C:$C,'custody %'!$B$85),"")</f>
        <v/>
      </c>
      <c r="P90" s="167" t="str">
        <f>IFERROR(SUMIFS('caseload data'!R:R,'caseload data'!$C:$C,'custody %'!$B$85,'caseload data'!$D:$D,"SPO",'caseload data'!$B:$B,"custody")/SUMIFS('caseload data'!R:R,'caseload data'!$B:$B,"custody",'caseload data'!$C:$C,'custody %'!$B$85),"")</f>
        <v/>
      </c>
      <c r="Q90" s="167" t="str">
        <f>IFERROR(SUMIFS('caseload data'!S:S,'caseload data'!$C:$C,'custody %'!$B$85,'caseload data'!$D:$D,"SPO",'caseload data'!$B:$B,"custody")/SUMIFS('caseload data'!S:S,'caseload data'!$B:$B,"custody",'caseload data'!$C:$C,'custody %'!$B$85),"")</f>
        <v/>
      </c>
      <c r="R90" s="167" t="str">
        <f>IFERROR(SUMIFS('caseload data'!T:T,'caseload data'!$C:$C,'custody %'!$B$85,'caseload data'!$D:$D,"SPO",'caseload data'!$B:$B,"custody")/SUMIFS('caseload data'!T:T,'caseload data'!$B:$B,"custody",'caseload data'!$C:$C,'custody %'!$B$85),"")</f>
        <v/>
      </c>
      <c r="T90" s="98" t="s">
        <v>1004</v>
      </c>
      <c r="U90" s="167" t="str">
        <f>IFERROR(SUMIFS('caseload data'!E:E,'caseload data'!$C:$C,'custody %'!$T$85,'caseload data'!$D:$D,"SPO",'caseload data'!$B:$B,"custody")/SUMIFS('caseload data'!E:E,'caseload data'!$B:$B,"custody",'caseload data'!$C:$C,'custody %'!$T$85),"")</f>
        <v/>
      </c>
      <c r="V90" s="167" t="str">
        <f>IFERROR(SUMIFS('caseload data'!F:F,'caseload data'!$C:$C,'custody %'!$T$85,'caseload data'!$D:$D,"SPO",'caseload data'!$B:$B,"custody")/SUMIFS('caseload data'!F:F,'caseload data'!$B:$B,"custody",'caseload data'!$C:$C,'custody %'!$T$85),"")</f>
        <v/>
      </c>
      <c r="W90" s="167" t="str">
        <f>IFERROR(SUMIFS('caseload data'!G:G,'caseload data'!$C:$C,'custody %'!$T$85,'caseload data'!$D:$D,"SPO",'caseload data'!$B:$B,"custody")/SUMIFS('caseload data'!G:G,'caseload data'!$B:$B,"custody",'caseload data'!$C:$C,'custody %'!$T$85),"")</f>
        <v/>
      </c>
      <c r="X90" s="167" t="str">
        <f>IFERROR(SUMIFS('caseload data'!H:H,'caseload data'!$C:$C,'custody %'!$T$85,'caseload data'!$D:$D,"SPO",'caseload data'!$B:$B,"custody")/SUMIFS('caseload data'!H:H,'caseload data'!$B:$B,"custody",'caseload data'!$C:$C,'custody %'!$T$85),"")</f>
        <v/>
      </c>
      <c r="Y90" s="167" t="str">
        <f>IFERROR(SUMIFS('caseload data'!I:I,'caseload data'!$C:$C,'custody %'!$T$85,'caseload data'!$D:$D,"SPO",'caseload data'!$B:$B,"custody")/SUMIFS('caseload data'!I:I,'caseload data'!$B:$B,"custody",'caseload data'!$C:$C,'custody %'!$T$85),"")</f>
        <v/>
      </c>
      <c r="Z90" s="167" t="str">
        <f>IFERROR(SUMIFS('caseload data'!J:J,'caseload data'!$C:$C,'custody %'!$T$85,'caseload data'!$D:$D,"SPO",'caseload data'!$B:$B,"custody")/SUMIFS('caseload data'!J:J,'caseload data'!$B:$B,"custody",'caseload data'!$C:$C,'custody %'!$T$85),"")</f>
        <v/>
      </c>
      <c r="AA90" s="167" t="str">
        <f>IFERROR(SUMIFS('caseload data'!K:K,'caseload data'!$C:$C,'custody %'!$T$85,'caseload data'!$D:$D,"SPO",'caseload data'!$B:$B,"custody")/SUMIFS('caseload data'!K:K,'caseload data'!$B:$B,"custody",'caseload data'!$C:$C,'custody %'!$T$85),"")</f>
        <v/>
      </c>
      <c r="AB90" s="167" t="str">
        <f>IFERROR(SUMIFS('caseload data'!L:L,'caseload data'!$C:$C,'custody %'!$T$85,'caseload data'!$D:$D,"SPO",'caseload data'!$B:$B,"custody")/SUMIFS('caseload data'!L:L,'caseload data'!$B:$B,"custody",'caseload data'!$C:$C,'custody %'!$T$85),"")</f>
        <v/>
      </c>
      <c r="AC90" s="167" t="str">
        <f>IFERROR(SUMIFS('caseload data'!M:M,'caseload data'!$C:$C,'custody %'!$T$85,'caseload data'!$D:$D,"SPO",'caseload data'!$B:$B,"custody")/SUMIFS('caseload data'!M:M,'caseload data'!$B:$B,"custody",'caseload data'!$C:$C,'custody %'!$T$85),"")</f>
        <v/>
      </c>
      <c r="AD90" s="167" t="str">
        <f>IFERROR(SUMIFS('caseload data'!N:N,'caseload data'!$C:$C,'custody %'!$T$85,'caseload data'!$D:$D,"SPO",'caseload data'!$B:$B,"custody")/SUMIFS('caseload data'!N:N,'caseload data'!$B:$B,"custody",'caseload data'!$C:$C,'custody %'!$T$85),"")</f>
        <v/>
      </c>
      <c r="AE90" s="167" t="str">
        <f>IFERROR(SUMIFS('caseload data'!O:O,'caseload data'!$C:$C,'custody %'!$T$85,'caseload data'!$D:$D,"SPO",'caseload data'!$B:$B,"custody")/SUMIFS('caseload data'!O:O,'caseload data'!$B:$B,"custody",'caseload data'!$C:$C,'custody %'!$T$85),"")</f>
        <v/>
      </c>
      <c r="AF90" s="167" t="str">
        <f>IFERROR(SUMIFS('caseload data'!P:P,'caseload data'!$C:$C,'custody %'!$T$85,'caseload data'!$D:$D,"SPO",'caseload data'!$B:$B,"custody")/SUMIFS('caseload data'!P:P,'caseload data'!$B:$B,"custody",'caseload data'!$C:$C,'custody %'!$T$85),"")</f>
        <v/>
      </c>
      <c r="AG90" s="167" t="str">
        <f>IFERROR(SUMIFS('caseload data'!Q:Q,'caseload data'!$C:$C,'custody %'!$T$85,'caseload data'!$D:$D,"SPO",'caseload data'!$B:$B,"custody")/SUMIFS('caseload data'!Q:Q,'caseload data'!$B:$B,"custody",'caseload data'!$C:$C,'custody %'!$T$85),"")</f>
        <v/>
      </c>
      <c r="AH90" s="167" t="str">
        <f>IFERROR(SUMIFS('caseload data'!R:R,'caseload data'!$C:$C,'custody %'!$T$85,'caseload data'!$D:$D,"SPO",'caseload data'!$B:$B,"custody")/SUMIFS('caseload data'!R:R,'caseload data'!$B:$B,"custody",'caseload data'!$C:$C,'custody %'!$T$85),"")</f>
        <v/>
      </c>
      <c r="AI90" s="167"/>
      <c r="AJ90" s="167"/>
    </row>
    <row r="92" spans="2:36" ht="21" customHeight="1" x14ac:dyDescent="0.15">
      <c r="B92" s="289">
        <f>HLOOKUP($B$5,Region_Table,26,0)</f>
        <v>0</v>
      </c>
      <c r="C92" s="517" t="s">
        <v>1126</v>
      </c>
      <c r="D92" s="518"/>
      <c r="E92" s="518"/>
      <c r="F92" s="518"/>
      <c r="G92" s="518"/>
      <c r="H92" s="518"/>
      <c r="I92" s="518"/>
      <c r="J92" s="518"/>
      <c r="K92" s="518"/>
      <c r="L92" s="518"/>
      <c r="M92" s="537"/>
      <c r="N92" s="537"/>
      <c r="O92" s="538"/>
      <c r="P92" s="512">
        <f>SUMIF('caseload data'!$C:$C,'custody %'!B92,'caseload data'!V:V)</f>
        <v>0</v>
      </c>
      <c r="Q92" s="529"/>
      <c r="R92" s="530"/>
      <c r="T92" s="289">
        <f>HLOOKUP($B$5,Region_Table,27,0)</f>
        <v>0</v>
      </c>
      <c r="U92" s="517" t="s">
        <v>1126</v>
      </c>
      <c r="V92" s="518"/>
      <c r="W92" s="518"/>
      <c r="X92" s="518"/>
      <c r="Y92" s="518"/>
      <c r="Z92" s="518"/>
      <c r="AA92" s="518"/>
      <c r="AB92" s="518"/>
      <c r="AC92" s="537"/>
      <c r="AD92" s="537"/>
      <c r="AE92" s="538"/>
      <c r="AF92" s="512">
        <f>SUMIF('caseload data'!$C:$C,'custody %'!T92,'caseload data'!V:V)</f>
        <v>0</v>
      </c>
      <c r="AG92" s="529"/>
      <c r="AH92" s="530"/>
    </row>
    <row r="93" spans="2:36" x14ac:dyDescent="0.15">
      <c r="B93" s="95" t="s">
        <v>1000</v>
      </c>
      <c r="C93" s="38" t="s">
        <v>864</v>
      </c>
      <c r="D93" s="38" t="s">
        <v>865</v>
      </c>
      <c r="E93" s="38" t="s">
        <v>866</v>
      </c>
      <c r="F93" s="38" t="s">
        <v>867</v>
      </c>
      <c r="G93" s="38" t="s">
        <v>868</v>
      </c>
      <c r="H93" s="38" t="s">
        <v>869</v>
      </c>
      <c r="I93" s="38" t="s">
        <v>870</v>
      </c>
      <c r="J93" s="38" t="s">
        <v>871</v>
      </c>
      <c r="K93" s="38" t="s">
        <v>872</v>
      </c>
      <c r="L93" s="38" t="s">
        <v>873</v>
      </c>
      <c r="M93" s="38" t="s">
        <v>874</v>
      </c>
      <c r="N93" s="38" t="s">
        <v>875</v>
      </c>
      <c r="O93" s="38" t="s">
        <v>876</v>
      </c>
      <c r="P93" s="38" t="s">
        <v>877</v>
      </c>
      <c r="Q93" s="38" t="s">
        <v>878</v>
      </c>
      <c r="R93" s="38" t="s">
        <v>879</v>
      </c>
      <c r="T93" s="95" t="s">
        <v>1000</v>
      </c>
      <c r="U93" s="38" t="s">
        <v>864</v>
      </c>
      <c r="V93" s="38" t="s">
        <v>865</v>
      </c>
      <c r="W93" s="38" t="s">
        <v>866</v>
      </c>
      <c r="X93" s="38" t="s">
        <v>867</v>
      </c>
      <c r="Y93" s="38" t="s">
        <v>868</v>
      </c>
      <c r="Z93" s="38" t="s">
        <v>869</v>
      </c>
      <c r="AA93" s="38" t="s">
        <v>870</v>
      </c>
      <c r="AB93" s="38" t="s">
        <v>871</v>
      </c>
      <c r="AC93" s="38" t="s">
        <v>872</v>
      </c>
      <c r="AD93" s="38" t="s">
        <v>873</v>
      </c>
      <c r="AE93" s="38" t="s">
        <v>874</v>
      </c>
      <c r="AF93" s="38" t="s">
        <v>875</v>
      </c>
      <c r="AG93" s="38" t="s">
        <v>876</v>
      </c>
      <c r="AH93" s="38" t="s">
        <v>877</v>
      </c>
      <c r="AI93" s="38" t="s">
        <v>878</v>
      </c>
      <c r="AJ93" s="38" t="s">
        <v>879</v>
      </c>
    </row>
    <row r="94" spans="2:36" x14ac:dyDescent="0.15">
      <c r="B94" s="96" t="s">
        <v>997</v>
      </c>
      <c r="C94" s="167" t="str">
        <f>IFERROR(SUMIFS('caseload data'!E:E,'caseload data'!$C:$C,'custody %'!$B$92,'caseload data'!$D:$D,"PO",'caseload data'!$B:$B,"custody")/SUMIFS('caseload data'!E:E,'caseload data'!$B:$B,"custody",'caseload data'!$C:$C,'custody %'!$B$92),"")</f>
        <v/>
      </c>
      <c r="D94" s="167" t="str">
        <f>IFERROR(SUMIFS('caseload data'!F:F,'caseload data'!$C:$C,'custody %'!$B$92,'caseload data'!$D:$D,"PO",'caseload data'!$B:$B,"custody")/SUMIFS('caseload data'!F:F,'caseload data'!$B:$B,"custody",'caseload data'!$C:$C,'custody %'!$B$92),"")</f>
        <v/>
      </c>
      <c r="E94" s="167" t="str">
        <f>IFERROR(SUMIFS('caseload data'!G:G,'caseload data'!$C:$C,'custody %'!$B$92,'caseload data'!$D:$D,"PO",'caseload data'!$B:$B,"custody")/SUMIFS('caseload data'!G:G,'caseload data'!$B:$B,"custody",'caseload data'!$C:$C,'custody %'!$B$92),"")</f>
        <v/>
      </c>
      <c r="F94" s="167" t="str">
        <f>IFERROR(SUMIFS('caseload data'!H:H,'caseload data'!$C:$C,'custody %'!$B$92,'caseload data'!$D:$D,"PO",'caseload data'!$B:$B,"custody")/SUMIFS('caseload data'!H:H,'caseload data'!$B:$B,"custody",'caseload data'!$C:$C,'custody %'!$B$92),"")</f>
        <v/>
      </c>
      <c r="G94" s="167" t="str">
        <f>IFERROR(SUMIFS('caseload data'!I:I,'caseload data'!$C:$C,'custody %'!$B$92,'caseload data'!$D:$D,"PO",'caseload data'!$B:$B,"custody")/SUMIFS('caseload data'!I:I,'caseload data'!$B:$B,"custody",'caseload data'!$C:$C,'custody %'!$B$92),"")</f>
        <v/>
      </c>
      <c r="H94" s="167" t="str">
        <f>IFERROR(SUMIFS('caseload data'!J:J,'caseload data'!$C:$C,'custody %'!$B$92,'caseload data'!$D:$D,"PO",'caseload data'!$B:$B,"custody")/SUMIFS('caseload data'!J:J,'caseload data'!$B:$B,"custody",'caseload data'!$C:$C,'custody %'!$B$92),"")</f>
        <v/>
      </c>
      <c r="I94" s="167" t="str">
        <f>IFERROR(SUMIFS('caseload data'!K:K,'caseload data'!$C:$C,'custody %'!$B$92,'caseload data'!$D:$D,"PO",'caseload data'!$B:$B,"custody")/SUMIFS('caseload data'!K:K,'caseload data'!$B:$B,"custody",'caseload data'!$C:$C,'custody %'!$B$92),"")</f>
        <v/>
      </c>
      <c r="J94" s="167" t="str">
        <f>IFERROR(SUMIFS('caseload data'!L:L,'caseload data'!$C:$C,'custody %'!$B$92,'caseload data'!$D:$D,"PO",'caseload data'!$B:$B,"custody")/SUMIFS('caseload data'!L:L,'caseload data'!$B:$B,"custody",'caseload data'!$C:$C,'custody %'!$B$92),"")</f>
        <v/>
      </c>
      <c r="K94" s="167" t="str">
        <f>IFERROR(SUMIFS('caseload data'!M:M,'caseload data'!$C:$C,'custody %'!$B$92,'caseload data'!$D:$D,"PO",'caseload data'!$B:$B,"custody")/SUMIFS('caseload data'!M:M,'caseload data'!$B:$B,"custody",'caseload data'!$C:$C,'custody %'!$B$92),"")</f>
        <v/>
      </c>
      <c r="L94" s="167" t="str">
        <f>IFERROR(SUMIFS('caseload data'!N:N,'caseload data'!$C:$C,'custody %'!$B$92,'caseload data'!$D:$D,"PO",'caseload data'!$B:$B,"custody")/SUMIFS('caseload data'!N:N,'caseload data'!$B:$B,"custody",'caseload data'!$C:$C,'custody %'!$B$92),"")</f>
        <v/>
      </c>
      <c r="M94" s="167" t="str">
        <f>IFERROR(SUMIFS('caseload data'!O:O,'caseload data'!$C:$C,'custody %'!$B$92,'caseload data'!$D:$D,"PO",'caseload data'!$B:$B,"custody")/SUMIFS('caseload data'!O:O,'caseload data'!$B:$B,"custody",'caseload data'!$C:$C,'custody %'!$B$92),"")</f>
        <v/>
      </c>
      <c r="N94" s="167" t="str">
        <f>IFERROR(SUMIFS('caseload data'!P:P,'caseload data'!$C:$C,'custody %'!$B$92,'caseload data'!$D:$D,"PO",'caseload data'!$B:$B,"custody")/SUMIFS('caseload data'!P:P,'caseload data'!$B:$B,"custody",'caseload data'!$C:$C,'custody %'!$B$92),"")</f>
        <v/>
      </c>
      <c r="O94" s="167" t="str">
        <f>IFERROR(SUMIFS('caseload data'!Q:Q,'caseload data'!$C:$C,'custody %'!$B$92,'caseload data'!$D:$D,"PO",'caseload data'!$B:$B,"custody")/SUMIFS('caseload data'!Q:Q,'caseload data'!$B:$B,"custody",'caseload data'!$C:$C,'custody %'!$B$92),"")</f>
        <v/>
      </c>
      <c r="P94" s="167" t="str">
        <f>IFERROR(SUMIFS('caseload data'!R:R,'caseload data'!$C:$C,'custody %'!$B$92,'caseload data'!$D:$D,"PO",'caseload data'!$B:$B,"custody")/SUMIFS('caseload data'!R:R,'caseload data'!$B:$B,"custody",'caseload data'!$C:$C,'custody %'!$B$92),"")</f>
        <v/>
      </c>
      <c r="Q94" s="167" t="str">
        <f>IFERROR(SUMIFS('caseload data'!S:S,'caseload data'!$C:$C,'custody %'!$B$92,'caseload data'!$D:$D,"PO",'caseload data'!$B:$B,"custody")/SUMIFS('caseload data'!S:S,'caseload data'!$B:$B,"custody",'caseload data'!$C:$C,'custody %'!$B$92),"")</f>
        <v/>
      </c>
      <c r="R94" s="167" t="str">
        <f>IFERROR(SUMIFS('caseload data'!T:T,'caseload data'!$C:$C,'custody %'!$B$92,'caseload data'!$D:$D,"PO",'caseload data'!$B:$B,"custody")/SUMIFS('caseload data'!T:T,'caseload data'!$B:$B,"custody",'caseload data'!$C:$C,'custody %'!$B$92),"")</f>
        <v/>
      </c>
      <c r="T94" s="96" t="s">
        <v>997</v>
      </c>
      <c r="U94" s="167" t="str">
        <f>IFERROR(SUMIFS('caseload data'!E:E,'caseload data'!$C:$C,'custody %'!$T$92,'caseload data'!$D:$D,"PO",'caseload data'!$B:$B,"custody")/SUMIFS('caseload data'!E:E,'caseload data'!$B:$B,"custody",'caseload data'!$C:$C,'custody %'!$T$92),"")</f>
        <v/>
      </c>
      <c r="V94" s="167" t="str">
        <f>IFERROR(SUMIFS('caseload data'!F:F,'caseload data'!$C:$C,'custody %'!$T$92,'caseload data'!$D:$D,"PO",'caseload data'!$B:$B,"custody")/SUMIFS('caseload data'!F:F,'caseload data'!$B:$B,"custody",'caseload data'!$C:$C,'custody %'!$T$92),"")</f>
        <v/>
      </c>
      <c r="W94" s="167" t="str">
        <f>IFERROR(SUMIFS('caseload data'!G:G,'caseload data'!$C:$C,'custody %'!$T$92,'caseload data'!$D:$D,"PO",'caseload data'!$B:$B,"custody")/SUMIFS('caseload data'!G:G,'caseload data'!$B:$B,"custody",'caseload data'!$C:$C,'custody %'!$T$92),"")</f>
        <v/>
      </c>
      <c r="X94" s="167" t="str">
        <f>IFERROR(SUMIFS('caseload data'!H:H,'caseload data'!$C:$C,'custody %'!$T$92,'caseload data'!$D:$D,"PO",'caseload data'!$B:$B,"custody")/SUMIFS('caseload data'!H:H,'caseload data'!$B:$B,"custody",'caseload data'!$C:$C,'custody %'!$T$92),"")</f>
        <v/>
      </c>
      <c r="Y94" s="167" t="str">
        <f>IFERROR(SUMIFS('caseload data'!I:I,'caseload data'!$C:$C,'custody %'!$T$92,'caseload data'!$D:$D,"PO",'caseload data'!$B:$B,"custody")/SUMIFS('caseload data'!I:I,'caseload data'!$B:$B,"custody",'caseload data'!$C:$C,'custody %'!$T$92),"")</f>
        <v/>
      </c>
      <c r="Z94" s="167" t="str">
        <f>IFERROR(SUMIFS('caseload data'!J:J,'caseload data'!$C:$C,'custody %'!$T$92,'caseload data'!$D:$D,"PO",'caseload data'!$B:$B,"custody")/SUMIFS('caseload data'!J:J,'caseload data'!$B:$B,"custody",'caseload data'!$C:$C,'custody %'!$T$92),"")</f>
        <v/>
      </c>
      <c r="AA94" s="167" t="str">
        <f>IFERROR(SUMIFS('caseload data'!K:K,'caseload data'!$C:$C,'custody %'!$T$92,'caseload data'!$D:$D,"PO",'caseload data'!$B:$B,"custody")/SUMIFS('caseload data'!K:K,'caseload data'!$B:$B,"custody",'caseload data'!$C:$C,'custody %'!$T$92),"")</f>
        <v/>
      </c>
      <c r="AB94" s="167" t="str">
        <f>IFERROR(SUMIFS('caseload data'!L:L,'caseload data'!$C:$C,'custody %'!$T$92,'caseload data'!$D:$D,"PO",'caseload data'!$B:$B,"custody")/SUMIFS('caseload data'!L:L,'caseload data'!$B:$B,"custody",'caseload data'!$C:$C,'custody %'!$T$92),"")</f>
        <v/>
      </c>
      <c r="AC94" s="167" t="str">
        <f>IFERROR(SUMIFS('caseload data'!M:M,'caseload data'!$C:$C,'custody %'!$T$92,'caseload data'!$D:$D,"PO",'caseload data'!$B:$B,"custody")/SUMIFS('caseload data'!M:M,'caseload data'!$B:$B,"custody",'caseload data'!$C:$C,'custody %'!$T$92),"")</f>
        <v/>
      </c>
      <c r="AD94" s="167" t="str">
        <f>IFERROR(SUMIFS('caseload data'!N:N,'caseload data'!$C:$C,'custody %'!$T$92,'caseload data'!$D:$D,"PO",'caseload data'!$B:$B,"custody")/SUMIFS('caseload data'!N:N,'caseload data'!$B:$B,"custody",'caseload data'!$C:$C,'custody %'!$T$92),"")</f>
        <v/>
      </c>
      <c r="AE94" s="167" t="str">
        <f>IFERROR(SUMIFS('caseload data'!O:O,'caseload data'!$C:$C,'custody %'!$T$92,'caseload data'!$D:$D,"PO",'caseload data'!$B:$B,"custody")/SUMIFS('caseload data'!O:O,'caseload data'!$B:$B,"custody",'caseload data'!$C:$C,'custody %'!$T$92),"")</f>
        <v/>
      </c>
      <c r="AF94" s="167" t="str">
        <f>IFERROR(SUMIFS('caseload data'!P:P,'caseload data'!$C:$C,'custody %'!$T$92,'caseload data'!$D:$D,"PO",'caseload data'!$B:$B,"custody")/SUMIFS('caseload data'!P:P,'caseload data'!$B:$B,"custody",'caseload data'!$C:$C,'custody %'!$T$92),"")</f>
        <v/>
      </c>
      <c r="AG94" s="167" t="str">
        <f>IFERROR(SUMIFS('caseload data'!Q:Q,'caseload data'!$C:$C,'custody %'!$T$92,'caseload data'!$D:$D,"PO",'caseload data'!$B:$B,"custody")/SUMIFS('caseload data'!Q:Q,'caseload data'!$B:$B,"custody",'caseload data'!$C:$C,'custody %'!$T$92),"")</f>
        <v/>
      </c>
      <c r="AH94" s="167" t="str">
        <f>IFERROR(SUMIFS('caseload data'!R:R,'caseload data'!$C:$C,'custody %'!$T$92,'caseload data'!$D:$D,"PO",'caseload data'!$B:$B,"custody")/SUMIFS('caseload data'!R:R,'caseload data'!$B:$B,"custody",'caseload data'!$C:$C,'custody %'!$T$92),"")</f>
        <v/>
      </c>
      <c r="AI94" s="167"/>
      <c r="AJ94" s="167"/>
    </row>
    <row r="95" spans="2:36" x14ac:dyDescent="0.15">
      <c r="B95" s="97" t="s">
        <v>1002</v>
      </c>
      <c r="C95" s="167" t="str">
        <f>IFERROR(SUMIFS('caseload data'!E:E,'caseload data'!$C:$C,'custody %'!$B$92,'caseload data'!$D:$D,"PSO",'caseload data'!$B:$B,"custody")/SUMIFS('caseload data'!E:E,'caseload data'!$B:$B,"custody",'caseload data'!$C:$C,'custody %'!$B$92),"")</f>
        <v/>
      </c>
      <c r="D95" s="167" t="str">
        <f>IFERROR(SUMIFS('caseload data'!F:F,'caseload data'!$C:$C,'custody %'!$B$92,'caseload data'!$D:$D,"PSO",'caseload data'!$B:$B,"custody")/SUMIFS('caseload data'!F:F,'caseload data'!$B:$B,"custody",'caseload data'!$C:$C,'custody %'!$B$92),"")</f>
        <v/>
      </c>
      <c r="E95" s="167" t="str">
        <f>IFERROR(SUMIFS('caseload data'!G:G,'caseload data'!$C:$C,'custody %'!$B$92,'caseload data'!$D:$D,"PSO",'caseload data'!$B:$B,"custody")/SUMIFS('caseload data'!G:G,'caseload data'!$B:$B,"custody",'caseload data'!$C:$C,'custody %'!$B$92),"")</f>
        <v/>
      </c>
      <c r="F95" s="167" t="str">
        <f>IFERROR(SUMIFS('caseload data'!H:H,'caseload data'!$C:$C,'custody %'!$B$92,'caseload data'!$D:$D,"PSO",'caseload data'!$B:$B,"custody")/SUMIFS('caseload data'!H:H,'caseload data'!$B:$B,"custody",'caseload data'!$C:$C,'custody %'!$B$92),"")</f>
        <v/>
      </c>
      <c r="G95" s="167" t="str">
        <f>IFERROR(SUMIFS('caseload data'!I:I,'caseload data'!$C:$C,'custody %'!$B$92,'caseload data'!$D:$D,"PSO",'caseload data'!$B:$B,"custody")/SUMIFS('caseload data'!I:I,'caseload data'!$B:$B,"custody",'caseload data'!$C:$C,'custody %'!$B$92),"")</f>
        <v/>
      </c>
      <c r="H95" s="167" t="str">
        <f>IFERROR(SUMIFS('caseload data'!J:J,'caseload data'!$C:$C,'custody %'!$B$92,'caseload data'!$D:$D,"PSO",'caseload data'!$B:$B,"custody")/SUMIFS('caseload data'!J:J,'caseload data'!$B:$B,"custody",'caseload data'!$C:$C,'custody %'!$B$92),"")</f>
        <v/>
      </c>
      <c r="I95" s="167" t="str">
        <f>IFERROR(SUMIFS('caseload data'!K:K,'caseload data'!$C:$C,'custody %'!$B$92,'caseload data'!$D:$D,"PSO",'caseload data'!$B:$B,"custody")/SUMIFS('caseload data'!K:K,'caseload data'!$B:$B,"custody",'caseload data'!$C:$C,'custody %'!$B$92),"")</f>
        <v/>
      </c>
      <c r="J95" s="167" t="str">
        <f>IFERROR(SUMIFS('caseload data'!L:L,'caseload data'!$C:$C,'custody %'!$B$92,'caseload data'!$D:$D,"PSO",'caseload data'!$B:$B,"custody")/SUMIFS('caseload data'!L:L,'caseload data'!$B:$B,"custody",'caseload data'!$C:$C,'custody %'!$B$92),"")</f>
        <v/>
      </c>
      <c r="K95" s="167" t="str">
        <f>IFERROR(SUMIFS('caseload data'!M:M,'caseload data'!$C:$C,'custody %'!$B$92,'caseload data'!$D:$D,"PSO",'caseload data'!$B:$B,"custody")/SUMIFS('caseload data'!M:M,'caseload data'!$B:$B,"custody",'caseload data'!$C:$C,'custody %'!$B$92),"")</f>
        <v/>
      </c>
      <c r="L95" s="167" t="str">
        <f>IFERROR(SUMIFS('caseload data'!N:N,'caseload data'!$C:$C,'custody %'!$B$92,'caseload data'!$D:$D,"PSO",'caseload data'!$B:$B,"custody")/SUMIFS('caseload data'!N:N,'caseload data'!$B:$B,"custody",'caseload data'!$C:$C,'custody %'!$B$92),"")</f>
        <v/>
      </c>
      <c r="M95" s="167" t="str">
        <f>IFERROR(SUMIFS('caseload data'!O:O,'caseload data'!$C:$C,'custody %'!$B$92,'caseload data'!$D:$D,"PSO",'caseload data'!$B:$B,"custody")/SUMIFS('caseload data'!O:O,'caseload data'!$B:$B,"custody",'caseload data'!$C:$C,'custody %'!$B$92),"")</f>
        <v/>
      </c>
      <c r="N95" s="167" t="str">
        <f>IFERROR(SUMIFS('caseload data'!P:P,'caseload data'!$C:$C,'custody %'!$B$92,'caseload data'!$D:$D,"PSO",'caseload data'!$B:$B,"custody")/SUMIFS('caseload data'!P:P,'caseload data'!$B:$B,"custody",'caseload data'!$C:$C,'custody %'!$B$92),"")</f>
        <v/>
      </c>
      <c r="O95" s="167" t="str">
        <f>IFERROR(SUMIFS('caseload data'!Q:Q,'caseload data'!$C:$C,'custody %'!$B$92,'caseload data'!$D:$D,"PSO",'caseload data'!$B:$B,"custody")/SUMIFS('caseload data'!Q:Q,'caseload data'!$B:$B,"custody",'caseload data'!$C:$C,'custody %'!$B$92),"")</f>
        <v/>
      </c>
      <c r="P95" s="167" t="str">
        <f>IFERROR(SUMIFS('caseload data'!R:R,'caseload data'!$C:$C,'custody %'!$B$92,'caseload data'!$D:$D,"PSO",'caseload data'!$B:$B,"custody")/SUMIFS('caseload data'!R:R,'caseload data'!$B:$B,"custody",'caseload data'!$C:$C,'custody %'!$B$92),"")</f>
        <v/>
      </c>
      <c r="Q95" s="167" t="str">
        <f>IFERROR(SUMIFS('caseload data'!S:S,'caseload data'!$C:$C,'custody %'!$B$92,'caseload data'!$D:$D,"PSO",'caseload data'!$B:$B,"custody")/SUMIFS('caseload data'!S:S,'caseload data'!$B:$B,"custody",'caseload data'!$C:$C,'custody %'!$B$92),"")</f>
        <v/>
      </c>
      <c r="R95" s="167" t="str">
        <f>IFERROR(SUMIFS('caseload data'!T:T,'caseload data'!$C:$C,'custody %'!$B$92,'caseload data'!$D:$D,"PSO",'caseload data'!$B:$B,"custody")/SUMIFS('caseload data'!T:T,'caseload data'!$B:$B,"custody",'caseload data'!$C:$C,'custody %'!$B$92),"")</f>
        <v/>
      </c>
      <c r="T95" s="97" t="s">
        <v>1002</v>
      </c>
      <c r="U95" s="167" t="str">
        <f>IFERROR(SUMIFS('caseload data'!E:E,'caseload data'!$C:$C,'custody %'!$T$92,'caseload data'!$D:$D,"PSO",'caseload data'!$B:$B,"custody")/SUMIFS('caseload data'!E:E,'caseload data'!$B:$B,"custody",'caseload data'!$C:$C,'custody %'!$T$92),"")</f>
        <v/>
      </c>
      <c r="V95" s="167" t="str">
        <f>IFERROR(SUMIFS('caseload data'!F:F,'caseload data'!$C:$C,'custody %'!$T$92,'caseload data'!$D:$D,"PSO",'caseload data'!$B:$B,"custody")/SUMIFS('caseload data'!F:F,'caseload data'!$B:$B,"custody",'caseload data'!$C:$C,'custody %'!$T$92),"")</f>
        <v/>
      </c>
      <c r="W95" s="167" t="str">
        <f>IFERROR(SUMIFS('caseload data'!G:G,'caseload data'!$C:$C,'custody %'!$T$92,'caseload data'!$D:$D,"PSO",'caseload data'!$B:$B,"custody")/SUMIFS('caseload data'!G:G,'caseload data'!$B:$B,"custody",'caseload data'!$C:$C,'custody %'!$T$92),"")</f>
        <v/>
      </c>
      <c r="X95" s="167" t="str">
        <f>IFERROR(SUMIFS('caseload data'!H:H,'caseload data'!$C:$C,'custody %'!$T$92,'caseload data'!$D:$D,"PSO",'caseload data'!$B:$B,"custody")/SUMIFS('caseload data'!H:H,'caseload data'!$B:$B,"custody",'caseload data'!$C:$C,'custody %'!$T$92),"")</f>
        <v/>
      </c>
      <c r="Y95" s="167" t="str">
        <f>IFERROR(SUMIFS('caseload data'!I:I,'caseload data'!$C:$C,'custody %'!$T$92,'caseload data'!$D:$D,"PSO",'caseload data'!$B:$B,"custody")/SUMIFS('caseload data'!I:I,'caseload data'!$B:$B,"custody",'caseload data'!$C:$C,'custody %'!$T$92),"")</f>
        <v/>
      </c>
      <c r="Z95" s="167" t="str">
        <f>IFERROR(SUMIFS('caseload data'!J:J,'caseload data'!$C:$C,'custody %'!$T$92,'caseload data'!$D:$D,"PSO",'caseload data'!$B:$B,"custody")/SUMIFS('caseload data'!J:J,'caseload data'!$B:$B,"custody",'caseload data'!$C:$C,'custody %'!$T$92),"")</f>
        <v/>
      </c>
      <c r="AA95" s="167" t="str">
        <f>IFERROR(SUMIFS('caseload data'!K:K,'caseload data'!$C:$C,'custody %'!$T$92,'caseload data'!$D:$D,"PSO",'caseload data'!$B:$B,"custody")/SUMIFS('caseload data'!K:K,'caseload data'!$B:$B,"custody",'caseload data'!$C:$C,'custody %'!$T$92),"")</f>
        <v/>
      </c>
      <c r="AB95" s="167" t="str">
        <f>IFERROR(SUMIFS('caseload data'!L:L,'caseload data'!$C:$C,'custody %'!$T$92,'caseload data'!$D:$D,"PSO",'caseload data'!$B:$B,"custody")/SUMIFS('caseload data'!L:L,'caseload data'!$B:$B,"custody",'caseload data'!$C:$C,'custody %'!$T$92),"")</f>
        <v/>
      </c>
      <c r="AC95" s="167" t="str">
        <f>IFERROR(SUMIFS('caseload data'!M:M,'caseload data'!$C:$C,'custody %'!$T$92,'caseload data'!$D:$D,"PSO",'caseload data'!$B:$B,"custody")/SUMIFS('caseload data'!M:M,'caseload data'!$B:$B,"custody",'caseload data'!$C:$C,'custody %'!$T$92),"")</f>
        <v/>
      </c>
      <c r="AD95" s="167" t="str">
        <f>IFERROR(SUMIFS('caseload data'!N:N,'caseload data'!$C:$C,'custody %'!$T$92,'caseload data'!$D:$D,"PSO",'caseload data'!$B:$B,"custody")/SUMIFS('caseload data'!N:N,'caseload data'!$B:$B,"custody",'caseload data'!$C:$C,'custody %'!$T$92),"")</f>
        <v/>
      </c>
      <c r="AE95" s="167" t="str">
        <f>IFERROR(SUMIFS('caseload data'!O:O,'caseload data'!$C:$C,'custody %'!$T$92,'caseload data'!$D:$D,"PSO",'caseload data'!$B:$B,"custody")/SUMIFS('caseload data'!O:O,'caseload data'!$B:$B,"custody",'caseload data'!$C:$C,'custody %'!$T$92),"")</f>
        <v/>
      </c>
      <c r="AF95" s="167" t="str">
        <f>IFERROR(SUMIFS('caseload data'!P:P,'caseload data'!$C:$C,'custody %'!$T$92,'caseload data'!$D:$D,"PSO",'caseload data'!$B:$B,"custody")/SUMIFS('caseload data'!P:P,'caseload data'!$B:$B,"custody",'caseload data'!$C:$C,'custody %'!$T$92),"")</f>
        <v/>
      </c>
      <c r="AG95" s="167" t="str">
        <f>IFERROR(SUMIFS('caseload data'!Q:Q,'caseload data'!$C:$C,'custody %'!$T$92,'caseload data'!$D:$D,"PSO",'caseload data'!$B:$B,"custody")/SUMIFS('caseload data'!Q:Q,'caseload data'!$B:$B,"custody",'caseload data'!$C:$C,'custody %'!$T$92),"")</f>
        <v/>
      </c>
      <c r="AH95" s="167" t="str">
        <f>IFERROR(SUMIFS('caseload data'!R:R,'caseload data'!$C:$C,'custody %'!$T$92,'caseload data'!$D:$D,"PSO",'caseload data'!$B:$B,"custody")/SUMIFS('caseload data'!R:R,'caseload data'!$B:$B,"custody",'caseload data'!$C:$C,'custody %'!$T$92),"")</f>
        <v/>
      </c>
      <c r="AI95" s="167"/>
      <c r="AJ95" s="167"/>
    </row>
    <row r="96" spans="2:36" x14ac:dyDescent="0.15">
      <c r="B96" s="97" t="s">
        <v>1003</v>
      </c>
      <c r="C96" s="167" t="str">
        <f>IFERROR(SUMIFS('caseload data'!E:E,'caseload data'!$C:$C,'custody %'!$B$92,'caseload data'!$D:$D,"TPO",'caseload data'!$B:$B,"custody")/SUMIFS('caseload data'!E:E,'caseload data'!$B:$B,"custody",'caseload data'!$C:$C,'custody %'!$B$92),"")</f>
        <v/>
      </c>
      <c r="D96" s="167" t="str">
        <f>IFERROR(SUMIFS('caseload data'!F:F,'caseload data'!$C:$C,'custody %'!$B$92,'caseload data'!$D:$D,"TPO",'caseload data'!$B:$B,"custody")/SUMIFS('caseload data'!F:F,'caseload data'!$B:$B,"custody",'caseload data'!$C:$C,'custody %'!$B$92),"")</f>
        <v/>
      </c>
      <c r="E96" s="167" t="str">
        <f>IFERROR(SUMIFS('caseload data'!G:G,'caseload data'!$C:$C,'custody %'!$B$92,'caseload data'!$D:$D,"TPO",'caseload data'!$B:$B,"custody")/SUMIFS('caseload data'!G:G,'caseload data'!$B:$B,"custody",'caseload data'!$C:$C,'custody %'!$B$92),"")</f>
        <v/>
      </c>
      <c r="F96" s="167" t="str">
        <f>IFERROR(SUMIFS('caseload data'!H:H,'caseload data'!$C:$C,'custody %'!$B$92,'caseload data'!$D:$D,"TPO",'caseload data'!$B:$B,"custody")/SUMIFS('caseload data'!H:H,'caseload data'!$B:$B,"custody",'caseload data'!$C:$C,'custody %'!$B$92),"")</f>
        <v/>
      </c>
      <c r="G96" s="167" t="str">
        <f>IFERROR(SUMIFS('caseload data'!I:I,'caseload data'!$C:$C,'custody %'!$B$92,'caseload data'!$D:$D,"TPO",'caseload data'!$B:$B,"custody")/SUMIFS('caseload data'!I:I,'caseload data'!$B:$B,"custody",'caseload data'!$C:$C,'custody %'!$B$92),"")</f>
        <v/>
      </c>
      <c r="H96" s="167" t="str">
        <f>IFERROR(SUMIFS('caseload data'!J:J,'caseload data'!$C:$C,'custody %'!$B$92,'caseload data'!$D:$D,"TPO",'caseload data'!$B:$B,"custody")/SUMIFS('caseload data'!J:J,'caseload data'!$B:$B,"custody",'caseload data'!$C:$C,'custody %'!$B$92),"")</f>
        <v/>
      </c>
      <c r="I96" s="167" t="str">
        <f>IFERROR(SUMIFS('caseload data'!K:K,'caseload data'!$C:$C,'custody %'!$B$92,'caseload data'!$D:$D,"TPO",'caseload data'!$B:$B,"custody")/SUMIFS('caseload data'!K:K,'caseload data'!$B:$B,"custody",'caseload data'!$C:$C,'custody %'!$B$92),"")</f>
        <v/>
      </c>
      <c r="J96" s="167" t="str">
        <f>IFERROR(SUMIFS('caseload data'!L:L,'caseload data'!$C:$C,'custody %'!$B$92,'caseload data'!$D:$D,"TPO",'caseload data'!$B:$B,"custody")/SUMIFS('caseload data'!L:L,'caseload data'!$B:$B,"custody",'caseload data'!$C:$C,'custody %'!$B$92),"")</f>
        <v/>
      </c>
      <c r="K96" s="167" t="str">
        <f>IFERROR(SUMIFS('caseload data'!M:M,'caseload data'!$C:$C,'custody %'!$B$92,'caseload data'!$D:$D,"TPO",'caseload data'!$B:$B,"custody")/SUMIFS('caseload data'!M:M,'caseload data'!$B:$B,"custody",'caseload data'!$C:$C,'custody %'!$B$92),"")</f>
        <v/>
      </c>
      <c r="L96" s="167" t="str">
        <f>IFERROR(SUMIFS('caseload data'!N:N,'caseload data'!$C:$C,'custody %'!$B$92,'caseload data'!$D:$D,"TPO",'caseload data'!$B:$B,"custody")/SUMIFS('caseload data'!N:N,'caseload data'!$B:$B,"custody",'caseload data'!$C:$C,'custody %'!$B$92),"")</f>
        <v/>
      </c>
      <c r="M96" s="167" t="str">
        <f>IFERROR(SUMIFS('caseload data'!O:O,'caseload data'!$C:$C,'custody %'!$B$92,'caseload data'!$D:$D,"TPO",'caseload data'!$B:$B,"custody")/SUMIFS('caseload data'!O:O,'caseload data'!$B:$B,"custody",'caseload data'!$C:$C,'custody %'!$B$92),"")</f>
        <v/>
      </c>
      <c r="N96" s="167" t="str">
        <f>IFERROR(SUMIFS('caseload data'!P:P,'caseload data'!$C:$C,'custody %'!$B$92,'caseload data'!$D:$D,"TPO",'caseload data'!$B:$B,"custody")/SUMIFS('caseload data'!P:P,'caseload data'!$B:$B,"custody",'caseload data'!$C:$C,'custody %'!$B$92),"")</f>
        <v/>
      </c>
      <c r="O96" s="167" t="str">
        <f>IFERROR(SUMIFS('caseload data'!Q:Q,'caseload data'!$C:$C,'custody %'!$B$92,'caseload data'!$D:$D,"TPO",'caseload data'!$B:$B,"custody")/SUMIFS('caseload data'!Q:Q,'caseload data'!$B:$B,"custody",'caseload data'!$C:$C,'custody %'!$B$92),"")</f>
        <v/>
      </c>
      <c r="P96" s="167" t="str">
        <f>IFERROR(SUMIFS('caseload data'!R:R,'caseload data'!$C:$C,'custody %'!$B$92,'caseload data'!$D:$D,"TPO",'caseload data'!$B:$B,"custody")/SUMIFS('caseload data'!R:R,'caseload data'!$B:$B,"custody",'caseload data'!$C:$C,'custody %'!$B$92),"")</f>
        <v/>
      </c>
      <c r="Q96" s="167" t="str">
        <f>IFERROR(SUMIFS('caseload data'!S:S,'caseload data'!$C:$C,'custody %'!$B$92,'caseload data'!$D:$D,"TPO",'caseload data'!$B:$B,"custody")/SUMIFS('caseload data'!S:S,'caseload data'!$B:$B,"custody",'caseload data'!$C:$C,'custody %'!$B$92),"")</f>
        <v/>
      </c>
      <c r="R96" s="167" t="str">
        <f>IFERROR(SUMIFS('caseload data'!T:T,'caseload data'!$C:$C,'custody %'!$B$92,'caseload data'!$D:$D,"TPO",'caseload data'!$B:$B,"custody")/SUMIFS('caseload data'!T:T,'caseload data'!$B:$B,"custody",'caseload data'!$C:$C,'custody %'!$B$92),"")</f>
        <v/>
      </c>
      <c r="T96" s="97" t="s">
        <v>1003</v>
      </c>
      <c r="U96" s="167" t="str">
        <f>IFERROR(SUMIFS('caseload data'!E:E,'caseload data'!$C:$C,'custody %'!$T$92,'caseload data'!$D:$D,"TPO",'caseload data'!$B:$B,"custody")/SUMIFS('caseload data'!E:E,'caseload data'!$B:$B,"custody",'caseload data'!$C:$C,'custody %'!$T$92),"")</f>
        <v/>
      </c>
      <c r="V96" s="167" t="str">
        <f>IFERROR(SUMIFS('caseload data'!F:F,'caseload data'!$C:$C,'custody %'!$T$92,'caseload data'!$D:$D,"TPO",'caseload data'!$B:$B,"custody")/SUMIFS('caseload data'!F:F,'caseload data'!$B:$B,"custody",'caseload data'!$C:$C,'custody %'!$T$92),"")</f>
        <v/>
      </c>
      <c r="W96" s="167" t="str">
        <f>IFERROR(SUMIFS('caseload data'!G:G,'caseload data'!$C:$C,'custody %'!$T$92,'caseload data'!$D:$D,"TPO",'caseload data'!$B:$B,"custody")/SUMIFS('caseload data'!G:G,'caseload data'!$B:$B,"custody",'caseload data'!$C:$C,'custody %'!$T$92),"")</f>
        <v/>
      </c>
      <c r="X96" s="167" t="str">
        <f>IFERROR(SUMIFS('caseload data'!H:H,'caseload data'!$C:$C,'custody %'!$T$92,'caseload data'!$D:$D,"TPO",'caseload data'!$B:$B,"custody")/SUMIFS('caseload data'!H:H,'caseload data'!$B:$B,"custody",'caseload data'!$C:$C,'custody %'!$T$92),"")</f>
        <v/>
      </c>
      <c r="Y96" s="167" t="str">
        <f>IFERROR(SUMIFS('caseload data'!I:I,'caseload data'!$C:$C,'custody %'!$T$92,'caseload data'!$D:$D,"TPO",'caseload data'!$B:$B,"custody")/SUMIFS('caseload data'!I:I,'caseload data'!$B:$B,"custody",'caseload data'!$C:$C,'custody %'!$T$92),"")</f>
        <v/>
      </c>
      <c r="Z96" s="167" t="str">
        <f>IFERROR(SUMIFS('caseload data'!J:J,'caseload data'!$C:$C,'custody %'!$T$92,'caseload data'!$D:$D,"TPO",'caseload data'!$B:$B,"custody")/SUMIFS('caseload data'!J:J,'caseload data'!$B:$B,"custody",'caseload data'!$C:$C,'custody %'!$T$92),"")</f>
        <v/>
      </c>
      <c r="AA96" s="167" t="str">
        <f>IFERROR(SUMIFS('caseload data'!K:K,'caseload data'!$C:$C,'custody %'!$T$92,'caseload data'!$D:$D,"TPO",'caseload data'!$B:$B,"custody")/SUMIFS('caseload data'!K:K,'caseload data'!$B:$B,"custody",'caseload data'!$C:$C,'custody %'!$T$92),"")</f>
        <v/>
      </c>
      <c r="AB96" s="167" t="str">
        <f>IFERROR(SUMIFS('caseload data'!L:L,'caseload data'!$C:$C,'custody %'!$T$92,'caseload data'!$D:$D,"TPO",'caseload data'!$B:$B,"custody")/SUMIFS('caseload data'!L:L,'caseload data'!$B:$B,"custody",'caseload data'!$C:$C,'custody %'!$T$92),"")</f>
        <v/>
      </c>
      <c r="AC96" s="167" t="str">
        <f>IFERROR(SUMIFS('caseload data'!M:M,'caseload data'!$C:$C,'custody %'!$T$92,'caseload data'!$D:$D,"TPO",'caseload data'!$B:$B,"custody")/SUMIFS('caseload data'!M:M,'caseload data'!$B:$B,"custody",'caseload data'!$C:$C,'custody %'!$T$92),"")</f>
        <v/>
      </c>
      <c r="AD96" s="167" t="str">
        <f>IFERROR(SUMIFS('caseload data'!N:N,'caseload data'!$C:$C,'custody %'!$T$92,'caseload data'!$D:$D,"TPO",'caseload data'!$B:$B,"custody")/SUMIFS('caseload data'!N:N,'caseload data'!$B:$B,"custody",'caseload data'!$C:$C,'custody %'!$T$92),"")</f>
        <v/>
      </c>
      <c r="AE96" s="167" t="str">
        <f>IFERROR(SUMIFS('caseload data'!O:O,'caseload data'!$C:$C,'custody %'!$T$92,'caseload data'!$D:$D,"TPO",'caseload data'!$B:$B,"custody")/SUMIFS('caseload data'!O:O,'caseload data'!$B:$B,"custody",'caseload data'!$C:$C,'custody %'!$T$92),"")</f>
        <v/>
      </c>
      <c r="AF96" s="167" t="str">
        <f>IFERROR(SUMIFS('caseload data'!P:P,'caseload data'!$C:$C,'custody %'!$T$92,'caseload data'!$D:$D,"TPO",'caseload data'!$B:$B,"custody")/SUMIFS('caseload data'!P:P,'caseload data'!$B:$B,"custody",'caseload data'!$C:$C,'custody %'!$T$92),"")</f>
        <v/>
      </c>
      <c r="AG96" s="167" t="str">
        <f>IFERROR(SUMIFS('caseload data'!Q:Q,'caseload data'!$C:$C,'custody %'!$T$92,'caseload data'!$D:$D,"TPO",'caseload data'!$B:$B,"custody")/SUMIFS('caseload data'!Q:Q,'caseload data'!$B:$B,"custody",'caseload data'!$C:$C,'custody %'!$T$92),"")</f>
        <v/>
      </c>
      <c r="AH96" s="167" t="str">
        <f>IFERROR(SUMIFS('caseload data'!R:R,'caseload data'!$C:$C,'custody %'!$T$92,'caseload data'!$D:$D,"TPO",'caseload data'!$B:$B,"custody")/SUMIFS('caseload data'!R:R,'caseload data'!$B:$B,"custody",'caseload data'!$C:$C,'custody %'!$T$92),"")</f>
        <v/>
      </c>
      <c r="AI96" s="167"/>
      <c r="AJ96" s="167"/>
    </row>
    <row r="97" spans="2:36" x14ac:dyDescent="0.15">
      <c r="B97" s="98" t="s">
        <v>1004</v>
      </c>
      <c r="C97" s="167" t="str">
        <f>IFERROR(SUMIFS('caseload data'!E:E,'caseload data'!$C:$C,'custody %'!$B$92,'caseload data'!$D:$D,"SPO",'caseload data'!$B:$B,"custody")/SUMIFS('caseload data'!E:E,'caseload data'!$B:$B,"custody",'caseload data'!$C:$C,'custody %'!$B$92),"")</f>
        <v/>
      </c>
      <c r="D97" s="167" t="str">
        <f>IFERROR(SUMIFS('caseload data'!F:F,'caseload data'!$C:$C,'custody %'!$B$92,'caseload data'!$D:$D,"SPO",'caseload data'!$B:$B,"custody")/SUMIFS('caseload data'!F:F,'caseload data'!$B:$B,"custody",'caseload data'!$C:$C,'custody %'!$B$92),"")</f>
        <v/>
      </c>
      <c r="E97" s="167" t="str">
        <f>IFERROR(SUMIFS('caseload data'!G:G,'caseload data'!$C:$C,'custody %'!$B$92,'caseload data'!$D:$D,"SPO",'caseload data'!$B:$B,"custody")/SUMIFS('caseload data'!G:G,'caseload data'!$B:$B,"custody",'caseload data'!$C:$C,'custody %'!$B$92),"")</f>
        <v/>
      </c>
      <c r="F97" s="167" t="str">
        <f>IFERROR(SUMIFS('caseload data'!H:H,'caseload data'!$C:$C,'custody %'!$B$92,'caseload data'!$D:$D,"SPO",'caseload data'!$B:$B,"custody")/SUMIFS('caseload data'!H:H,'caseload data'!$B:$B,"custody",'caseload data'!$C:$C,'custody %'!$B$92),"")</f>
        <v/>
      </c>
      <c r="G97" s="167" t="str">
        <f>IFERROR(SUMIFS('caseload data'!I:I,'caseload data'!$C:$C,'custody %'!$B$92,'caseload data'!$D:$D,"SPO",'caseload data'!$B:$B,"custody")/SUMIFS('caseload data'!I:I,'caseload data'!$B:$B,"custody",'caseload data'!$C:$C,'custody %'!$B$92),"")</f>
        <v/>
      </c>
      <c r="H97" s="167" t="str">
        <f>IFERROR(SUMIFS('caseload data'!J:J,'caseload data'!$C:$C,'custody %'!$B$92,'caseload data'!$D:$D,"SPO",'caseload data'!$B:$B,"custody")/SUMIFS('caseload data'!J:J,'caseload data'!$B:$B,"custody",'caseload data'!$C:$C,'custody %'!$B$92),"")</f>
        <v/>
      </c>
      <c r="I97" s="167" t="str">
        <f>IFERROR(SUMIFS('caseload data'!K:K,'caseload data'!$C:$C,'custody %'!$B$92,'caseload data'!$D:$D,"SPO",'caseload data'!$B:$B,"custody")/SUMIFS('caseload data'!K:K,'caseload data'!$B:$B,"custody",'caseload data'!$C:$C,'custody %'!$B$92),"")</f>
        <v/>
      </c>
      <c r="J97" s="167" t="str">
        <f>IFERROR(SUMIFS('caseload data'!L:L,'caseload data'!$C:$C,'custody %'!$B$92,'caseload data'!$D:$D,"SPO",'caseload data'!$B:$B,"custody")/SUMIFS('caseload data'!L:L,'caseload data'!$B:$B,"custody",'caseload data'!$C:$C,'custody %'!$B$92),"")</f>
        <v/>
      </c>
      <c r="K97" s="167" t="str">
        <f>IFERROR(SUMIFS('caseload data'!M:M,'caseload data'!$C:$C,'custody %'!$B$92,'caseload data'!$D:$D,"SPO",'caseload data'!$B:$B,"custody")/SUMIFS('caseload data'!M:M,'caseload data'!$B:$B,"custody",'caseload data'!$C:$C,'custody %'!$B$92),"")</f>
        <v/>
      </c>
      <c r="L97" s="167" t="str">
        <f>IFERROR(SUMIFS('caseload data'!N:N,'caseload data'!$C:$C,'custody %'!$B$92,'caseload data'!$D:$D,"SPO",'caseload data'!$B:$B,"custody")/SUMIFS('caseload data'!N:N,'caseload data'!$B:$B,"custody",'caseload data'!$C:$C,'custody %'!$B$92),"")</f>
        <v/>
      </c>
      <c r="M97" s="167" t="str">
        <f>IFERROR(SUMIFS('caseload data'!O:O,'caseload data'!$C:$C,'custody %'!$B$92,'caseload data'!$D:$D,"SPO",'caseload data'!$B:$B,"custody")/SUMIFS('caseload data'!O:O,'caseload data'!$B:$B,"custody",'caseload data'!$C:$C,'custody %'!$B$92),"")</f>
        <v/>
      </c>
      <c r="N97" s="167" t="str">
        <f>IFERROR(SUMIFS('caseload data'!P:P,'caseload data'!$C:$C,'custody %'!$B$92,'caseload data'!$D:$D,"SPO",'caseload data'!$B:$B,"custody")/SUMIFS('caseload data'!P:P,'caseload data'!$B:$B,"custody",'caseload data'!$C:$C,'custody %'!$B$92),"")</f>
        <v/>
      </c>
      <c r="O97" s="167" t="str">
        <f>IFERROR(SUMIFS('caseload data'!Q:Q,'caseload data'!$C:$C,'custody %'!$B$92,'caseload data'!$D:$D,"SPO",'caseload data'!$B:$B,"custody")/SUMIFS('caseload data'!Q:Q,'caseload data'!$B:$B,"custody",'caseload data'!$C:$C,'custody %'!$B$92),"")</f>
        <v/>
      </c>
      <c r="P97" s="167" t="str">
        <f>IFERROR(SUMIFS('caseload data'!R:R,'caseload data'!$C:$C,'custody %'!$B$92,'caseload data'!$D:$D,"SPO",'caseload data'!$B:$B,"custody")/SUMIFS('caseload data'!R:R,'caseload data'!$B:$B,"custody",'caseload data'!$C:$C,'custody %'!$B$92),"")</f>
        <v/>
      </c>
      <c r="Q97" s="167" t="str">
        <f>IFERROR(SUMIFS('caseload data'!S:S,'caseload data'!$C:$C,'custody %'!$B$92,'caseload data'!$D:$D,"SPO",'caseload data'!$B:$B,"custody")/SUMIFS('caseload data'!S:S,'caseload data'!$B:$B,"custody",'caseload data'!$C:$C,'custody %'!$B$92),"")</f>
        <v/>
      </c>
      <c r="R97" s="167" t="str">
        <f>IFERROR(SUMIFS('caseload data'!T:T,'caseload data'!$C:$C,'custody %'!$B$92,'caseload data'!$D:$D,"SPO",'caseload data'!$B:$B,"custody")/SUMIFS('caseload data'!T:T,'caseload data'!$B:$B,"custody",'caseload data'!$C:$C,'custody %'!$B$92),"")</f>
        <v/>
      </c>
      <c r="T97" s="98" t="s">
        <v>1004</v>
      </c>
      <c r="U97" s="167" t="str">
        <f>IFERROR(SUMIFS('caseload data'!E:E,'caseload data'!$C:$C,'custody %'!$T$92,'caseload data'!$D:$D,"SPO",'caseload data'!$B:$B,"custody")/SUMIFS('caseload data'!E:E,'caseload data'!$B:$B,"custody",'caseload data'!$C:$C,'custody %'!$T$92),"")</f>
        <v/>
      </c>
      <c r="V97" s="167" t="str">
        <f>IFERROR(SUMIFS('caseload data'!F:F,'caseload data'!$C:$C,'custody %'!$T$92,'caseload data'!$D:$D,"SPO",'caseload data'!$B:$B,"custody")/SUMIFS('caseload data'!F:F,'caseload data'!$B:$B,"custody",'caseload data'!$C:$C,'custody %'!$T$92),"")</f>
        <v/>
      </c>
      <c r="W97" s="167" t="str">
        <f>IFERROR(SUMIFS('caseload data'!G:G,'caseload data'!$C:$C,'custody %'!$T$92,'caseload data'!$D:$D,"SPO",'caseload data'!$B:$B,"custody")/SUMIFS('caseload data'!G:G,'caseload data'!$B:$B,"custody",'caseload data'!$C:$C,'custody %'!$T$92),"")</f>
        <v/>
      </c>
      <c r="X97" s="167" t="str">
        <f>IFERROR(SUMIFS('caseload data'!H:H,'caseload data'!$C:$C,'custody %'!$T$92,'caseload data'!$D:$D,"SPO",'caseload data'!$B:$B,"custody")/SUMIFS('caseload data'!H:H,'caseload data'!$B:$B,"custody",'caseload data'!$C:$C,'custody %'!$T$92),"")</f>
        <v/>
      </c>
      <c r="Y97" s="167" t="str">
        <f>IFERROR(SUMIFS('caseload data'!I:I,'caseload data'!$C:$C,'custody %'!$T$92,'caseload data'!$D:$D,"SPO",'caseload data'!$B:$B,"custody")/SUMIFS('caseload data'!I:I,'caseload data'!$B:$B,"custody",'caseload data'!$C:$C,'custody %'!$T$92),"")</f>
        <v/>
      </c>
      <c r="Z97" s="167" t="str">
        <f>IFERROR(SUMIFS('caseload data'!J:J,'caseload data'!$C:$C,'custody %'!$T$92,'caseload data'!$D:$D,"SPO",'caseload data'!$B:$B,"custody")/SUMIFS('caseload data'!J:J,'caseload data'!$B:$B,"custody",'caseload data'!$C:$C,'custody %'!$T$92),"")</f>
        <v/>
      </c>
      <c r="AA97" s="167" t="str">
        <f>IFERROR(SUMIFS('caseload data'!K:K,'caseload data'!$C:$C,'custody %'!$T$92,'caseload data'!$D:$D,"SPO",'caseload data'!$B:$B,"custody")/SUMIFS('caseload data'!K:K,'caseload data'!$B:$B,"custody",'caseload data'!$C:$C,'custody %'!$T$92),"")</f>
        <v/>
      </c>
      <c r="AB97" s="167" t="str">
        <f>IFERROR(SUMIFS('caseload data'!L:L,'caseload data'!$C:$C,'custody %'!$T$92,'caseload data'!$D:$D,"SPO",'caseload data'!$B:$B,"custody")/SUMIFS('caseload data'!L:L,'caseload data'!$B:$B,"custody",'caseload data'!$C:$C,'custody %'!$T$92),"")</f>
        <v/>
      </c>
      <c r="AC97" s="167" t="str">
        <f>IFERROR(SUMIFS('caseload data'!M:M,'caseload data'!$C:$C,'custody %'!$T$92,'caseload data'!$D:$D,"SPO",'caseload data'!$B:$B,"custody")/SUMIFS('caseload data'!M:M,'caseload data'!$B:$B,"custody",'caseload data'!$C:$C,'custody %'!$T$92),"")</f>
        <v/>
      </c>
      <c r="AD97" s="167" t="str">
        <f>IFERROR(SUMIFS('caseload data'!N:N,'caseload data'!$C:$C,'custody %'!$T$92,'caseload data'!$D:$D,"SPO",'caseload data'!$B:$B,"custody")/SUMIFS('caseload data'!N:N,'caseload data'!$B:$B,"custody",'caseload data'!$C:$C,'custody %'!$T$92),"")</f>
        <v/>
      </c>
      <c r="AE97" s="167" t="str">
        <f>IFERROR(SUMIFS('caseload data'!O:O,'caseload data'!$C:$C,'custody %'!$T$92,'caseload data'!$D:$D,"SPO",'caseload data'!$B:$B,"custody")/SUMIFS('caseload data'!O:O,'caseload data'!$B:$B,"custody",'caseload data'!$C:$C,'custody %'!$T$92),"")</f>
        <v/>
      </c>
      <c r="AF97" s="167" t="str">
        <f>IFERROR(SUMIFS('caseload data'!P:P,'caseload data'!$C:$C,'custody %'!$T$92,'caseload data'!$D:$D,"SPO",'caseload data'!$B:$B,"custody")/SUMIFS('caseload data'!P:P,'caseload data'!$B:$B,"custody",'caseload data'!$C:$C,'custody %'!$T$92),"")</f>
        <v/>
      </c>
      <c r="AG97" s="167" t="str">
        <f>IFERROR(SUMIFS('caseload data'!Q:Q,'caseload data'!$C:$C,'custody %'!$T$92,'caseload data'!$D:$D,"SPO",'caseload data'!$B:$B,"custody")/SUMIFS('caseload data'!Q:Q,'caseload data'!$B:$B,"custody",'caseload data'!$C:$C,'custody %'!$T$92),"")</f>
        <v/>
      </c>
      <c r="AH97" s="167" t="str">
        <f>IFERROR(SUMIFS('caseload data'!R:R,'caseload data'!$C:$C,'custody %'!$T$92,'caseload data'!$D:$D,"SPO",'caseload data'!$B:$B,"custody")/SUMIFS('caseload data'!R:R,'caseload data'!$B:$B,"custody",'caseload data'!$C:$C,'custody %'!$T$92),"")</f>
        <v/>
      </c>
      <c r="AI97" s="167"/>
      <c r="AJ97" s="167"/>
    </row>
    <row r="99" spans="2:36" ht="23.25" customHeight="1" x14ac:dyDescent="0.15">
      <c r="B99" s="289">
        <f>HLOOKUP($B$5,Region_Table,28,0)</f>
        <v>0</v>
      </c>
      <c r="C99" s="517" t="s">
        <v>1126</v>
      </c>
      <c r="D99" s="518"/>
      <c r="E99" s="518"/>
      <c r="F99" s="518"/>
      <c r="G99" s="518"/>
      <c r="H99" s="518"/>
      <c r="I99" s="518"/>
      <c r="J99" s="518"/>
      <c r="K99" s="518"/>
      <c r="L99" s="518"/>
      <c r="M99" s="537"/>
      <c r="N99" s="537"/>
      <c r="O99" s="538"/>
      <c r="P99" s="512">
        <f>SUMIF('caseload data'!$C:$C,'custody %'!B99,'caseload data'!V:V)</f>
        <v>0</v>
      </c>
      <c r="Q99" s="529"/>
      <c r="R99" s="530"/>
    </row>
    <row r="100" spans="2:36" x14ac:dyDescent="0.15">
      <c r="B100" s="95" t="s">
        <v>1000</v>
      </c>
      <c r="C100" s="38" t="s">
        <v>864</v>
      </c>
      <c r="D100" s="38" t="s">
        <v>865</v>
      </c>
      <c r="E100" s="38" t="s">
        <v>866</v>
      </c>
      <c r="F100" s="38" t="s">
        <v>867</v>
      </c>
      <c r="G100" s="38" t="s">
        <v>868</v>
      </c>
      <c r="H100" s="38" t="s">
        <v>869</v>
      </c>
      <c r="I100" s="38" t="s">
        <v>870</v>
      </c>
      <c r="J100" s="38" t="s">
        <v>871</v>
      </c>
      <c r="K100" s="38" t="s">
        <v>872</v>
      </c>
      <c r="L100" s="38" t="s">
        <v>873</v>
      </c>
      <c r="M100" s="38" t="s">
        <v>874</v>
      </c>
      <c r="N100" s="38" t="s">
        <v>875</v>
      </c>
      <c r="O100" s="38" t="s">
        <v>876</v>
      </c>
      <c r="P100" s="38" t="s">
        <v>877</v>
      </c>
      <c r="Q100" s="38" t="s">
        <v>878</v>
      </c>
      <c r="R100" s="38" t="s">
        <v>879</v>
      </c>
    </row>
    <row r="101" spans="2:36" x14ac:dyDescent="0.15">
      <c r="B101" s="96" t="s">
        <v>997</v>
      </c>
      <c r="C101" s="167" t="str">
        <f>IFERROR(SUMIFS('caseload data'!E:E,'caseload data'!$C:$C,'custody %'!$B$99,'caseload data'!$D:$D,"PO",'caseload data'!$B:$B,"custody")/SUMIFS('caseload data'!E:E,'caseload data'!$B:$B,"custody",'caseload data'!$C:$C,'custody %'!$B$99),"")</f>
        <v/>
      </c>
      <c r="D101" s="167" t="str">
        <f>IFERROR(SUMIFS('caseload data'!F:F,'caseload data'!$C:$C,'custody %'!$B$99,'caseload data'!$D:$D,"PO",'caseload data'!$B:$B,"custody")/SUMIFS('caseload data'!F:F,'caseload data'!$B:$B,"custody",'caseload data'!$C:$C,'custody %'!$B$99),"")</f>
        <v/>
      </c>
      <c r="E101" s="167" t="str">
        <f>IFERROR(SUMIFS('caseload data'!G:G,'caseload data'!$C:$C,'custody %'!$B$99,'caseload data'!$D:$D,"PO",'caseload data'!$B:$B,"custody")/SUMIFS('caseload data'!G:G,'caseload data'!$B:$B,"custody",'caseload data'!$C:$C,'custody %'!$B$99),"")</f>
        <v/>
      </c>
      <c r="F101" s="167" t="str">
        <f>IFERROR(SUMIFS('caseload data'!H:H,'caseload data'!$C:$C,'custody %'!$B$99,'caseload data'!$D:$D,"PO",'caseload data'!$B:$B,"custody")/SUMIFS('caseload data'!H:H,'caseload data'!$B:$B,"custody",'caseload data'!$C:$C,'custody %'!$B$99),"")</f>
        <v/>
      </c>
      <c r="G101" s="167" t="str">
        <f>IFERROR(SUMIFS('caseload data'!I:I,'caseload data'!$C:$C,'custody %'!$B$99,'caseload data'!$D:$D,"PO",'caseload data'!$B:$B,"custody")/SUMIFS('caseload data'!I:I,'caseload data'!$B:$B,"custody",'caseload data'!$C:$C,'custody %'!$B$99),"")</f>
        <v/>
      </c>
      <c r="H101" s="167" t="str">
        <f>IFERROR(SUMIFS('caseload data'!J:J,'caseload data'!$C:$C,'custody %'!$B$99,'caseload data'!$D:$D,"PO",'caseload data'!$B:$B,"custody")/SUMIFS('caseload data'!J:J,'caseload data'!$B:$B,"custody",'caseload data'!$C:$C,'custody %'!$B$99),"")</f>
        <v/>
      </c>
      <c r="I101" s="167" t="str">
        <f>IFERROR(SUMIFS('caseload data'!K:K,'caseload data'!$C:$C,'custody %'!$B$99,'caseload data'!$D:$D,"PO",'caseload data'!$B:$B,"custody")/SUMIFS('caseload data'!K:K,'caseload data'!$B:$B,"custody",'caseload data'!$C:$C,'custody %'!$B$99),"")</f>
        <v/>
      </c>
      <c r="J101" s="167" t="str">
        <f>IFERROR(SUMIFS('caseload data'!L:L,'caseload data'!$C:$C,'custody %'!$B$99,'caseload data'!$D:$D,"PO",'caseload data'!$B:$B,"custody")/SUMIFS('caseload data'!L:L,'caseload data'!$B:$B,"custody",'caseload data'!$C:$C,'custody %'!$B$99),"")</f>
        <v/>
      </c>
      <c r="K101" s="167" t="str">
        <f>IFERROR(SUMIFS('caseload data'!M:M,'caseload data'!$C:$C,'custody %'!$B$99,'caseload data'!$D:$D,"PO",'caseload data'!$B:$B,"custody")/SUMIFS('caseload data'!M:M,'caseload data'!$B:$B,"custody",'caseload data'!$C:$C,'custody %'!$B$99),"")</f>
        <v/>
      </c>
      <c r="L101" s="167" t="str">
        <f>IFERROR(SUMIFS('caseload data'!N:N,'caseload data'!$C:$C,'custody %'!$B$99,'caseload data'!$D:$D,"PO",'caseload data'!$B:$B,"custody")/SUMIFS('caseload data'!N:N,'caseload data'!$B:$B,"custody",'caseload data'!$C:$C,'custody %'!$B$99),"")</f>
        <v/>
      </c>
      <c r="M101" s="167" t="str">
        <f>IFERROR(SUMIFS('caseload data'!O:O,'caseload data'!$C:$C,'custody %'!$B$99,'caseload data'!$D:$D,"PO",'caseload data'!$B:$B,"custody")/SUMIFS('caseload data'!O:O,'caseload data'!$B:$B,"custody",'caseload data'!$C:$C,'custody %'!$B$99),"")</f>
        <v/>
      </c>
      <c r="N101" s="167" t="str">
        <f>IFERROR(SUMIFS('caseload data'!P:P,'caseload data'!$C:$C,'custody %'!$B$99,'caseload data'!$D:$D,"PO",'caseload data'!$B:$B,"custody")/SUMIFS('caseload data'!P:P,'caseload data'!$B:$B,"custody",'caseload data'!$C:$C,'custody %'!$B$99),"")</f>
        <v/>
      </c>
      <c r="O101" s="167" t="str">
        <f>IFERROR(SUMIFS('caseload data'!Q:Q,'caseload data'!$C:$C,'custody %'!$B$99,'caseload data'!$D:$D,"PO",'caseload data'!$B:$B,"custody")/SUMIFS('caseload data'!Q:Q,'caseload data'!$B:$B,"custody",'caseload data'!$C:$C,'custody %'!$B$99),"")</f>
        <v/>
      </c>
      <c r="P101" s="167" t="str">
        <f>IFERROR(SUMIFS('caseload data'!R:R,'caseload data'!$C:$C,'custody %'!$B$99,'caseload data'!$D:$D,"PO",'caseload data'!$B:$B,"custody")/SUMIFS('caseload data'!R:R,'caseload data'!$B:$B,"custody",'caseload data'!$C:$C,'custody %'!$B$99),"")</f>
        <v/>
      </c>
      <c r="Q101" s="167" t="str">
        <f>IFERROR(SUMIFS('caseload data'!S:S,'caseload data'!$C:$C,'custody %'!$B$99,'caseload data'!$D:$D,"PO",'caseload data'!$B:$B,"custody")/SUMIFS('caseload data'!S:S,'caseload data'!$B:$B,"custody",'caseload data'!$C:$C,'custody %'!$B$99),"")</f>
        <v/>
      </c>
      <c r="R101" s="167" t="str">
        <f>IFERROR(SUMIFS('caseload data'!T:T,'caseload data'!$C:$C,'custody %'!$B$99,'caseload data'!$D:$D,"PO",'caseload data'!$B:$B,"custody")/SUMIFS('caseload data'!T:T,'caseload data'!$B:$B,"custody",'caseload data'!$C:$C,'custody %'!$B$99),"")</f>
        <v/>
      </c>
    </row>
    <row r="102" spans="2:36" x14ac:dyDescent="0.15">
      <c r="B102" s="97" t="s">
        <v>1002</v>
      </c>
      <c r="C102" s="167" t="str">
        <f>IFERROR(SUMIFS('caseload data'!E:E,'caseload data'!$C:$C,'custody %'!$B$99,'caseload data'!$D:$D,"PSO",'caseload data'!$B:$B,"custody")/SUMIFS('caseload data'!E:E,'caseload data'!$B:$B,"custody",'caseload data'!$C:$C,'custody %'!$B$99),"")</f>
        <v/>
      </c>
      <c r="D102" s="167" t="str">
        <f>IFERROR(SUMIFS('caseload data'!F:F,'caseload data'!$C:$C,'custody %'!$B$99,'caseload data'!$D:$D,"PSO",'caseload data'!$B:$B,"custody")/SUMIFS('caseload data'!F:F,'caseload data'!$B:$B,"custody",'caseload data'!$C:$C,'custody %'!$B$99),"")</f>
        <v/>
      </c>
      <c r="E102" s="167" t="str">
        <f>IFERROR(SUMIFS('caseload data'!G:G,'caseload data'!$C:$C,'custody %'!$B$99,'caseload data'!$D:$D,"PSO",'caseload data'!$B:$B,"custody")/SUMIFS('caseload data'!G:G,'caseload data'!$B:$B,"custody",'caseload data'!$C:$C,'custody %'!$B$99),"")</f>
        <v/>
      </c>
      <c r="F102" s="167" t="str">
        <f>IFERROR(SUMIFS('caseload data'!H:H,'caseload data'!$C:$C,'custody %'!$B$99,'caseload data'!$D:$D,"PSO",'caseload data'!$B:$B,"custody")/SUMIFS('caseload data'!H:H,'caseload data'!$B:$B,"custody",'caseload data'!$C:$C,'custody %'!$B$99),"")</f>
        <v/>
      </c>
      <c r="G102" s="167" t="str">
        <f>IFERROR(SUMIFS('caseload data'!I:I,'caseload data'!$C:$C,'custody %'!$B$99,'caseload data'!$D:$D,"PSO",'caseload data'!$B:$B,"custody")/SUMIFS('caseload data'!I:I,'caseload data'!$B:$B,"custody",'caseload data'!$C:$C,'custody %'!$B$99),"")</f>
        <v/>
      </c>
      <c r="H102" s="167" t="str">
        <f>IFERROR(SUMIFS('caseload data'!J:J,'caseload data'!$C:$C,'custody %'!$B$99,'caseload data'!$D:$D,"PSO",'caseload data'!$B:$B,"custody")/SUMIFS('caseload data'!J:J,'caseload data'!$B:$B,"custody",'caseload data'!$C:$C,'custody %'!$B$99),"")</f>
        <v/>
      </c>
      <c r="I102" s="167" t="str">
        <f>IFERROR(SUMIFS('caseload data'!K:K,'caseload data'!$C:$C,'custody %'!$B$99,'caseload data'!$D:$D,"PSO",'caseload data'!$B:$B,"custody")/SUMIFS('caseload data'!K:K,'caseload data'!$B:$B,"custody",'caseload data'!$C:$C,'custody %'!$B$99),"")</f>
        <v/>
      </c>
      <c r="J102" s="167" t="str">
        <f>IFERROR(SUMIFS('caseload data'!L:L,'caseload data'!$C:$C,'custody %'!$B$99,'caseload data'!$D:$D,"PSO",'caseload data'!$B:$B,"custody")/SUMIFS('caseload data'!L:L,'caseload data'!$B:$B,"custody",'caseload data'!$C:$C,'custody %'!$B$99),"")</f>
        <v/>
      </c>
      <c r="K102" s="167" t="str">
        <f>IFERROR(SUMIFS('caseload data'!M:M,'caseload data'!$C:$C,'custody %'!$B$99,'caseload data'!$D:$D,"PSO",'caseload data'!$B:$B,"custody")/SUMIFS('caseload data'!M:M,'caseload data'!$B:$B,"custody",'caseload data'!$C:$C,'custody %'!$B$99),"")</f>
        <v/>
      </c>
      <c r="L102" s="167" t="str">
        <f>IFERROR(SUMIFS('caseload data'!N:N,'caseload data'!$C:$C,'custody %'!$B$99,'caseload data'!$D:$D,"PSO",'caseload data'!$B:$B,"custody")/SUMIFS('caseload data'!N:N,'caseload data'!$B:$B,"custody",'caseload data'!$C:$C,'custody %'!$B$99),"")</f>
        <v/>
      </c>
      <c r="M102" s="167" t="str">
        <f>IFERROR(SUMIFS('caseload data'!O:O,'caseload data'!$C:$C,'custody %'!$B$99,'caseload data'!$D:$D,"PSO",'caseload data'!$B:$B,"custody")/SUMIFS('caseload data'!O:O,'caseload data'!$B:$B,"custody",'caseload data'!$C:$C,'custody %'!$B$99),"")</f>
        <v/>
      </c>
      <c r="N102" s="167" t="str">
        <f>IFERROR(SUMIFS('caseload data'!P:P,'caseload data'!$C:$C,'custody %'!$B$99,'caseload data'!$D:$D,"PSO",'caseload data'!$B:$B,"custody")/SUMIFS('caseload data'!P:P,'caseload data'!$B:$B,"custody",'caseload data'!$C:$C,'custody %'!$B$99),"")</f>
        <v/>
      </c>
      <c r="O102" s="167" t="str">
        <f>IFERROR(SUMIFS('caseload data'!Q:Q,'caseload data'!$C:$C,'custody %'!$B$99,'caseload data'!$D:$D,"PSO",'caseload data'!$B:$B,"custody")/SUMIFS('caseload data'!Q:Q,'caseload data'!$B:$B,"custody",'caseload data'!$C:$C,'custody %'!$B$99),"")</f>
        <v/>
      </c>
      <c r="P102" s="167" t="str">
        <f>IFERROR(SUMIFS('caseload data'!R:R,'caseload data'!$C:$C,'custody %'!$B$99,'caseload data'!$D:$D,"PSO",'caseload data'!$B:$B,"custody")/SUMIFS('caseload data'!R:R,'caseload data'!$B:$B,"custody",'caseload data'!$C:$C,'custody %'!$B$99),"")</f>
        <v/>
      </c>
      <c r="Q102" s="167" t="str">
        <f>IFERROR(SUMIFS('caseload data'!S:S,'caseload data'!$C:$C,'custody %'!$B$99,'caseload data'!$D:$D,"PSO",'caseload data'!$B:$B,"custody")/SUMIFS('caseload data'!S:S,'caseload data'!$B:$B,"custody",'caseload data'!$C:$C,'custody %'!$B$99),"")</f>
        <v/>
      </c>
      <c r="R102" s="167" t="str">
        <f>IFERROR(SUMIFS('caseload data'!T:T,'caseload data'!$C:$C,'custody %'!$B$99,'caseload data'!$D:$D,"PSO",'caseload data'!$B:$B,"custody")/SUMIFS('caseload data'!T:T,'caseload data'!$B:$B,"custody",'caseload data'!$C:$C,'custody %'!$B$99),"")</f>
        <v/>
      </c>
    </row>
    <row r="103" spans="2:36" x14ac:dyDescent="0.15">
      <c r="B103" s="97" t="s">
        <v>1003</v>
      </c>
      <c r="C103" s="167" t="str">
        <f>IFERROR(SUMIFS('caseload data'!E:E,'caseload data'!$C:$C,'custody %'!$B$99,'caseload data'!$D:$D,"TPO",'caseload data'!$B:$B,"custody")/SUMIFS('caseload data'!E:E,'caseload data'!$B:$B,"custody",'caseload data'!$C:$C,'custody %'!$B$99),"")</f>
        <v/>
      </c>
      <c r="D103" s="167" t="str">
        <f>IFERROR(SUMIFS('caseload data'!F:F,'caseload data'!$C:$C,'custody %'!$B$99,'caseload data'!$D:$D,"TPO",'caseload data'!$B:$B,"custody")/SUMIFS('caseload data'!F:F,'caseload data'!$B:$B,"custody",'caseload data'!$C:$C,'custody %'!$B$99),"")</f>
        <v/>
      </c>
      <c r="E103" s="167" t="str">
        <f>IFERROR(SUMIFS('caseload data'!G:G,'caseload data'!$C:$C,'custody %'!$B$99,'caseload data'!$D:$D,"TPO",'caseload data'!$B:$B,"custody")/SUMIFS('caseload data'!G:G,'caseload data'!$B:$B,"custody",'caseload data'!$C:$C,'custody %'!$B$99),"")</f>
        <v/>
      </c>
      <c r="F103" s="167" t="str">
        <f>IFERROR(SUMIFS('caseload data'!H:H,'caseload data'!$C:$C,'custody %'!$B$99,'caseload data'!$D:$D,"TPO",'caseload data'!$B:$B,"custody")/SUMIFS('caseload data'!H:H,'caseload data'!$B:$B,"custody",'caseload data'!$C:$C,'custody %'!$B$99),"")</f>
        <v/>
      </c>
      <c r="G103" s="167" t="str">
        <f>IFERROR(SUMIFS('caseload data'!I:I,'caseload data'!$C:$C,'custody %'!$B$99,'caseload data'!$D:$D,"TPO",'caseload data'!$B:$B,"custody")/SUMIFS('caseload data'!I:I,'caseload data'!$B:$B,"custody",'caseload data'!$C:$C,'custody %'!$B$99),"")</f>
        <v/>
      </c>
      <c r="H103" s="167" t="str">
        <f>IFERROR(SUMIFS('caseload data'!J:J,'caseload data'!$C:$C,'custody %'!$B$99,'caseload data'!$D:$D,"TPO",'caseload data'!$B:$B,"custody")/SUMIFS('caseload data'!J:J,'caseload data'!$B:$B,"custody",'caseload data'!$C:$C,'custody %'!$B$99),"")</f>
        <v/>
      </c>
      <c r="I103" s="167" t="str">
        <f>IFERROR(SUMIFS('caseload data'!K:K,'caseload data'!$C:$C,'custody %'!$B$99,'caseload data'!$D:$D,"TPO",'caseload data'!$B:$B,"custody")/SUMIFS('caseload data'!K:K,'caseload data'!$B:$B,"custody",'caseload data'!$C:$C,'custody %'!$B$99),"")</f>
        <v/>
      </c>
      <c r="J103" s="167" t="str">
        <f>IFERROR(SUMIFS('caseload data'!L:L,'caseload data'!$C:$C,'custody %'!$B$99,'caseload data'!$D:$D,"TPO",'caseload data'!$B:$B,"custody")/SUMIFS('caseload data'!L:L,'caseload data'!$B:$B,"custody",'caseload data'!$C:$C,'custody %'!$B$99),"")</f>
        <v/>
      </c>
      <c r="K103" s="167" t="str">
        <f>IFERROR(SUMIFS('caseload data'!M:M,'caseload data'!$C:$C,'custody %'!$B$99,'caseload data'!$D:$D,"TPO",'caseload data'!$B:$B,"custody")/SUMIFS('caseload data'!M:M,'caseload data'!$B:$B,"custody",'caseload data'!$C:$C,'custody %'!$B$99),"")</f>
        <v/>
      </c>
      <c r="L103" s="167" t="str">
        <f>IFERROR(SUMIFS('caseload data'!N:N,'caseload data'!$C:$C,'custody %'!$B$99,'caseload data'!$D:$D,"TPO",'caseload data'!$B:$B,"custody")/SUMIFS('caseload data'!N:N,'caseload data'!$B:$B,"custody",'caseload data'!$C:$C,'custody %'!$B$99),"")</f>
        <v/>
      </c>
      <c r="M103" s="167" t="str">
        <f>IFERROR(SUMIFS('caseload data'!O:O,'caseload data'!$C:$C,'custody %'!$B$99,'caseload data'!$D:$D,"TPO",'caseload data'!$B:$B,"custody")/SUMIFS('caseload data'!O:O,'caseload data'!$B:$B,"custody",'caseload data'!$C:$C,'custody %'!$B$99),"")</f>
        <v/>
      </c>
      <c r="N103" s="167" t="str">
        <f>IFERROR(SUMIFS('caseload data'!P:P,'caseload data'!$C:$C,'custody %'!$B$99,'caseload data'!$D:$D,"TPO",'caseload data'!$B:$B,"custody")/SUMIFS('caseload data'!P:P,'caseload data'!$B:$B,"custody",'caseload data'!$C:$C,'custody %'!$B$99),"")</f>
        <v/>
      </c>
      <c r="O103" s="167" t="str">
        <f>IFERROR(SUMIFS('caseload data'!Q:Q,'caseload data'!$C:$C,'custody %'!$B$99,'caseload data'!$D:$D,"TPO",'caseload data'!$B:$B,"custody")/SUMIFS('caseload data'!Q:Q,'caseload data'!$B:$B,"custody",'caseload data'!$C:$C,'custody %'!$B$99),"")</f>
        <v/>
      </c>
      <c r="P103" s="167" t="str">
        <f>IFERROR(SUMIFS('caseload data'!R:R,'caseload data'!$C:$C,'custody %'!$B$99,'caseload data'!$D:$D,"TPO",'caseload data'!$B:$B,"custody")/SUMIFS('caseload data'!R:R,'caseload data'!$B:$B,"custody",'caseload data'!$C:$C,'custody %'!$B$99),"")</f>
        <v/>
      </c>
      <c r="Q103" s="167" t="str">
        <f>IFERROR(SUMIFS('caseload data'!S:S,'caseload data'!$C:$C,'custody %'!$B$99,'caseload data'!$D:$D,"TPO",'caseload data'!$B:$B,"custody")/SUMIFS('caseload data'!S:S,'caseload data'!$B:$B,"custody",'caseload data'!$C:$C,'custody %'!$B$99),"")</f>
        <v/>
      </c>
      <c r="R103" s="167" t="str">
        <f>IFERROR(SUMIFS('caseload data'!T:T,'caseload data'!$C:$C,'custody %'!$B$99,'caseload data'!$D:$D,"TPO",'caseload data'!$B:$B,"custody")/SUMIFS('caseload data'!T:T,'caseload data'!$B:$B,"custody",'caseload data'!$C:$C,'custody %'!$B$99),"")</f>
        <v/>
      </c>
    </row>
    <row r="104" spans="2:36" x14ac:dyDescent="0.15">
      <c r="B104" s="98" t="s">
        <v>1004</v>
      </c>
      <c r="C104" s="167" t="str">
        <f>IFERROR(SUMIFS('caseload data'!E:E,'caseload data'!$C:$C,'custody %'!$B$99,'caseload data'!$D:$D,"SPO",'caseload data'!$B:$B,"custody")/SUMIFS('caseload data'!E:E,'caseload data'!$B:$B,"custody",'caseload data'!$C:$C,'custody %'!$B$99),"")</f>
        <v/>
      </c>
      <c r="D104" s="167" t="str">
        <f>IFERROR(SUMIFS('caseload data'!F:F,'caseload data'!$C:$C,'custody %'!$B$99,'caseload data'!$D:$D,"SPO",'caseload data'!$B:$B,"custody")/SUMIFS('caseload data'!F:F,'caseload data'!$B:$B,"custody",'caseload data'!$C:$C,'custody %'!$B$99),"")</f>
        <v/>
      </c>
      <c r="E104" s="167" t="str">
        <f>IFERROR(SUMIFS('caseload data'!G:G,'caseload data'!$C:$C,'custody %'!$B$99,'caseload data'!$D:$D,"SPO",'caseload data'!$B:$B,"custody")/SUMIFS('caseload data'!G:G,'caseload data'!$B:$B,"custody",'caseload data'!$C:$C,'custody %'!$B$99),"")</f>
        <v/>
      </c>
      <c r="F104" s="167" t="str">
        <f>IFERROR(SUMIFS('caseload data'!H:H,'caseload data'!$C:$C,'custody %'!$B$99,'caseload data'!$D:$D,"SPO",'caseload data'!$B:$B,"custody")/SUMIFS('caseload data'!H:H,'caseload data'!$B:$B,"custody",'caseload data'!$C:$C,'custody %'!$B$99),"")</f>
        <v/>
      </c>
      <c r="G104" s="167" t="str">
        <f>IFERROR(SUMIFS('caseload data'!I:I,'caseload data'!$C:$C,'custody %'!$B$99,'caseload data'!$D:$D,"SPO",'caseload data'!$B:$B,"custody")/SUMIFS('caseload data'!I:I,'caseload data'!$B:$B,"custody",'caseload data'!$C:$C,'custody %'!$B$99),"")</f>
        <v/>
      </c>
      <c r="H104" s="167" t="str">
        <f>IFERROR(SUMIFS('caseload data'!J:J,'caseload data'!$C:$C,'custody %'!$B$99,'caseload data'!$D:$D,"SPO",'caseload data'!$B:$B,"custody")/SUMIFS('caseload data'!J:J,'caseload data'!$B:$B,"custody",'caseload data'!$C:$C,'custody %'!$B$99),"")</f>
        <v/>
      </c>
      <c r="I104" s="167" t="str">
        <f>IFERROR(SUMIFS('caseload data'!K:K,'caseload data'!$C:$C,'custody %'!$B$99,'caseload data'!$D:$D,"SPO",'caseload data'!$B:$B,"custody")/SUMIFS('caseload data'!K:K,'caseload data'!$B:$B,"custody",'caseload data'!$C:$C,'custody %'!$B$99),"")</f>
        <v/>
      </c>
      <c r="J104" s="167" t="str">
        <f>IFERROR(SUMIFS('caseload data'!L:L,'caseload data'!$C:$C,'custody %'!$B$99,'caseload data'!$D:$D,"SPO",'caseload data'!$B:$B,"custody")/SUMIFS('caseload data'!L:L,'caseload data'!$B:$B,"custody",'caseload data'!$C:$C,'custody %'!$B$99),"")</f>
        <v/>
      </c>
      <c r="K104" s="167" t="str">
        <f>IFERROR(SUMIFS('caseload data'!M:M,'caseload data'!$C:$C,'custody %'!$B$99,'caseload data'!$D:$D,"SPO",'caseload data'!$B:$B,"custody")/SUMIFS('caseload data'!M:M,'caseload data'!$B:$B,"custody",'caseload data'!$C:$C,'custody %'!$B$99),"")</f>
        <v/>
      </c>
      <c r="L104" s="167" t="str">
        <f>IFERROR(SUMIFS('caseload data'!N:N,'caseload data'!$C:$C,'custody %'!$B$99,'caseload data'!$D:$D,"SPO",'caseload data'!$B:$B,"custody")/SUMIFS('caseload data'!N:N,'caseload data'!$B:$B,"custody",'caseload data'!$C:$C,'custody %'!$B$99),"")</f>
        <v/>
      </c>
      <c r="M104" s="167" t="str">
        <f>IFERROR(SUMIFS('caseload data'!O:O,'caseload data'!$C:$C,'custody %'!$B$99,'caseload data'!$D:$D,"SPO",'caseload data'!$B:$B,"custody")/SUMIFS('caseload data'!O:O,'caseload data'!$B:$B,"custody",'caseload data'!$C:$C,'custody %'!$B$99),"")</f>
        <v/>
      </c>
      <c r="N104" s="167" t="str">
        <f>IFERROR(SUMIFS('caseload data'!P:P,'caseload data'!$C:$C,'custody %'!$B$99,'caseload data'!$D:$D,"SPO",'caseload data'!$B:$B,"custody")/SUMIFS('caseload data'!P:P,'caseload data'!$B:$B,"custody",'caseload data'!$C:$C,'custody %'!$B$99),"")</f>
        <v/>
      </c>
      <c r="O104" s="167" t="str">
        <f>IFERROR(SUMIFS('caseload data'!Q:Q,'caseload data'!$C:$C,'custody %'!$B$99,'caseload data'!$D:$D,"SPO",'caseload data'!$B:$B,"custody")/SUMIFS('caseload data'!Q:Q,'caseload data'!$B:$B,"custody",'caseload data'!$C:$C,'custody %'!$B$99),"")</f>
        <v/>
      </c>
      <c r="P104" s="167" t="str">
        <f>IFERROR(SUMIFS('caseload data'!R:R,'caseload data'!$C:$C,'custody %'!$B$99,'caseload data'!$D:$D,"SPO",'caseload data'!$B:$B,"custody")/SUMIFS('caseload data'!R:R,'caseload data'!$B:$B,"custody",'caseload data'!$C:$C,'custody %'!$B$99),"")</f>
        <v/>
      </c>
      <c r="Q104" s="167" t="str">
        <f>IFERROR(SUMIFS('caseload data'!S:S,'caseload data'!$C:$C,'custody %'!$B$99,'caseload data'!$D:$D,"SPO",'caseload data'!$B:$B,"custody")/SUMIFS('caseload data'!S:S,'caseload data'!$B:$B,"custody",'caseload data'!$C:$C,'custody %'!$B$99),"")</f>
        <v/>
      </c>
      <c r="R104" s="167" t="str">
        <f>IFERROR(SUMIFS('caseload data'!T:T,'caseload data'!$C:$C,'custody %'!$B$99,'caseload data'!$D:$D,"SPO",'caseload data'!$B:$B,"custody")/SUMIFS('caseload data'!T:T,'caseload data'!$B:$B,"custody",'caseload data'!$C:$C,'custody %'!$B$99),"")</f>
        <v/>
      </c>
    </row>
  </sheetData>
  <mergeCells count="56">
    <mergeCell ref="AF78:AH78"/>
    <mergeCell ref="U85:AE85"/>
    <mergeCell ref="AF85:AH85"/>
    <mergeCell ref="U92:AE92"/>
    <mergeCell ref="AF92:AH92"/>
    <mergeCell ref="C99:O99"/>
    <mergeCell ref="P99:R99"/>
    <mergeCell ref="U71:AE71"/>
    <mergeCell ref="U78:AE78"/>
    <mergeCell ref="C78:O78"/>
    <mergeCell ref="P78:R78"/>
    <mergeCell ref="C85:O85"/>
    <mergeCell ref="P85:R85"/>
    <mergeCell ref="C92:O92"/>
    <mergeCell ref="P92:R92"/>
    <mergeCell ref="C64:O64"/>
    <mergeCell ref="P64:R64"/>
    <mergeCell ref="U64:AE64"/>
    <mergeCell ref="AF64:AH64"/>
    <mergeCell ref="C71:O71"/>
    <mergeCell ref="P71:R71"/>
    <mergeCell ref="AF71:AH71"/>
    <mergeCell ref="C8:O8"/>
    <mergeCell ref="P8:R8"/>
    <mergeCell ref="U8:AE8"/>
    <mergeCell ref="AF8:AH8"/>
    <mergeCell ref="A1:AJ1"/>
    <mergeCell ref="A2:AJ2"/>
    <mergeCell ref="C15:O15"/>
    <mergeCell ref="P15:R15"/>
    <mergeCell ref="U15:AE15"/>
    <mergeCell ref="AF15:AH15"/>
    <mergeCell ref="C22:O22"/>
    <mergeCell ref="P22:R22"/>
    <mergeCell ref="U22:AE22"/>
    <mergeCell ref="AF22:AH22"/>
    <mergeCell ref="C29:O29"/>
    <mergeCell ref="P29:R29"/>
    <mergeCell ref="U29:AE29"/>
    <mergeCell ref="AF29:AH29"/>
    <mergeCell ref="C36:O36"/>
    <mergeCell ref="P36:R36"/>
    <mergeCell ref="U36:AE36"/>
    <mergeCell ref="AF36:AH36"/>
    <mergeCell ref="C57:O57"/>
    <mergeCell ref="P57:R57"/>
    <mergeCell ref="U57:AE57"/>
    <mergeCell ref="AF57:AH57"/>
    <mergeCell ref="C43:O43"/>
    <mergeCell ref="P43:R43"/>
    <mergeCell ref="U43:AE43"/>
    <mergeCell ref="AF43:AH43"/>
    <mergeCell ref="C50:O50"/>
    <mergeCell ref="P50:R50"/>
    <mergeCell ref="U50:AE50"/>
    <mergeCell ref="AF50:AH50"/>
  </mergeCells>
  <conditionalFormatting sqref="C11:C12">
    <cfRule type="cellIs" dxfId="2185" priority="927" operator="equal">
      <formula>0</formula>
    </cfRule>
    <cfRule type="cellIs" dxfId="2184" priority="928" operator="notEqual">
      <formula>0</formula>
    </cfRule>
  </conditionalFormatting>
  <conditionalFormatting sqref="D11:D12">
    <cfRule type="cellIs" dxfId="2183" priority="925" operator="equal">
      <formula>0</formula>
    </cfRule>
    <cfRule type="cellIs" dxfId="2182" priority="926" operator="notEqual">
      <formula>0</formula>
    </cfRule>
  </conditionalFormatting>
  <conditionalFormatting sqref="E11:E12">
    <cfRule type="cellIs" dxfId="2181" priority="923" operator="equal">
      <formula>0</formula>
    </cfRule>
    <cfRule type="cellIs" dxfId="2180" priority="924" operator="notEqual">
      <formula>0</formula>
    </cfRule>
  </conditionalFormatting>
  <conditionalFormatting sqref="F11:F12">
    <cfRule type="cellIs" dxfId="2179" priority="921" operator="equal">
      <formula>0</formula>
    </cfRule>
    <cfRule type="cellIs" dxfId="2178" priority="922" operator="notEqual">
      <formula>0</formula>
    </cfRule>
  </conditionalFormatting>
  <conditionalFormatting sqref="G11:G12">
    <cfRule type="cellIs" dxfId="2177" priority="919" operator="equal">
      <formula>0</formula>
    </cfRule>
    <cfRule type="cellIs" dxfId="2176" priority="920" operator="notEqual">
      <formula>0</formula>
    </cfRule>
  </conditionalFormatting>
  <conditionalFormatting sqref="H11:H12">
    <cfRule type="cellIs" dxfId="2175" priority="917" operator="equal">
      <formula>0</formula>
    </cfRule>
    <cfRule type="cellIs" dxfId="2174" priority="918" operator="notEqual">
      <formula>0</formula>
    </cfRule>
  </conditionalFormatting>
  <conditionalFormatting sqref="I11:I12">
    <cfRule type="cellIs" dxfId="2173" priority="915" operator="equal">
      <formula>0</formula>
    </cfRule>
    <cfRule type="cellIs" dxfId="2172" priority="916" operator="notEqual">
      <formula>0</formula>
    </cfRule>
  </conditionalFormatting>
  <conditionalFormatting sqref="J11:J12">
    <cfRule type="cellIs" dxfId="2171" priority="913" operator="equal">
      <formula>0</formula>
    </cfRule>
    <cfRule type="cellIs" dxfId="2170" priority="914" operator="notEqual">
      <formula>0</formula>
    </cfRule>
  </conditionalFormatting>
  <conditionalFormatting sqref="O10">
    <cfRule type="cellIs" dxfId="2169" priority="911" operator="equal">
      <formula>0</formula>
    </cfRule>
    <cfRule type="cellIs" dxfId="2168" priority="912" operator="notEqual">
      <formula>0</formula>
    </cfRule>
  </conditionalFormatting>
  <conditionalFormatting sqref="O13">
    <cfRule type="cellIs" dxfId="2167" priority="909" operator="equal">
      <formula>0</formula>
    </cfRule>
    <cfRule type="cellIs" dxfId="2166" priority="910" operator="notEqual">
      <formula>0</formula>
    </cfRule>
  </conditionalFormatting>
  <conditionalFormatting sqref="P10">
    <cfRule type="cellIs" dxfId="2165" priority="907" operator="equal">
      <formula>0</formula>
    </cfRule>
    <cfRule type="cellIs" dxfId="2164" priority="908" operator="notEqual">
      <formula>0</formula>
    </cfRule>
  </conditionalFormatting>
  <conditionalFormatting sqref="P13">
    <cfRule type="cellIs" dxfId="2163" priority="905" operator="equal">
      <formula>0</formula>
    </cfRule>
    <cfRule type="cellIs" dxfId="2162" priority="906" operator="notEqual">
      <formula>0</formula>
    </cfRule>
  </conditionalFormatting>
  <conditionalFormatting sqref="Q10">
    <cfRule type="cellIs" dxfId="2161" priority="903" operator="equal">
      <formula>0</formula>
    </cfRule>
    <cfRule type="cellIs" dxfId="2160" priority="904" operator="notEqual">
      <formula>0</formula>
    </cfRule>
  </conditionalFormatting>
  <conditionalFormatting sqref="Q13">
    <cfRule type="cellIs" dxfId="2159" priority="901" operator="equal">
      <formula>0</formula>
    </cfRule>
    <cfRule type="cellIs" dxfId="2158" priority="902" operator="notEqual">
      <formula>0</formula>
    </cfRule>
  </conditionalFormatting>
  <conditionalFormatting sqref="R10">
    <cfRule type="cellIs" dxfId="2157" priority="899" operator="equal">
      <formula>0</formula>
    </cfRule>
    <cfRule type="cellIs" dxfId="2156" priority="900" operator="notEqual">
      <formula>0</formula>
    </cfRule>
  </conditionalFormatting>
  <conditionalFormatting sqref="R13">
    <cfRule type="cellIs" dxfId="2155" priority="897" operator="equal">
      <formula>0</formula>
    </cfRule>
    <cfRule type="cellIs" dxfId="2154" priority="898" operator="notEqual">
      <formula>0</formula>
    </cfRule>
  </conditionalFormatting>
  <conditionalFormatting sqref="C18:C19">
    <cfRule type="cellIs" dxfId="2153" priority="895" operator="equal">
      <formula>0</formula>
    </cfRule>
    <cfRule type="cellIs" dxfId="2152" priority="896" operator="notEqual">
      <formula>0</formula>
    </cfRule>
  </conditionalFormatting>
  <conditionalFormatting sqref="D18:D19">
    <cfRule type="cellIs" dxfId="2151" priority="893" operator="equal">
      <formula>0</formula>
    </cfRule>
    <cfRule type="cellIs" dxfId="2150" priority="894" operator="notEqual">
      <formula>0</formula>
    </cfRule>
  </conditionalFormatting>
  <conditionalFormatting sqref="E18:E19">
    <cfRule type="cellIs" dxfId="2149" priority="891" operator="equal">
      <formula>0</formula>
    </cfRule>
    <cfRule type="cellIs" dxfId="2148" priority="892" operator="notEqual">
      <formula>0</formula>
    </cfRule>
  </conditionalFormatting>
  <conditionalFormatting sqref="F18:F19">
    <cfRule type="cellIs" dxfId="2147" priority="889" operator="equal">
      <formula>0</formula>
    </cfRule>
    <cfRule type="cellIs" dxfId="2146" priority="890" operator="notEqual">
      <formula>0</formula>
    </cfRule>
  </conditionalFormatting>
  <conditionalFormatting sqref="G18:G19">
    <cfRule type="cellIs" dxfId="2145" priority="887" operator="equal">
      <formula>0</formula>
    </cfRule>
    <cfRule type="cellIs" dxfId="2144" priority="888" operator="notEqual">
      <formula>0</formula>
    </cfRule>
  </conditionalFormatting>
  <conditionalFormatting sqref="H18:H19">
    <cfRule type="cellIs" dxfId="2143" priority="885" operator="equal">
      <formula>0</formula>
    </cfRule>
    <cfRule type="cellIs" dxfId="2142" priority="886" operator="notEqual">
      <formula>0</formula>
    </cfRule>
  </conditionalFormatting>
  <conditionalFormatting sqref="I18:I19">
    <cfRule type="cellIs" dxfId="2141" priority="883" operator="equal">
      <formula>0</formula>
    </cfRule>
    <cfRule type="cellIs" dxfId="2140" priority="884" operator="notEqual">
      <formula>0</formula>
    </cfRule>
  </conditionalFormatting>
  <conditionalFormatting sqref="J18:J19">
    <cfRule type="cellIs" dxfId="2139" priority="881" operator="equal">
      <formula>0</formula>
    </cfRule>
    <cfRule type="cellIs" dxfId="2138" priority="882" operator="notEqual">
      <formula>0</formula>
    </cfRule>
  </conditionalFormatting>
  <conditionalFormatting sqref="O17">
    <cfRule type="cellIs" dxfId="2137" priority="879" operator="equal">
      <formula>0</formula>
    </cfRule>
    <cfRule type="cellIs" dxfId="2136" priority="880" operator="notEqual">
      <formula>0</formula>
    </cfRule>
  </conditionalFormatting>
  <conditionalFormatting sqref="O20">
    <cfRule type="cellIs" dxfId="2135" priority="877" operator="equal">
      <formula>0</formula>
    </cfRule>
    <cfRule type="cellIs" dxfId="2134" priority="878" operator="notEqual">
      <formula>0</formula>
    </cfRule>
  </conditionalFormatting>
  <conditionalFormatting sqref="P17">
    <cfRule type="cellIs" dxfId="2133" priority="875" operator="equal">
      <formula>0</formula>
    </cfRule>
    <cfRule type="cellIs" dxfId="2132" priority="876" operator="notEqual">
      <formula>0</formula>
    </cfRule>
  </conditionalFormatting>
  <conditionalFormatting sqref="P20">
    <cfRule type="cellIs" dxfId="2131" priority="873" operator="equal">
      <formula>0</formula>
    </cfRule>
    <cfRule type="cellIs" dxfId="2130" priority="874" operator="notEqual">
      <formula>0</formula>
    </cfRule>
  </conditionalFormatting>
  <conditionalFormatting sqref="Q17">
    <cfRule type="cellIs" dxfId="2129" priority="871" operator="equal">
      <formula>0</formula>
    </cfRule>
    <cfRule type="cellIs" dxfId="2128" priority="872" operator="notEqual">
      <formula>0</formula>
    </cfRule>
  </conditionalFormatting>
  <conditionalFormatting sqref="Q20">
    <cfRule type="cellIs" dxfId="2127" priority="869" operator="equal">
      <formula>0</formula>
    </cfRule>
    <cfRule type="cellIs" dxfId="2126" priority="870" operator="notEqual">
      <formula>0</formula>
    </cfRule>
  </conditionalFormatting>
  <conditionalFormatting sqref="R17">
    <cfRule type="cellIs" dxfId="2125" priority="867" operator="equal">
      <formula>0</formula>
    </cfRule>
    <cfRule type="cellIs" dxfId="2124" priority="868" operator="notEqual">
      <formula>0</formula>
    </cfRule>
  </conditionalFormatting>
  <conditionalFormatting sqref="R20">
    <cfRule type="cellIs" dxfId="2123" priority="865" operator="equal">
      <formula>0</formula>
    </cfRule>
    <cfRule type="cellIs" dxfId="2122" priority="866" operator="notEqual">
      <formula>0</formula>
    </cfRule>
  </conditionalFormatting>
  <conditionalFormatting sqref="C25:C26">
    <cfRule type="cellIs" dxfId="2121" priority="863" operator="equal">
      <formula>0</formula>
    </cfRule>
    <cfRule type="cellIs" dxfId="2120" priority="864" operator="notEqual">
      <formula>0</formula>
    </cfRule>
  </conditionalFormatting>
  <conditionalFormatting sqref="D25:D26">
    <cfRule type="cellIs" dxfId="2119" priority="861" operator="equal">
      <formula>0</formula>
    </cfRule>
    <cfRule type="cellIs" dxfId="2118" priority="862" operator="notEqual">
      <formula>0</formula>
    </cfRule>
  </conditionalFormatting>
  <conditionalFormatting sqref="E25:E26">
    <cfRule type="cellIs" dxfId="2117" priority="859" operator="equal">
      <formula>0</formula>
    </cfRule>
    <cfRule type="cellIs" dxfId="2116" priority="860" operator="notEqual">
      <formula>0</formula>
    </cfRule>
  </conditionalFormatting>
  <conditionalFormatting sqref="F25:F26">
    <cfRule type="cellIs" dxfId="2115" priority="857" operator="equal">
      <formula>0</formula>
    </cfRule>
    <cfRule type="cellIs" dxfId="2114" priority="858" operator="notEqual">
      <formula>0</formula>
    </cfRule>
  </conditionalFormatting>
  <conditionalFormatting sqref="G25:G26">
    <cfRule type="cellIs" dxfId="2113" priority="855" operator="equal">
      <formula>0</formula>
    </cfRule>
    <cfRule type="cellIs" dxfId="2112" priority="856" operator="notEqual">
      <formula>0</formula>
    </cfRule>
  </conditionalFormatting>
  <conditionalFormatting sqref="H25:H26">
    <cfRule type="cellIs" dxfId="2111" priority="853" operator="equal">
      <formula>0</formula>
    </cfRule>
    <cfRule type="cellIs" dxfId="2110" priority="854" operator="notEqual">
      <formula>0</formula>
    </cfRule>
  </conditionalFormatting>
  <conditionalFormatting sqref="I25:I26">
    <cfRule type="cellIs" dxfId="2109" priority="851" operator="equal">
      <formula>0</formula>
    </cfRule>
    <cfRule type="cellIs" dxfId="2108" priority="852" operator="notEqual">
      <formula>0</formula>
    </cfRule>
  </conditionalFormatting>
  <conditionalFormatting sqref="J25:J26">
    <cfRule type="cellIs" dxfId="2107" priority="849" operator="equal">
      <formula>0</formula>
    </cfRule>
    <cfRule type="cellIs" dxfId="2106" priority="850" operator="notEqual">
      <formula>0</formula>
    </cfRule>
  </conditionalFormatting>
  <conditionalFormatting sqref="O24">
    <cfRule type="cellIs" dxfId="2105" priority="847" operator="equal">
      <formula>0</formula>
    </cfRule>
    <cfRule type="cellIs" dxfId="2104" priority="848" operator="notEqual">
      <formula>0</formula>
    </cfRule>
  </conditionalFormatting>
  <conditionalFormatting sqref="O27">
    <cfRule type="cellIs" dxfId="2103" priority="845" operator="equal">
      <formula>0</formula>
    </cfRule>
    <cfRule type="cellIs" dxfId="2102" priority="846" operator="notEqual">
      <formula>0</formula>
    </cfRule>
  </conditionalFormatting>
  <conditionalFormatting sqref="P24">
    <cfRule type="cellIs" dxfId="2101" priority="843" operator="equal">
      <formula>0</formula>
    </cfRule>
    <cfRule type="cellIs" dxfId="2100" priority="844" operator="notEqual">
      <formula>0</formula>
    </cfRule>
  </conditionalFormatting>
  <conditionalFormatting sqref="P27">
    <cfRule type="cellIs" dxfId="2099" priority="841" operator="equal">
      <formula>0</formula>
    </cfRule>
    <cfRule type="cellIs" dxfId="2098" priority="842" operator="notEqual">
      <formula>0</formula>
    </cfRule>
  </conditionalFormatting>
  <conditionalFormatting sqref="Q24">
    <cfRule type="cellIs" dxfId="2097" priority="839" operator="equal">
      <formula>0</formula>
    </cfRule>
    <cfRule type="cellIs" dxfId="2096" priority="840" operator="notEqual">
      <formula>0</formula>
    </cfRule>
  </conditionalFormatting>
  <conditionalFormatting sqref="Q27">
    <cfRule type="cellIs" dxfId="2095" priority="837" operator="equal">
      <formula>0</formula>
    </cfRule>
    <cfRule type="cellIs" dxfId="2094" priority="838" operator="notEqual">
      <formula>0</formula>
    </cfRule>
  </conditionalFormatting>
  <conditionalFormatting sqref="R24">
    <cfRule type="cellIs" dxfId="2093" priority="835" operator="equal">
      <formula>0</formula>
    </cfRule>
    <cfRule type="cellIs" dxfId="2092" priority="836" operator="notEqual">
      <formula>0</formula>
    </cfRule>
  </conditionalFormatting>
  <conditionalFormatting sqref="R27">
    <cfRule type="cellIs" dxfId="2091" priority="833" operator="equal">
      <formula>0</formula>
    </cfRule>
    <cfRule type="cellIs" dxfId="2090" priority="834" operator="notEqual">
      <formula>0</formula>
    </cfRule>
  </conditionalFormatting>
  <conditionalFormatting sqref="C32:C33">
    <cfRule type="cellIs" dxfId="2089" priority="831" operator="equal">
      <formula>0</formula>
    </cfRule>
    <cfRule type="cellIs" dxfId="2088" priority="832" operator="notEqual">
      <formula>0</formula>
    </cfRule>
  </conditionalFormatting>
  <conditionalFormatting sqref="D32:D33">
    <cfRule type="cellIs" dxfId="2087" priority="829" operator="equal">
      <formula>0</formula>
    </cfRule>
    <cfRule type="cellIs" dxfId="2086" priority="830" operator="notEqual">
      <formula>0</formula>
    </cfRule>
  </conditionalFormatting>
  <conditionalFormatting sqref="E32:E33">
    <cfRule type="cellIs" dxfId="2085" priority="827" operator="equal">
      <formula>0</formula>
    </cfRule>
    <cfRule type="cellIs" dxfId="2084" priority="828" operator="notEqual">
      <formula>0</formula>
    </cfRule>
  </conditionalFormatting>
  <conditionalFormatting sqref="F32:F33">
    <cfRule type="cellIs" dxfId="2083" priority="825" operator="equal">
      <formula>0</formula>
    </cfRule>
    <cfRule type="cellIs" dxfId="2082" priority="826" operator="notEqual">
      <formula>0</formula>
    </cfRule>
  </conditionalFormatting>
  <conditionalFormatting sqref="G32:G33">
    <cfRule type="cellIs" dxfId="2081" priority="823" operator="equal">
      <formula>0</formula>
    </cfRule>
    <cfRule type="cellIs" dxfId="2080" priority="824" operator="notEqual">
      <formula>0</formula>
    </cfRule>
  </conditionalFormatting>
  <conditionalFormatting sqref="H32:H33">
    <cfRule type="cellIs" dxfId="2079" priority="821" operator="equal">
      <formula>0</formula>
    </cfRule>
    <cfRule type="cellIs" dxfId="2078" priority="822" operator="notEqual">
      <formula>0</formula>
    </cfRule>
  </conditionalFormatting>
  <conditionalFormatting sqref="I32:I33">
    <cfRule type="cellIs" dxfId="2077" priority="819" operator="equal">
      <formula>0</formula>
    </cfRule>
    <cfRule type="cellIs" dxfId="2076" priority="820" operator="notEqual">
      <formula>0</formula>
    </cfRule>
  </conditionalFormatting>
  <conditionalFormatting sqref="J32:J33">
    <cfRule type="cellIs" dxfId="2075" priority="817" operator="equal">
      <formula>0</formula>
    </cfRule>
    <cfRule type="cellIs" dxfId="2074" priority="818" operator="notEqual">
      <formula>0</formula>
    </cfRule>
  </conditionalFormatting>
  <conditionalFormatting sqref="O31">
    <cfRule type="cellIs" dxfId="2073" priority="815" operator="equal">
      <formula>0</formula>
    </cfRule>
    <cfRule type="cellIs" dxfId="2072" priority="816" operator="notEqual">
      <formula>0</formula>
    </cfRule>
  </conditionalFormatting>
  <conditionalFormatting sqref="O34">
    <cfRule type="cellIs" dxfId="2071" priority="813" operator="equal">
      <formula>0</formula>
    </cfRule>
    <cfRule type="cellIs" dxfId="2070" priority="814" operator="notEqual">
      <formula>0</formula>
    </cfRule>
  </conditionalFormatting>
  <conditionalFormatting sqref="P31">
    <cfRule type="cellIs" dxfId="2069" priority="811" operator="equal">
      <formula>0</formula>
    </cfRule>
    <cfRule type="cellIs" dxfId="2068" priority="812" operator="notEqual">
      <formula>0</formula>
    </cfRule>
  </conditionalFormatting>
  <conditionalFormatting sqref="P34">
    <cfRule type="cellIs" dxfId="2067" priority="809" operator="equal">
      <formula>0</formula>
    </cfRule>
    <cfRule type="cellIs" dxfId="2066" priority="810" operator="notEqual">
      <formula>0</formula>
    </cfRule>
  </conditionalFormatting>
  <conditionalFormatting sqref="Q31">
    <cfRule type="cellIs" dxfId="2065" priority="807" operator="equal">
      <formula>0</formula>
    </cfRule>
    <cfRule type="cellIs" dxfId="2064" priority="808" operator="notEqual">
      <formula>0</formula>
    </cfRule>
  </conditionalFormatting>
  <conditionalFormatting sqref="Q34">
    <cfRule type="cellIs" dxfId="2063" priority="805" operator="equal">
      <formula>0</formula>
    </cfRule>
    <cfRule type="cellIs" dxfId="2062" priority="806" operator="notEqual">
      <formula>0</formula>
    </cfRule>
  </conditionalFormatting>
  <conditionalFormatting sqref="R31">
    <cfRule type="cellIs" dxfId="2061" priority="803" operator="equal">
      <formula>0</formula>
    </cfRule>
    <cfRule type="cellIs" dxfId="2060" priority="804" operator="notEqual">
      <formula>0</formula>
    </cfRule>
  </conditionalFormatting>
  <conditionalFormatting sqref="R34">
    <cfRule type="cellIs" dxfId="2059" priority="801" operator="equal">
      <formula>0</formula>
    </cfRule>
    <cfRule type="cellIs" dxfId="2058" priority="802" operator="notEqual">
      <formula>0</formula>
    </cfRule>
  </conditionalFormatting>
  <conditionalFormatting sqref="C39:C40">
    <cfRule type="cellIs" dxfId="2057" priority="799" operator="equal">
      <formula>0</formula>
    </cfRule>
    <cfRule type="cellIs" dxfId="2056" priority="800" operator="notEqual">
      <formula>0</formula>
    </cfRule>
  </conditionalFormatting>
  <conditionalFormatting sqref="D39:D40">
    <cfRule type="cellIs" dxfId="2055" priority="797" operator="equal">
      <formula>0</formula>
    </cfRule>
    <cfRule type="cellIs" dxfId="2054" priority="798" operator="notEqual">
      <formula>0</formula>
    </cfRule>
  </conditionalFormatting>
  <conditionalFormatting sqref="E39:E40">
    <cfRule type="cellIs" dxfId="2053" priority="795" operator="equal">
      <formula>0</formula>
    </cfRule>
    <cfRule type="cellIs" dxfId="2052" priority="796" operator="notEqual">
      <formula>0</formula>
    </cfRule>
  </conditionalFormatting>
  <conditionalFormatting sqref="F39:F40">
    <cfRule type="cellIs" dxfId="2051" priority="793" operator="equal">
      <formula>0</formula>
    </cfRule>
    <cfRule type="cellIs" dxfId="2050" priority="794" operator="notEqual">
      <formula>0</formula>
    </cfRule>
  </conditionalFormatting>
  <conditionalFormatting sqref="G39:G40">
    <cfRule type="cellIs" dxfId="2049" priority="791" operator="equal">
      <formula>0</formula>
    </cfRule>
    <cfRule type="cellIs" dxfId="2048" priority="792" operator="notEqual">
      <formula>0</formula>
    </cfRule>
  </conditionalFormatting>
  <conditionalFormatting sqref="H39:H40">
    <cfRule type="cellIs" dxfId="2047" priority="789" operator="equal">
      <formula>0</formula>
    </cfRule>
    <cfRule type="cellIs" dxfId="2046" priority="790" operator="notEqual">
      <formula>0</formula>
    </cfRule>
  </conditionalFormatting>
  <conditionalFormatting sqref="I39:I40">
    <cfRule type="cellIs" dxfId="2045" priority="787" operator="equal">
      <formula>0</formula>
    </cfRule>
    <cfRule type="cellIs" dxfId="2044" priority="788" operator="notEqual">
      <formula>0</formula>
    </cfRule>
  </conditionalFormatting>
  <conditionalFormatting sqref="J39:J40">
    <cfRule type="cellIs" dxfId="2043" priority="785" operator="equal">
      <formula>0</formula>
    </cfRule>
    <cfRule type="cellIs" dxfId="2042" priority="786" operator="notEqual">
      <formula>0</formula>
    </cfRule>
  </conditionalFormatting>
  <conditionalFormatting sqref="O38">
    <cfRule type="cellIs" dxfId="2041" priority="783" operator="equal">
      <formula>0</formula>
    </cfRule>
    <cfRule type="cellIs" dxfId="2040" priority="784" operator="notEqual">
      <formula>0</formula>
    </cfRule>
  </conditionalFormatting>
  <conditionalFormatting sqref="O41">
    <cfRule type="cellIs" dxfId="2039" priority="781" operator="equal">
      <formula>0</formula>
    </cfRule>
    <cfRule type="cellIs" dxfId="2038" priority="782" operator="notEqual">
      <formula>0</formula>
    </cfRule>
  </conditionalFormatting>
  <conditionalFormatting sqref="P38">
    <cfRule type="cellIs" dxfId="2037" priority="779" operator="equal">
      <formula>0</formula>
    </cfRule>
    <cfRule type="cellIs" dxfId="2036" priority="780" operator="notEqual">
      <formula>0</formula>
    </cfRule>
  </conditionalFormatting>
  <conditionalFormatting sqref="P41">
    <cfRule type="cellIs" dxfId="2035" priority="777" operator="equal">
      <formula>0</formula>
    </cfRule>
    <cfRule type="cellIs" dxfId="2034" priority="778" operator="notEqual">
      <formula>0</formula>
    </cfRule>
  </conditionalFormatting>
  <conditionalFormatting sqref="Q38">
    <cfRule type="cellIs" dxfId="2033" priority="775" operator="equal">
      <formula>0</formula>
    </cfRule>
    <cfRule type="cellIs" dxfId="2032" priority="776" operator="notEqual">
      <formula>0</formula>
    </cfRule>
  </conditionalFormatting>
  <conditionalFormatting sqref="Q41">
    <cfRule type="cellIs" dxfId="2031" priority="773" operator="equal">
      <formula>0</formula>
    </cfRule>
    <cfRule type="cellIs" dxfId="2030" priority="774" operator="notEqual">
      <formula>0</formula>
    </cfRule>
  </conditionalFormatting>
  <conditionalFormatting sqref="R38">
    <cfRule type="cellIs" dxfId="2029" priority="771" operator="equal">
      <formula>0</formula>
    </cfRule>
    <cfRule type="cellIs" dxfId="2028" priority="772" operator="notEqual">
      <formula>0</formula>
    </cfRule>
  </conditionalFormatting>
  <conditionalFormatting sqref="R41">
    <cfRule type="cellIs" dxfId="2027" priority="769" operator="equal">
      <formula>0</formula>
    </cfRule>
    <cfRule type="cellIs" dxfId="2026" priority="770" operator="notEqual">
      <formula>0</formula>
    </cfRule>
  </conditionalFormatting>
  <conditionalFormatting sqref="C46:C47">
    <cfRule type="cellIs" dxfId="2025" priority="767" operator="equal">
      <formula>0</formula>
    </cfRule>
    <cfRule type="cellIs" dxfId="2024" priority="768" operator="notEqual">
      <formula>0</formula>
    </cfRule>
  </conditionalFormatting>
  <conditionalFormatting sqref="D46:D47">
    <cfRule type="cellIs" dxfId="2023" priority="765" operator="equal">
      <formula>0</formula>
    </cfRule>
    <cfRule type="cellIs" dxfId="2022" priority="766" operator="notEqual">
      <formula>0</formula>
    </cfRule>
  </conditionalFormatting>
  <conditionalFormatting sqref="E46:E47">
    <cfRule type="cellIs" dxfId="2021" priority="763" operator="equal">
      <formula>0</formula>
    </cfRule>
    <cfRule type="cellIs" dxfId="2020" priority="764" operator="notEqual">
      <formula>0</formula>
    </cfRule>
  </conditionalFormatting>
  <conditionalFormatting sqref="F46:F47">
    <cfRule type="cellIs" dxfId="2019" priority="761" operator="equal">
      <formula>0</formula>
    </cfRule>
    <cfRule type="cellIs" dxfId="2018" priority="762" operator="notEqual">
      <formula>0</formula>
    </cfRule>
  </conditionalFormatting>
  <conditionalFormatting sqref="G46:G47">
    <cfRule type="cellIs" dxfId="2017" priority="759" operator="equal">
      <formula>0</formula>
    </cfRule>
    <cfRule type="cellIs" dxfId="2016" priority="760" operator="notEqual">
      <formula>0</formula>
    </cfRule>
  </conditionalFormatting>
  <conditionalFormatting sqref="H46:H47">
    <cfRule type="cellIs" dxfId="2015" priority="757" operator="equal">
      <formula>0</formula>
    </cfRule>
    <cfRule type="cellIs" dxfId="2014" priority="758" operator="notEqual">
      <formula>0</formula>
    </cfRule>
  </conditionalFormatting>
  <conditionalFormatting sqref="I46:I47">
    <cfRule type="cellIs" dxfId="2013" priority="755" operator="equal">
      <formula>0</formula>
    </cfRule>
    <cfRule type="cellIs" dxfId="2012" priority="756" operator="notEqual">
      <formula>0</formula>
    </cfRule>
  </conditionalFormatting>
  <conditionalFormatting sqref="J46:J47">
    <cfRule type="cellIs" dxfId="2011" priority="753" operator="equal">
      <formula>0</formula>
    </cfRule>
    <cfRule type="cellIs" dxfId="2010" priority="754" operator="notEqual">
      <formula>0</formula>
    </cfRule>
  </conditionalFormatting>
  <conditionalFormatting sqref="O45">
    <cfRule type="cellIs" dxfId="2009" priority="751" operator="equal">
      <formula>0</formula>
    </cfRule>
    <cfRule type="cellIs" dxfId="2008" priority="752" operator="notEqual">
      <formula>0</formula>
    </cfRule>
  </conditionalFormatting>
  <conditionalFormatting sqref="O48">
    <cfRule type="cellIs" dxfId="2007" priority="749" operator="equal">
      <formula>0</formula>
    </cfRule>
    <cfRule type="cellIs" dxfId="2006" priority="750" operator="notEqual">
      <formula>0</formula>
    </cfRule>
  </conditionalFormatting>
  <conditionalFormatting sqref="P45">
    <cfRule type="cellIs" dxfId="2005" priority="747" operator="equal">
      <formula>0</formula>
    </cfRule>
    <cfRule type="cellIs" dxfId="2004" priority="748" operator="notEqual">
      <formula>0</formula>
    </cfRule>
  </conditionalFormatting>
  <conditionalFormatting sqref="P48">
    <cfRule type="cellIs" dxfId="2003" priority="745" operator="equal">
      <formula>0</formula>
    </cfRule>
    <cfRule type="cellIs" dxfId="2002" priority="746" operator="notEqual">
      <formula>0</formula>
    </cfRule>
  </conditionalFormatting>
  <conditionalFormatting sqref="Q45">
    <cfRule type="cellIs" dxfId="2001" priority="743" operator="equal">
      <formula>0</formula>
    </cfRule>
    <cfRule type="cellIs" dxfId="2000" priority="744" operator="notEqual">
      <formula>0</formula>
    </cfRule>
  </conditionalFormatting>
  <conditionalFormatting sqref="Q48">
    <cfRule type="cellIs" dxfId="1999" priority="741" operator="equal">
      <formula>0</formula>
    </cfRule>
    <cfRule type="cellIs" dxfId="1998" priority="742" operator="notEqual">
      <formula>0</formula>
    </cfRule>
  </conditionalFormatting>
  <conditionalFormatting sqref="R45">
    <cfRule type="cellIs" dxfId="1997" priority="739" operator="equal">
      <formula>0</formula>
    </cfRule>
    <cfRule type="cellIs" dxfId="1996" priority="740" operator="notEqual">
      <formula>0</formula>
    </cfRule>
  </conditionalFormatting>
  <conditionalFormatting sqref="R48">
    <cfRule type="cellIs" dxfId="1995" priority="737" operator="equal">
      <formula>0</formula>
    </cfRule>
    <cfRule type="cellIs" dxfId="1994" priority="738" operator="notEqual">
      <formula>0</formula>
    </cfRule>
  </conditionalFormatting>
  <conditionalFormatting sqref="C53:C54">
    <cfRule type="cellIs" dxfId="1993" priority="735" operator="equal">
      <formula>0</formula>
    </cfRule>
    <cfRule type="cellIs" dxfId="1992" priority="736" operator="notEqual">
      <formula>0</formula>
    </cfRule>
  </conditionalFormatting>
  <conditionalFormatting sqref="D53:D54">
    <cfRule type="cellIs" dxfId="1991" priority="733" operator="equal">
      <formula>0</formula>
    </cfRule>
    <cfRule type="cellIs" dxfId="1990" priority="734" operator="notEqual">
      <formula>0</formula>
    </cfRule>
  </conditionalFormatting>
  <conditionalFormatting sqref="E53:E54">
    <cfRule type="cellIs" dxfId="1989" priority="731" operator="equal">
      <formula>0</formula>
    </cfRule>
    <cfRule type="cellIs" dxfId="1988" priority="732" operator="notEqual">
      <formula>0</formula>
    </cfRule>
  </conditionalFormatting>
  <conditionalFormatting sqref="F53:F54">
    <cfRule type="cellIs" dxfId="1987" priority="729" operator="equal">
      <formula>0</formula>
    </cfRule>
    <cfRule type="cellIs" dxfId="1986" priority="730" operator="notEqual">
      <formula>0</formula>
    </cfRule>
  </conditionalFormatting>
  <conditionalFormatting sqref="G53:G54">
    <cfRule type="cellIs" dxfId="1985" priority="727" operator="equal">
      <formula>0</formula>
    </cfRule>
    <cfRule type="cellIs" dxfId="1984" priority="728" operator="notEqual">
      <formula>0</formula>
    </cfRule>
  </conditionalFormatting>
  <conditionalFormatting sqref="H53:H54">
    <cfRule type="cellIs" dxfId="1983" priority="725" operator="equal">
      <formula>0</formula>
    </cfRule>
    <cfRule type="cellIs" dxfId="1982" priority="726" operator="notEqual">
      <formula>0</formula>
    </cfRule>
  </conditionalFormatting>
  <conditionalFormatting sqref="I53:I54">
    <cfRule type="cellIs" dxfId="1981" priority="723" operator="equal">
      <formula>0</formula>
    </cfRule>
    <cfRule type="cellIs" dxfId="1980" priority="724" operator="notEqual">
      <formula>0</formula>
    </cfRule>
  </conditionalFormatting>
  <conditionalFormatting sqref="J53:J54">
    <cfRule type="cellIs" dxfId="1979" priority="721" operator="equal">
      <formula>0</formula>
    </cfRule>
    <cfRule type="cellIs" dxfId="1978" priority="722" operator="notEqual">
      <formula>0</formula>
    </cfRule>
  </conditionalFormatting>
  <conditionalFormatting sqref="O52">
    <cfRule type="cellIs" dxfId="1977" priority="719" operator="equal">
      <formula>0</formula>
    </cfRule>
    <cfRule type="cellIs" dxfId="1976" priority="720" operator="notEqual">
      <formula>0</formula>
    </cfRule>
  </conditionalFormatting>
  <conditionalFormatting sqref="O55">
    <cfRule type="cellIs" dxfId="1975" priority="717" operator="equal">
      <formula>0</formula>
    </cfRule>
    <cfRule type="cellIs" dxfId="1974" priority="718" operator="notEqual">
      <formula>0</formula>
    </cfRule>
  </conditionalFormatting>
  <conditionalFormatting sqref="P52">
    <cfRule type="cellIs" dxfId="1973" priority="715" operator="equal">
      <formula>0</formula>
    </cfRule>
    <cfRule type="cellIs" dxfId="1972" priority="716" operator="notEqual">
      <formula>0</formula>
    </cfRule>
  </conditionalFormatting>
  <conditionalFormatting sqref="P55">
    <cfRule type="cellIs" dxfId="1971" priority="713" operator="equal">
      <formula>0</formula>
    </cfRule>
    <cfRule type="cellIs" dxfId="1970" priority="714" operator="notEqual">
      <formula>0</formula>
    </cfRule>
  </conditionalFormatting>
  <conditionalFormatting sqref="Q52">
    <cfRule type="cellIs" dxfId="1969" priority="711" operator="equal">
      <formula>0</formula>
    </cfRule>
    <cfRule type="cellIs" dxfId="1968" priority="712" operator="notEqual">
      <formula>0</formula>
    </cfRule>
  </conditionalFormatting>
  <conditionalFormatting sqref="Q55">
    <cfRule type="cellIs" dxfId="1967" priority="709" operator="equal">
      <formula>0</formula>
    </cfRule>
    <cfRule type="cellIs" dxfId="1966" priority="710" operator="notEqual">
      <formula>0</formula>
    </cfRule>
  </conditionalFormatting>
  <conditionalFormatting sqref="R52">
    <cfRule type="cellIs" dxfId="1965" priority="707" operator="equal">
      <formula>0</formula>
    </cfRule>
    <cfRule type="cellIs" dxfId="1964" priority="708" operator="notEqual">
      <formula>0</formula>
    </cfRule>
  </conditionalFormatting>
  <conditionalFormatting sqref="R55">
    <cfRule type="cellIs" dxfId="1963" priority="705" operator="equal">
      <formula>0</formula>
    </cfRule>
    <cfRule type="cellIs" dxfId="1962" priority="706" operator="notEqual">
      <formula>0</formula>
    </cfRule>
  </conditionalFormatting>
  <conditionalFormatting sqref="C60:C61">
    <cfRule type="cellIs" dxfId="1961" priority="703" operator="equal">
      <formula>0</formula>
    </cfRule>
    <cfRule type="cellIs" dxfId="1960" priority="704" operator="notEqual">
      <formula>0</formula>
    </cfRule>
  </conditionalFormatting>
  <conditionalFormatting sqref="D60:D61">
    <cfRule type="cellIs" dxfId="1959" priority="701" operator="equal">
      <formula>0</formula>
    </cfRule>
    <cfRule type="cellIs" dxfId="1958" priority="702" operator="notEqual">
      <formula>0</formula>
    </cfRule>
  </conditionalFormatting>
  <conditionalFormatting sqref="E60:E61">
    <cfRule type="cellIs" dxfId="1957" priority="699" operator="equal">
      <formula>0</formula>
    </cfRule>
    <cfRule type="cellIs" dxfId="1956" priority="700" operator="notEqual">
      <formula>0</formula>
    </cfRule>
  </conditionalFormatting>
  <conditionalFormatting sqref="F60:F61">
    <cfRule type="cellIs" dxfId="1955" priority="697" operator="equal">
      <formula>0</formula>
    </cfRule>
    <cfRule type="cellIs" dxfId="1954" priority="698" operator="notEqual">
      <formula>0</formula>
    </cfRule>
  </conditionalFormatting>
  <conditionalFormatting sqref="G60:G61">
    <cfRule type="cellIs" dxfId="1953" priority="695" operator="equal">
      <formula>0</formula>
    </cfRule>
    <cfRule type="cellIs" dxfId="1952" priority="696" operator="notEqual">
      <formula>0</formula>
    </cfRule>
  </conditionalFormatting>
  <conditionalFormatting sqref="H60:H61">
    <cfRule type="cellIs" dxfId="1951" priority="693" operator="equal">
      <formula>0</formula>
    </cfRule>
    <cfRule type="cellIs" dxfId="1950" priority="694" operator="notEqual">
      <formula>0</formula>
    </cfRule>
  </conditionalFormatting>
  <conditionalFormatting sqref="I60:I61">
    <cfRule type="cellIs" dxfId="1949" priority="691" operator="equal">
      <formula>0</formula>
    </cfRule>
    <cfRule type="cellIs" dxfId="1948" priority="692" operator="notEqual">
      <formula>0</formula>
    </cfRule>
  </conditionalFormatting>
  <conditionalFormatting sqref="J60:J61">
    <cfRule type="cellIs" dxfId="1947" priority="689" operator="equal">
      <formula>0</formula>
    </cfRule>
    <cfRule type="cellIs" dxfId="1946" priority="690" operator="notEqual">
      <formula>0</formula>
    </cfRule>
  </conditionalFormatting>
  <conditionalFormatting sqref="O59">
    <cfRule type="cellIs" dxfId="1945" priority="687" operator="equal">
      <formula>0</formula>
    </cfRule>
    <cfRule type="cellIs" dxfId="1944" priority="688" operator="notEqual">
      <formula>0</formula>
    </cfRule>
  </conditionalFormatting>
  <conditionalFormatting sqref="O62">
    <cfRule type="cellIs" dxfId="1943" priority="685" operator="equal">
      <formula>0</formula>
    </cfRule>
    <cfRule type="cellIs" dxfId="1942" priority="686" operator="notEqual">
      <formula>0</formula>
    </cfRule>
  </conditionalFormatting>
  <conditionalFormatting sqref="P59">
    <cfRule type="cellIs" dxfId="1941" priority="683" operator="equal">
      <formula>0</formula>
    </cfRule>
    <cfRule type="cellIs" dxfId="1940" priority="684" operator="notEqual">
      <formula>0</formula>
    </cfRule>
  </conditionalFormatting>
  <conditionalFormatting sqref="P62">
    <cfRule type="cellIs" dxfId="1939" priority="681" operator="equal">
      <formula>0</formula>
    </cfRule>
    <cfRule type="cellIs" dxfId="1938" priority="682" operator="notEqual">
      <formula>0</formula>
    </cfRule>
  </conditionalFormatting>
  <conditionalFormatting sqref="Q59">
    <cfRule type="cellIs" dxfId="1937" priority="679" operator="equal">
      <formula>0</formula>
    </cfRule>
    <cfRule type="cellIs" dxfId="1936" priority="680" operator="notEqual">
      <formula>0</formula>
    </cfRule>
  </conditionalFormatting>
  <conditionalFormatting sqref="Q62">
    <cfRule type="cellIs" dxfId="1935" priority="677" operator="equal">
      <formula>0</formula>
    </cfRule>
    <cfRule type="cellIs" dxfId="1934" priority="678" operator="notEqual">
      <formula>0</formula>
    </cfRule>
  </conditionalFormatting>
  <conditionalFormatting sqref="R59">
    <cfRule type="cellIs" dxfId="1933" priority="675" operator="equal">
      <formula>0</formula>
    </cfRule>
    <cfRule type="cellIs" dxfId="1932" priority="676" operator="notEqual">
      <formula>0</formula>
    </cfRule>
  </conditionalFormatting>
  <conditionalFormatting sqref="R62">
    <cfRule type="cellIs" dxfId="1931" priority="673" operator="equal">
      <formula>0</formula>
    </cfRule>
    <cfRule type="cellIs" dxfId="1930" priority="674" operator="notEqual">
      <formula>0</formula>
    </cfRule>
  </conditionalFormatting>
  <conditionalFormatting sqref="C67:C68">
    <cfRule type="cellIs" dxfId="1929" priority="671" operator="equal">
      <formula>0</formula>
    </cfRule>
    <cfRule type="cellIs" dxfId="1928" priority="672" operator="notEqual">
      <formula>0</formula>
    </cfRule>
  </conditionalFormatting>
  <conditionalFormatting sqref="D67:D68">
    <cfRule type="cellIs" dxfId="1927" priority="669" operator="equal">
      <formula>0</formula>
    </cfRule>
    <cfRule type="cellIs" dxfId="1926" priority="670" operator="notEqual">
      <formula>0</formula>
    </cfRule>
  </conditionalFormatting>
  <conditionalFormatting sqref="E67:E68">
    <cfRule type="cellIs" dxfId="1925" priority="667" operator="equal">
      <formula>0</formula>
    </cfRule>
    <cfRule type="cellIs" dxfId="1924" priority="668" operator="notEqual">
      <formula>0</formula>
    </cfRule>
  </conditionalFormatting>
  <conditionalFormatting sqref="F67:F68">
    <cfRule type="cellIs" dxfId="1923" priority="665" operator="equal">
      <formula>0</formula>
    </cfRule>
    <cfRule type="cellIs" dxfId="1922" priority="666" operator="notEqual">
      <formula>0</formula>
    </cfRule>
  </conditionalFormatting>
  <conditionalFormatting sqref="G67:G68">
    <cfRule type="cellIs" dxfId="1921" priority="663" operator="equal">
      <formula>0</formula>
    </cfRule>
    <cfRule type="cellIs" dxfId="1920" priority="664" operator="notEqual">
      <formula>0</formula>
    </cfRule>
  </conditionalFormatting>
  <conditionalFormatting sqref="H67:H68">
    <cfRule type="cellIs" dxfId="1919" priority="661" operator="equal">
      <formula>0</formula>
    </cfRule>
    <cfRule type="cellIs" dxfId="1918" priority="662" operator="notEqual">
      <formula>0</formula>
    </cfRule>
  </conditionalFormatting>
  <conditionalFormatting sqref="I67:I68">
    <cfRule type="cellIs" dxfId="1917" priority="659" operator="equal">
      <formula>0</formula>
    </cfRule>
    <cfRule type="cellIs" dxfId="1916" priority="660" operator="notEqual">
      <formula>0</formula>
    </cfRule>
  </conditionalFormatting>
  <conditionalFormatting sqref="J67:J68">
    <cfRule type="cellIs" dxfId="1915" priority="657" operator="equal">
      <formula>0</formula>
    </cfRule>
    <cfRule type="cellIs" dxfId="1914" priority="658" operator="notEqual">
      <formula>0</formula>
    </cfRule>
  </conditionalFormatting>
  <conditionalFormatting sqref="O66">
    <cfRule type="cellIs" dxfId="1913" priority="655" operator="equal">
      <formula>0</formula>
    </cfRule>
    <cfRule type="cellIs" dxfId="1912" priority="656" operator="notEqual">
      <formula>0</formula>
    </cfRule>
  </conditionalFormatting>
  <conditionalFormatting sqref="O69">
    <cfRule type="cellIs" dxfId="1911" priority="653" operator="equal">
      <formula>0</formula>
    </cfRule>
    <cfRule type="cellIs" dxfId="1910" priority="654" operator="notEqual">
      <formula>0</formula>
    </cfRule>
  </conditionalFormatting>
  <conditionalFormatting sqref="P66">
    <cfRule type="cellIs" dxfId="1909" priority="651" operator="equal">
      <formula>0</formula>
    </cfRule>
    <cfRule type="cellIs" dxfId="1908" priority="652" operator="notEqual">
      <formula>0</formula>
    </cfRule>
  </conditionalFormatting>
  <conditionalFormatting sqref="P69">
    <cfRule type="cellIs" dxfId="1907" priority="649" operator="equal">
      <formula>0</formula>
    </cfRule>
    <cfRule type="cellIs" dxfId="1906" priority="650" operator="notEqual">
      <formula>0</formula>
    </cfRule>
  </conditionalFormatting>
  <conditionalFormatting sqref="Q66">
    <cfRule type="cellIs" dxfId="1905" priority="647" operator="equal">
      <formula>0</formula>
    </cfRule>
    <cfRule type="cellIs" dxfId="1904" priority="648" operator="notEqual">
      <formula>0</formula>
    </cfRule>
  </conditionalFormatting>
  <conditionalFormatting sqref="Q69">
    <cfRule type="cellIs" dxfId="1903" priority="645" operator="equal">
      <formula>0</formula>
    </cfRule>
    <cfRule type="cellIs" dxfId="1902" priority="646" operator="notEqual">
      <formula>0</formula>
    </cfRule>
  </conditionalFormatting>
  <conditionalFormatting sqref="R66">
    <cfRule type="cellIs" dxfId="1901" priority="643" operator="equal">
      <formula>0</formula>
    </cfRule>
    <cfRule type="cellIs" dxfId="1900" priority="644" operator="notEqual">
      <formula>0</formula>
    </cfRule>
  </conditionalFormatting>
  <conditionalFormatting sqref="R69">
    <cfRule type="cellIs" dxfId="1899" priority="641" operator="equal">
      <formula>0</formula>
    </cfRule>
    <cfRule type="cellIs" dxfId="1898" priority="642" operator="notEqual">
      <formula>0</formula>
    </cfRule>
  </conditionalFormatting>
  <conditionalFormatting sqref="C74:C75">
    <cfRule type="cellIs" dxfId="1897" priority="639" operator="equal">
      <formula>0</formula>
    </cfRule>
    <cfRule type="cellIs" dxfId="1896" priority="640" operator="notEqual">
      <formula>0</formula>
    </cfRule>
  </conditionalFormatting>
  <conditionalFormatting sqref="D74:D75">
    <cfRule type="cellIs" dxfId="1895" priority="637" operator="equal">
      <formula>0</formula>
    </cfRule>
    <cfRule type="cellIs" dxfId="1894" priority="638" operator="notEqual">
      <formula>0</formula>
    </cfRule>
  </conditionalFormatting>
  <conditionalFormatting sqref="E74:E75">
    <cfRule type="cellIs" dxfId="1893" priority="635" operator="equal">
      <formula>0</formula>
    </cfRule>
    <cfRule type="cellIs" dxfId="1892" priority="636" operator="notEqual">
      <formula>0</formula>
    </cfRule>
  </conditionalFormatting>
  <conditionalFormatting sqref="F74:F75">
    <cfRule type="cellIs" dxfId="1891" priority="633" operator="equal">
      <formula>0</formula>
    </cfRule>
    <cfRule type="cellIs" dxfId="1890" priority="634" operator="notEqual">
      <formula>0</formula>
    </cfRule>
  </conditionalFormatting>
  <conditionalFormatting sqref="G74:G75">
    <cfRule type="cellIs" dxfId="1889" priority="631" operator="equal">
      <formula>0</formula>
    </cfRule>
    <cfRule type="cellIs" dxfId="1888" priority="632" operator="notEqual">
      <formula>0</formula>
    </cfRule>
  </conditionalFormatting>
  <conditionalFormatting sqref="H74:H75">
    <cfRule type="cellIs" dxfId="1887" priority="629" operator="equal">
      <formula>0</formula>
    </cfRule>
    <cfRule type="cellIs" dxfId="1886" priority="630" operator="notEqual">
      <formula>0</formula>
    </cfRule>
  </conditionalFormatting>
  <conditionalFormatting sqref="I74:I75">
    <cfRule type="cellIs" dxfId="1885" priority="627" operator="equal">
      <formula>0</formula>
    </cfRule>
    <cfRule type="cellIs" dxfId="1884" priority="628" operator="notEqual">
      <formula>0</formula>
    </cfRule>
  </conditionalFormatting>
  <conditionalFormatting sqref="J74:J75">
    <cfRule type="cellIs" dxfId="1883" priority="625" operator="equal">
      <formula>0</formula>
    </cfRule>
    <cfRule type="cellIs" dxfId="1882" priority="626" operator="notEqual">
      <formula>0</formula>
    </cfRule>
  </conditionalFormatting>
  <conditionalFormatting sqref="O73">
    <cfRule type="cellIs" dxfId="1881" priority="623" operator="equal">
      <formula>0</formula>
    </cfRule>
    <cfRule type="cellIs" dxfId="1880" priority="624" operator="notEqual">
      <formula>0</formula>
    </cfRule>
  </conditionalFormatting>
  <conditionalFormatting sqref="O76">
    <cfRule type="cellIs" dxfId="1879" priority="621" operator="equal">
      <formula>0</formula>
    </cfRule>
    <cfRule type="cellIs" dxfId="1878" priority="622" operator="notEqual">
      <formula>0</formula>
    </cfRule>
  </conditionalFormatting>
  <conditionalFormatting sqref="P73">
    <cfRule type="cellIs" dxfId="1877" priority="619" operator="equal">
      <formula>0</formula>
    </cfRule>
    <cfRule type="cellIs" dxfId="1876" priority="620" operator="notEqual">
      <formula>0</formula>
    </cfRule>
  </conditionalFormatting>
  <conditionalFormatting sqref="P76">
    <cfRule type="cellIs" dxfId="1875" priority="617" operator="equal">
      <formula>0</formula>
    </cfRule>
    <cfRule type="cellIs" dxfId="1874" priority="618" operator="notEqual">
      <formula>0</formula>
    </cfRule>
  </conditionalFormatting>
  <conditionalFormatting sqref="Q73">
    <cfRule type="cellIs" dxfId="1873" priority="615" operator="equal">
      <formula>0</formula>
    </cfRule>
    <cfRule type="cellIs" dxfId="1872" priority="616" operator="notEqual">
      <formula>0</formula>
    </cfRule>
  </conditionalFormatting>
  <conditionalFormatting sqref="Q76">
    <cfRule type="cellIs" dxfId="1871" priority="613" operator="equal">
      <formula>0</formula>
    </cfRule>
    <cfRule type="cellIs" dxfId="1870" priority="614" operator="notEqual">
      <formula>0</formula>
    </cfRule>
  </conditionalFormatting>
  <conditionalFormatting sqref="R73">
    <cfRule type="cellIs" dxfId="1869" priority="611" operator="equal">
      <formula>0</formula>
    </cfRule>
    <cfRule type="cellIs" dxfId="1868" priority="612" operator="notEqual">
      <formula>0</formula>
    </cfRule>
  </conditionalFormatting>
  <conditionalFormatting sqref="R76">
    <cfRule type="cellIs" dxfId="1867" priority="609" operator="equal">
      <formula>0</formula>
    </cfRule>
    <cfRule type="cellIs" dxfId="1866" priority="610" operator="notEqual">
      <formula>0</formula>
    </cfRule>
  </conditionalFormatting>
  <conditionalFormatting sqref="U67:U68">
    <cfRule type="cellIs" dxfId="1865" priority="607" operator="equal">
      <formula>0</formula>
    </cfRule>
    <cfRule type="cellIs" dxfId="1864" priority="608" operator="notEqual">
      <formula>0</formula>
    </cfRule>
  </conditionalFormatting>
  <conditionalFormatting sqref="V67:V68">
    <cfRule type="cellIs" dxfId="1863" priority="605" operator="equal">
      <formula>0</formula>
    </cfRule>
    <cfRule type="cellIs" dxfId="1862" priority="606" operator="notEqual">
      <formula>0</formula>
    </cfRule>
  </conditionalFormatting>
  <conditionalFormatting sqref="W67:W68">
    <cfRule type="cellIs" dxfId="1861" priority="603" operator="equal">
      <formula>0</formula>
    </cfRule>
    <cfRule type="cellIs" dxfId="1860" priority="604" operator="notEqual">
      <formula>0</formula>
    </cfRule>
  </conditionalFormatting>
  <conditionalFormatting sqref="X67:X68">
    <cfRule type="cellIs" dxfId="1859" priority="601" operator="equal">
      <formula>0</formula>
    </cfRule>
    <cfRule type="cellIs" dxfId="1858" priority="602" operator="notEqual">
      <formula>0</formula>
    </cfRule>
  </conditionalFormatting>
  <conditionalFormatting sqref="Y67:Y68">
    <cfRule type="cellIs" dxfId="1857" priority="599" operator="equal">
      <formula>0</formula>
    </cfRule>
    <cfRule type="cellIs" dxfId="1856" priority="600" operator="notEqual">
      <formula>0</formula>
    </cfRule>
  </conditionalFormatting>
  <conditionalFormatting sqref="Z67:Z68">
    <cfRule type="cellIs" dxfId="1855" priority="597" operator="equal">
      <formula>0</formula>
    </cfRule>
    <cfRule type="cellIs" dxfId="1854" priority="598" operator="notEqual">
      <formula>0</formula>
    </cfRule>
  </conditionalFormatting>
  <conditionalFormatting sqref="AA67:AA68">
    <cfRule type="cellIs" dxfId="1853" priority="595" operator="equal">
      <formula>0</formula>
    </cfRule>
    <cfRule type="cellIs" dxfId="1852" priority="596" operator="notEqual">
      <formula>0</formula>
    </cfRule>
  </conditionalFormatting>
  <conditionalFormatting sqref="AB67:AB68">
    <cfRule type="cellIs" dxfId="1851" priority="593" operator="equal">
      <formula>0</formula>
    </cfRule>
    <cfRule type="cellIs" dxfId="1850" priority="594" operator="notEqual">
      <formula>0</formula>
    </cfRule>
  </conditionalFormatting>
  <conditionalFormatting sqref="AG66">
    <cfRule type="cellIs" dxfId="1849" priority="591" operator="equal">
      <formula>0</formula>
    </cfRule>
    <cfRule type="cellIs" dxfId="1848" priority="592" operator="notEqual">
      <formula>0</formula>
    </cfRule>
  </conditionalFormatting>
  <conditionalFormatting sqref="AG69">
    <cfRule type="cellIs" dxfId="1847" priority="589" operator="equal">
      <formula>0</formula>
    </cfRule>
    <cfRule type="cellIs" dxfId="1846" priority="590" operator="notEqual">
      <formula>0</formula>
    </cfRule>
  </conditionalFormatting>
  <conditionalFormatting sqref="AH66">
    <cfRule type="cellIs" dxfId="1845" priority="587" operator="equal">
      <formula>0</formula>
    </cfRule>
    <cfRule type="cellIs" dxfId="1844" priority="588" operator="notEqual">
      <formula>0</formula>
    </cfRule>
  </conditionalFormatting>
  <conditionalFormatting sqref="AH69">
    <cfRule type="cellIs" dxfId="1843" priority="585" operator="equal">
      <formula>0</formula>
    </cfRule>
    <cfRule type="cellIs" dxfId="1842" priority="586" operator="notEqual">
      <formula>0</formula>
    </cfRule>
  </conditionalFormatting>
  <conditionalFormatting sqref="AI66">
    <cfRule type="cellIs" dxfId="1841" priority="583" operator="equal">
      <formula>0</formula>
    </cfRule>
    <cfRule type="cellIs" dxfId="1840" priority="584" operator="notEqual">
      <formula>0</formula>
    </cfRule>
  </conditionalFormatting>
  <conditionalFormatting sqref="AI69">
    <cfRule type="cellIs" dxfId="1839" priority="581" operator="equal">
      <formula>0</formula>
    </cfRule>
    <cfRule type="cellIs" dxfId="1838" priority="582" operator="notEqual">
      <formula>0</formula>
    </cfRule>
  </conditionalFormatting>
  <conditionalFormatting sqref="AJ66">
    <cfRule type="cellIs" dxfId="1837" priority="579" operator="equal">
      <formula>0</formula>
    </cfRule>
    <cfRule type="cellIs" dxfId="1836" priority="580" operator="notEqual">
      <formula>0</formula>
    </cfRule>
  </conditionalFormatting>
  <conditionalFormatting sqref="AJ69">
    <cfRule type="cellIs" dxfId="1835" priority="577" operator="equal">
      <formula>0</formula>
    </cfRule>
    <cfRule type="cellIs" dxfId="1834" priority="578" operator="notEqual">
      <formula>0</formula>
    </cfRule>
  </conditionalFormatting>
  <conditionalFormatting sqref="U60:U61">
    <cfRule type="cellIs" dxfId="1833" priority="575" operator="equal">
      <formula>0</formula>
    </cfRule>
    <cfRule type="cellIs" dxfId="1832" priority="576" operator="notEqual">
      <formula>0</formula>
    </cfRule>
  </conditionalFormatting>
  <conditionalFormatting sqref="V60:V61">
    <cfRule type="cellIs" dxfId="1831" priority="573" operator="equal">
      <formula>0</formula>
    </cfRule>
    <cfRule type="cellIs" dxfId="1830" priority="574" operator="notEqual">
      <formula>0</formula>
    </cfRule>
  </conditionalFormatting>
  <conditionalFormatting sqref="W60:W61">
    <cfRule type="cellIs" dxfId="1829" priority="571" operator="equal">
      <formula>0</formula>
    </cfRule>
    <cfRule type="cellIs" dxfId="1828" priority="572" operator="notEqual">
      <formula>0</formula>
    </cfRule>
  </conditionalFormatting>
  <conditionalFormatting sqref="X60:X61">
    <cfRule type="cellIs" dxfId="1827" priority="569" operator="equal">
      <formula>0</formula>
    </cfRule>
    <cfRule type="cellIs" dxfId="1826" priority="570" operator="notEqual">
      <formula>0</formula>
    </cfRule>
  </conditionalFormatting>
  <conditionalFormatting sqref="Y60:Y61">
    <cfRule type="cellIs" dxfId="1825" priority="567" operator="equal">
      <formula>0</formula>
    </cfRule>
    <cfRule type="cellIs" dxfId="1824" priority="568" operator="notEqual">
      <formula>0</formula>
    </cfRule>
  </conditionalFormatting>
  <conditionalFormatting sqref="Z60:Z61">
    <cfRule type="cellIs" dxfId="1823" priority="565" operator="equal">
      <formula>0</formula>
    </cfRule>
    <cfRule type="cellIs" dxfId="1822" priority="566" operator="notEqual">
      <formula>0</formula>
    </cfRule>
  </conditionalFormatting>
  <conditionalFormatting sqref="AA60:AA61">
    <cfRule type="cellIs" dxfId="1821" priority="563" operator="equal">
      <formula>0</formula>
    </cfRule>
    <cfRule type="cellIs" dxfId="1820" priority="564" operator="notEqual">
      <formula>0</formula>
    </cfRule>
  </conditionalFormatting>
  <conditionalFormatting sqref="AB60:AB61">
    <cfRule type="cellIs" dxfId="1819" priority="561" operator="equal">
      <formula>0</formula>
    </cfRule>
    <cfRule type="cellIs" dxfId="1818" priority="562" operator="notEqual">
      <formula>0</formula>
    </cfRule>
  </conditionalFormatting>
  <conditionalFormatting sqref="AG59">
    <cfRule type="cellIs" dxfId="1817" priority="559" operator="equal">
      <formula>0</formula>
    </cfRule>
    <cfRule type="cellIs" dxfId="1816" priority="560" operator="notEqual">
      <formula>0</formula>
    </cfRule>
  </conditionalFormatting>
  <conditionalFormatting sqref="AG62">
    <cfRule type="cellIs" dxfId="1815" priority="557" operator="equal">
      <formula>0</formula>
    </cfRule>
    <cfRule type="cellIs" dxfId="1814" priority="558" operator="notEqual">
      <formula>0</formula>
    </cfRule>
  </conditionalFormatting>
  <conditionalFormatting sqref="AH59">
    <cfRule type="cellIs" dxfId="1813" priority="555" operator="equal">
      <formula>0</formula>
    </cfRule>
    <cfRule type="cellIs" dxfId="1812" priority="556" operator="notEqual">
      <formula>0</formula>
    </cfRule>
  </conditionalFormatting>
  <conditionalFormatting sqref="AH62">
    <cfRule type="cellIs" dxfId="1811" priority="553" operator="equal">
      <formula>0</formula>
    </cfRule>
    <cfRule type="cellIs" dxfId="1810" priority="554" operator="notEqual">
      <formula>0</formula>
    </cfRule>
  </conditionalFormatting>
  <conditionalFormatting sqref="AI59">
    <cfRule type="cellIs" dxfId="1809" priority="551" operator="equal">
      <formula>0</formula>
    </cfRule>
    <cfRule type="cellIs" dxfId="1808" priority="552" operator="notEqual">
      <formula>0</formula>
    </cfRule>
  </conditionalFormatting>
  <conditionalFormatting sqref="AI62">
    <cfRule type="cellIs" dxfId="1807" priority="549" operator="equal">
      <formula>0</formula>
    </cfRule>
    <cfRule type="cellIs" dxfId="1806" priority="550" operator="notEqual">
      <formula>0</formula>
    </cfRule>
  </conditionalFormatting>
  <conditionalFormatting sqref="AJ59">
    <cfRule type="cellIs" dxfId="1805" priority="547" operator="equal">
      <formula>0</formula>
    </cfRule>
    <cfRule type="cellIs" dxfId="1804" priority="548" operator="notEqual">
      <formula>0</formula>
    </cfRule>
  </conditionalFormatting>
  <conditionalFormatting sqref="AJ62">
    <cfRule type="cellIs" dxfId="1803" priority="545" operator="equal">
      <formula>0</formula>
    </cfRule>
    <cfRule type="cellIs" dxfId="1802" priority="546" operator="notEqual">
      <formula>0</formula>
    </cfRule>
  </conditionalFormatting>
  <conditionalFormatting sqref="U53:U54">
    <cfRule type="cellIs" dxfId="1801" priority="543" operator="equal">
      <formula>0</formula>
    </cfRule>
    <cfRule type="cellIs" dxfId="1800" priority="544" operator="notEqual">
      <formula>0</formula>
    </cfRule>
  </conditionalFormatting>
  <conditionalFormatting sqref="V53:V54">
    <cfRule type="cellIs" dxfId="1799" priority="541" operator="equal">
      <formula>0</formula>
    </cfRule>
    <cfRule type="cellIs" dxfId="1798" priority="542" operator="notEqual">
      <formula>0</formula>
    </cfRule>
  </conditionalFormatting>
  <conditionalFormatting sqref="W53:W54">
    <cfRule type="cellIs" dxfId="1797" priority="539" operator="equal">
      <formula>0</formula>
    </cfRule>
    <cfRule type="cellIs" dxfId="1796" priority="540" operator="notEqual">
      <formula>0</formula>
    </cfRule>
  </conditionalFormatting>
  <conditionalFormatting sqref="X53:X54">
    <cfRule type="cellIs" dxfId="1795" priority="537" operator="equal">
      <formula>0</formula>
    </cfRule>
    <cfRule type="cellIs" dxfId="1794" priority="538" operator="notEqual">
      <formula>0</formula>
    </cfRule>
  </conditionalFormatting>
  <conditionalFormatting sqref="Y53:Y54">
    <cfRule type="cellIs" dxfId="1793" priority="535" operator="equal">
      <formula>0</formula>
    </cfRule>
    <cfRule type="cellIs" dxfId="1792" priority="536" operator="notEqual">
      <formula>0</formula>
    </cfRule>
  </conditionalFormatting>
  <conditionalFormatting sqref="Z53:Z54">
    <cfRule type="cellIs" dxfId="1791" priority="533" operator="equal">
      <formula>0</formula>
    </cfRule>
    <cfRule type="cellIs" dxfId="1790" priority="534" operator="notEqual">
      <formula>0</formula>
    </cfRule>
  </conditionalFormatting>
  <conditionalFormatting sqref="AA53:AA54">
    <cfRule type="cellIs" dxfId="1789" priority="531" operator="equal">
      <formula>0</formula>
    </cfRule>
    <cfRule type="cellIs" dxfId="1788" priority="532" operator="notEqual">
      <formula>0</formula>
    </cfRule>
  </conditionalFormatting>
  <conditionalFormatting sqref="AB53:AB54">
    <cfRule type="cellIs" dxfId="1787" priority="529" operator="equal">
      <formula>0</formula>
    </cfRule>
    <cfRule type="cellIs" dxfId="1786" priority="530" operator="notEqual">
      <formula>0</formula>
    </cfRule>
  </conditionalFormatting>
  <conditionalFormatting sqref="AG52">
    <cfRule type="cellIs" dxfId="1785" priority="527" operator="equal">
      <formula>0</formula>
    </cfRule>
    <cfRule type="cellIs" dxfId="1784" priority="528" operator="notEqual">
      <formula>0</formula>
    </cfRule>
  </conditionalFormatting>
  <conditionalFormatting sqref="AG55">
    <cfRule type="cellIs" dxfId="1783" priority="525" operator="equal">
      <formula>0</formula>
    </cfRule>
    <cfRule type="cellIs" dxfId="1782" priority="526" operator="notEqual">
      <formula>0</formula>
    </cfRule>
  </conditionalFormatting>
  <conditionalFormatting sqref="AH52">
    <cfRule type="cellIs" dxfId="1781" priority="523" operator="equal">
      <formula>0</formula>
    </cfRule>
    <cfRule type="cellIs" dxfId="1780" priority="524" operator="notEqual">
      <formula>0</formula>
    </cfRule>
  </conditionalFormatting>
  <conditionalFormatting sqref="AH55">
    <cfRule type="cellIs" dxfId="1779" priority="521" operator="equal">
      <formula>0</formula>
    </cfRule>
    <cfRule type="cellIs" dxfId="1778" priority="522" operator="notEqual">
      <formula>0</formula>
    </cfRule>
  </conditionalFormatting>
  <conditionalFormatting sqref="AI52">
    <cfRule type="cellIs" dxfId="1777" priority="519" operator="equal">
      <formula>0</formula>
    </cfRule>
    <cfRule type="cellIs" dxfId="1776" priority="520" operator="notEqual">
      <formula>0</formula>
    </cfRule>
  </conditionalFormatting>
  <conditionalFormatting sqref="AI55">
    <cfRule type="cellIs" dxfId="1775" priority="517" operator="equal">
      <formula>0</formula>
    </cfRule>
    <cfRule type="cellIs" dxfId="1774" priority="518" operator="notEqual">
      <formula>0</formula>
    </cfRule>
  </conditionalFormatting>
  <conditionalFormatting sqref="AJ52">
    <cfRule type="cellIs" dxfId="1773" priority="515" operator="equal">
      <formula>0</formula>
    </cfRule>
    <cfRule type="cellIs" dxfId="1772" priority="516" operator="notEqual">
      <formula>0</formula>
    </cfRule>
  </conditionalFormatting>
  <conditionalFormatting sqref="AJ55">
    <cfRule type="cellIs" dxfId="1771" priority="513" operator="equal">
      <formula>0</formula>
    </cfRule>
    <cfRule type="cellIs" dxfId="1770" priority="514" operator="notEqual">
      <formula>0</formula>
    </cfRule>
  </conditionalFormatting>
  <conditionalFormatting sqref="U46:U47">
    <cfRule type="cellIs" dxfId="1769" priority="511" operator="equal">
      <formula>0</formula>
    </cfRule>
    <cfRule type="cellIs" dxfId="1768" priority="512" operator="notEqual">
      <formula>0</formula>
    </cfRule>
  </conditionalFormatting>
  <conditionalFormatting sqref="V46:V47">
    <cfRule type="cellIs" dxfId="1767" priority="509" operator="equal">
      <formula>0</formula>
    </cfRule>
    <cfRule type="cellIs" dxfId="1766" priority="510" operator="notEqual">
      <formula>0</formula>
    </cfRule>
  </conditionalFormatting>
  <conditionalFormatting sqref="W46:W47">
    <cfRule type="cellIs" dxfId="1765" priority="507" operator="equal">
      <formula>0</formula>
    </cfRule>
    <cfRule type="cellIs" dxfId="1764" priority="508" operator="notEqual">
      <formula>0</formula>
    </cfRule>
  </conditionalFormatting>
  <conditionalFormatting sqref="X46:X47">
    <cfRule type="cellIs" dxfId="1763" priority="505" operator="equal">
      <formula>0</formula>
    </cfRule>
    <cfRule type="cellIs" dxfId="1762" priority="506" operator="notEqual">
      <formula>0</formula>
    </cfRule>
  </conditionalFormatting>
  <conditionalFormatting sqref="Y46:Y47">
    <cfRule type="cellIs" dxfId="1761" priority="503" operator="equal">
      <formula>0</formula>
    </cfRule>
    <cfRule type="cellIs" dxfId="1760" priority="504" operator="notEqual">
      <formula>0</formula>
    </cfRule>
  </conditionalFormatting>
  <conditionalFormatting sqref="Z46:Z47">
    <cfRule type="cellIs" dxfId="1759" priority="501" operator="equal">
      <formula>0</formula>
    </cfRule>
    <cfRule type="cellIs" dxfId="1758" priority="502" operator="notEqual">
      <formula>0</formula>
    </cfRule>
  </conditionalFormatting>
  <conditionalFormatting sqref="AA46:AA47">
    <cfRule type="cellIs" dxfId="1757" priority="499" operator="equal">
      <formula>0</formula>
    </cfRule>
    <cfRule type="cellIs" dxfId="1756" priority="500" operator="notEqual">
      <formula>0</formula>
    </cfRule>
  </conditionalFormatting>
  <conditionalFormatting sqref="AB46:AB47">
    <cfRule type="cellIs" dxfId="1755" priority="497" operator="equal">
      <formula>0</formula>
    </cfRule>
    <cfRule type="cellIs" dxfId="1754" priority="498" operator="notEqual">
      <formula>0</formula>
    </cfRule>
  </conditionalFormatting>
  <conditionalFormatting sqref="AG45">
    <cfRule type="cellIs" dxfId="1753" priority="495" operator="equal">
      <formula>0</formula>
    </cfRule>
    <cfRule type="cellIs" dxfId="1752" priority="496" operator="notEqual">
      <formula>0</formula>
    </cfRule>
  </conditionalFormatting>
  <conditionalFormatting sqref="AG48">
    <cfRule type="cellIs" dxfId="1751" priority="493" operator="equal">
      <formula>0</formula>
    </cfRule>
    <cfRule type="cellIs" dxfId="1750" priority="494" operator="notEqual">
      <formula>0</formula>
    </cfRule>
  </conditionalFormatting>
  <conditionalFormatting sqref="AH45">
    <cfRule type="cellIs" dxfId="1749" priority="491" operator="equal">
      <formula>0</formula>
    </cfRule>
    <cfRule type="cellIs" dxfId="1748" priority="492" operator="notEqual">
      <formula>0</formula>
    </cfRule>
  </conditionalFormatting>
  <conditionalFormatting sqref="AH48">
    <cfRule type="cellIs" dxfId="1747" priority="489" operator="equal">
      <formula>0</formula>
    </cfRule>
    <cfRule type="cellIs" dxfId="1746" priority="490" operator="notEqual">
      <formula>0</formula>
    </cfRule>
  </conditionalFormatting>
  <conditionalFormatting sqref="AI45">
    <cfRule type="cellIs" dxfId="1745" priority="487" operator="equal">
      <formula>0</formula>
    </cfRule>
    <cfRule type="cellIs" dxfId="1744" priority="488" operator="notEqual">
      <formula>0</formula>
    </cfRule>
  </conditionalFormatting>
  <conditionalFormatting sqref="AI48">
    <cfRule type="cellIs" dxfId="1743" priority="485" operator="equal">
      <formula>0</formula>
    </cfRule>
    <cfRule type="cellIs" dxfId="1742" priority="486" operator="notEqual">
      <formula>0</formula>
    </cfRule>
  </conditionalFormatting>
  <conditionalFormatting sqref="AJ45">
    <cfRule type="cellIs" dxfId="1741" priority="483" operator="equal">
      <formula>0</formula>
    </cfRule>
    <cfRule type="cellIs" dxfId="1740" priority="484" operator="notEqual">
      <formula>0</formula>
    </cfRule>
  </conditionalFormatting>
  <conditionalFormatting sqref="AJ48">
    <cfRule type="cellIs" dxfId="1739" priority="481" operator="equal">
      <formula>0</formula>
    </cfRule>
    <cfRule type="cellIs" dxfId="1738" priority="482" operator="notEqual">
      <formula>0</formula>
    </cfRule>
  </conditionalFormatting>
  <conditionalFormatting sqref="U39:U40">
    <cfRule type="cellIs" dxfId="1737" priority="479" operator="equal">
      <formula>0</formula>
    </cfRule>
    <cfRule type="cellIs" dxfId="1736" priority="480" operator="notEqual">
      <formula>0</formula>
    </cfRule>
  </conditionalFormatting>
  <conditionalFormatting sqref="V39:V40">
    <cfRule type="cellIs" dxfId="1735" priority="477" operator="equal">
      <formula>0</formula>
    </cfRule>
    <cfRule type="cellIs" dxfId="1734" priority="478" operator="notEqual">
      <formula>0</formula>
    </cfRule>
  </conditionalFormatting>
  <conditionalFormatting sqref="W39:W40">
    <cfRule type="cellIs" dxfId="1733" priority="475" operator="equal">
      <formula>0</formula>
    </cfRule>
    <cfRule type="cellIs" dxfId="1732" priority="476" operator="notEqual">
      <formula>0</formula>
    </cfRule>
  </conditionalFormatting>
  <conditionalFormatting sqref="X39:X40">
    <cfRule type="cellIs" dxfId="1731" priority="473" operator="equal">
      <formula>0</formula>
    </cfRule>
    <cfRule type="cellIs" dxfId="1730" priority="474" operator="notEqual">
      <formula>0</formula>
    </cfRule>
  </conditionalFormatting>
  <conditionalFormatting sqref="Y39:Y40">
    <cfRule type="cellIs" dxfId="1729" priority="471" operator="equal">
      <formula>0</formula>
    </cfRule>
    <cfRule type="cellIs" dxfId="1728" priority="472" operator="notEqual">
      <formula>0</formula>
    </cfRule>
  </conditionalFormatting>
  <conditionalFormatting sqref="Z39:Z40">
    <cfRule type="cellIs" dxfId="1727" priority="469" operator="equal">
      <formula>0</formula>
    </cfRule>
    <cfRule type="cellIs" dxfId="1726" priority="470" operator="notEqual">
      <formula>0</formula>
    </cfRule>
  </conditionalFormatting>
  <conditionalFormatting sqref="AA39:AA40">
    <cfRule type="cellIs" dxfId="1725" priority="467" operator="equal">
      <formula>0</formula>
    </cfRule>
    <cfRule type="cellIs" dxfId="1724" priority="468" operator="notEqual">
      <formula>0</formula>
    </cfRule>
  </conditionalFormatting>
  <conditionalFormatting sqref="AB39:AB40">
    <cfRule type="cellIs" dxfId="1723" priority="465" operator="equal">
      <formula>0</formula>
    </cfRule>
    <cfRule type="cellIs" dxfId="1722" priority="466" operator="notEqual">
      <formula>0</formula>
    </cfRule>
  </conditionalFormatting>
  <conditionalFormatting sqref="AG38">
    <cfRule type="cellIs" dxfId="1721" priority="463" operator="equal">
      <formula>0</formula>
    </cfRule>
    <cfRule type="cellIs" dxfId="1720" priority="464" operator="notEqual">
      <formula>0</formula>
    </cfRule>
  </conditionalFormatting>
  <conditionalFormatting sqref="AG41">
    <cfRule type="cellIs" dxfId="1719" priority="461" operator="equal">
      <formula>0</formula>
    </cfRule>
    <cfRule type="cellIs" dxfId="1718" priority="462" operator="notEqual">
      <formula>0</formula>
    </cfRule>
  </conditionalFormatting>
  <conditionalFormatting sqref="AH38">
    <cfRule type="cellIs" dxfId="1717" priority="459" operator="equal">
      <formula>0</formula>
    </cfRule>
    <cfRule type="cellIs" dxfId="1716" priority="460" operator="notEqual">
      <formula>0</formula>
    </cfRule>
  </conditionalFormatting>
  <conditionalFormatting sqref="AH41">
    <cfRule type="cellIs" dxfId="1715" priority="457" operator="equal">
      <formula>0</formula>
    </cfRule>
    <cfRule type="cellIs" dxfId="1714" priority="458" operator="notEqual">
      <formula>0</formula>
    </cfRule>
  </conditionalFormatting>
  <conditionalFormatting sqref="AI38">
    <cfRule type="cellIs" dxfId="1713" priority="455" operator="equal">
      <formula>0</formula>
    </cfRule>
    <cfRule type="cellIs" dxfId="1712" priority="456" operator="notEqual">
      <formula>0</formula>
    </cfRule>
  </conditionalFormatting>
  <conditionalFormatting sqref="AI41">
    <cfRule type="cellIs" dxfId="1711" priority="453" operator="equal">
      <formula>0</formula>
    </cfRule>
    <cfRule type="cellIs" dxfId="1710" priority="454" operator="notEqual">
      <formula>0</formula>
    </cfRule>
  </conditionalFormatting>
  <conditionalFormatting sqref="AJ38">
    <cfRule type="cellIs" dxfId="1709" priority="451" operator="equal">
      <formula>0</formula>
    </cfRule>
    <cfRule type="cellIs" dxfId="1708" priority="452" operator="notEqual">
      <formula>0</formula>
    </cfRule>
  </conditionalFormatting>
  <conditionalFormatting sqref="AJ41">
    <cfRule type="cellIs" dxfId="1707" priority="449" operator="equal">
      <formula>0</formula>
    </cfRule>
    <cfRule type="cellIs" dxfId="1706" priority="450" operator="notEqual">
      <formula>0</formula>
    </cfRule>
  </conditionalFormatting>
  <conditionalFormatting sqref="U32:U33">
    <cfRule type="cellIs" dxfId="1705" priority="447" operator="equal">
      <formula>0</formula>
    </cfRule>
    <cfRule type="cellIs" dxfId="1704" priority="448" operator="notEqual">
      <formula>0</formula>
    </cfRule>
  </conditionalFormatting>
  <conditionalFormatting sqref="V32:V33">
    <cfRule type="cellIs" dxfId="1703" priority="445" operator="equal">
      <formula>0</formula>
    </cfRule>
    <cfRule type="cellIs" dxfId="1702" priority="446" operator="notEqual">
      <formula>0</formula>
    </cfRule>
  </conditionalFormatting>
  <conditionalFormatting sqref="W32:W33">
    <cfRule type="cellIs" dxfId="1701" priority="443" operator="equal">
      <formula>0</formula>
    </cfRule>
    <cfRule type="cellIs" dxfId="1700" priority="444" operator="notEqual">
      <formula>0</formula>
    </cfRule>
  </conditionalFormatting>
  <conditionalFormatting sqref="X32:X33">
    <cfRule type="cellIs" dxfId="1699" priority="441" operator="equal">
      <formula>0</formula>
    </cfRule>
    <cfRule type="cellIs" dxfId="1698" priority="442" operator="notEqual">
      <formula>0</formula>
    </cfRule>
  </conditionalFormatting>
  <conditionalFormatting sqref="Y32:Y33">
    <cfRule type="cellIs" dxfId="1697" priority="439" operator="equal">
      <formula>0</formula>
    </cfRule>
    <cfRule type="cellIs" dxfId="1696" priority="440" operator="notEqual">
      <formula>0</formula>
    </cfRule>
  </conditionalFormatting>
  <conditionalFormatting sqref="Z32:Z33">
    <cfRule type="cellIs" dxfId="1695" priority="437" operator="equal">
      <formula>0</formula>
    </cfRule>
    <cfRule type="cellIs" dxfId="1694" priority="438" operator="notEqual">
      <formula>0</formula>
    </cfRule>
  </conditionalFormatting>
  <conditionalFormatting sqref="AA32:AA33">
    <cfRule type="cellIs" dxfId="1693" priority="435" operator="equal">
      <formula>0</formula>
    </cfRule>
    <cfRule type="cellIs" dxfId="1692" priority="436" operator="notEqual">
      <formula>0</formula>
    </cfRule>
  </conditionalFormatting>
  <conditionalFormatting sqref="AB32:AB33">
    <cfRule type="cellIs" dxfId="1691" priority="433" operator="equal">
      <formula>0</formula>
    </cfRule>
    <cfRule type="cellIs" dxfId="1690" priority="434" operator="notEqual">
      <formula>0</formula>
    </cfRule>
  </conditionalFormatting>
  <conditionalFormatting sqref="AG31">
    <cfRule type="cellIs" dxfId="1689" priority="431" operator="equal">
      <formula>0</formula>
    </cfRule>
    <cfRule type="cellIs" dxfId="1688" priority="432" operator="notEqual">
      <formula>0</formula>
    </cfRule>
  </conditionalFormatting>
  <conditionalFormatting sqref="AG34">
    <cfRule type="cellIs" dxfId="1687" priority="429" operator="equal">
      <formula>0</formula>
    </cfRule>
    <cfRule type="cellIs" dxfId="1686" priority="430" operator="notEqual">
      <formula>0</formula>
    </cfRule>
  </conditionalFormatting>
  <conditionalFormatting sqref="AH31">
    <cfRule type="cellIs" dxfId="1685" priority="427" operator="equal">
      <formula>0</formula>
    </cfRule>
    <cfRule type="cellIs" dxfId="1684" priority="428" operator="notEqual">
      <formula>0</formula>
    </cfRule>
  </conditionalFormatting>
  <conditionalFormatting sqref="AH34">
    <cfRule type="cellIs" dxfId="1683" priority="425" operator="equal">
      <formula>0</formula>
    </cfRule>
    <cfRule type="cellIs" dxfId="1682" priority="426" operator="notEqual">
      <formula>0</formula>
    </cfRule>
  </conditionalFormatting>
  <conditionalFormatting sqref="AI31">
    <cfRule type="cellIs" dxfId="1681" priority="423" operator="equal">
      <formula>0</formula>
    </cfRule>
    <cfRule type="cellIs" dxfId="1680" priority="424" operator="notEqual">
      <formula>0</formula>
    </cfRule>
  </conditionalFormatting>
  <conditionalFormatting sqref="AI34">
    <cfRule type="cellIs" dxfId="1679" priority="421" operator="equal">
      <formula>0</formula>
    </cfRule>
    <cfRule type="cellIs" dxfId="1678" priority="422" operator="notEqual">
      <formula>0</formula>
    </cfRule>
  </conditionalFormatting>
  <conditionalFormatting sqref="AJ31">
    <cfRule type="cellIs" dxfId="1677" priority="419" operator="equal">
      <formula>0</formula>
    </cfRule>
    <cfRule type="cellIs" dxfId="1676" priority="420" operator="notEqual">
      <formula>0</formula>
    </cfRule>
  </conditionalFormatting>
  <conditionalFormatting sqref="AJ34">
    <cfRule type="cellIs" dxfId="1675" priority="417" operator="equal">
      <formula>0</formula>
    </cfRule>
    <cfRule type="cellIs" dxfId="1674" priority="418" operator="notEqual">
      <formula>0</formula>
    </cfRule>
  </conditionalFormatting>
  <conditionalFormatting sqref="U25:U26">
    <cfRule type="cellIs" dxfId="1673" priority="415" operator="equal">
      <formula>0</formula>
    </cfRule>
    <cfRule type="cellIs" dxfId="1672" priority="416" operator="notEqual">
      <formula>0</formula>
    </cfRule>
  </conditionalFormatting>
  <conditionalFormatting sqref="V25:V26">
    <cfRule type="cellIs" dxfId="1671" priority="413" operator="equal">
      <formula>0</formula>
    </cfRule>
    <cfRule type="cellIs" dxfId="1670" priority="414" operator="notEqual">
      <formula>0</formula>
    </cfRule>
  </conditionalFormatting>
  <conditionalFormatting sqref="W25:W26">
    <cfRule type="cellIs" dxfId="1669" priority="411" operator="equal">
      <formula>0</formula>
    </cfRule>
    <cfRule type="cellIs" dxfId="1668" priority="412" operator="notEqual">
      <formula>0</formula>
    </cfRule>
  </conditionalFormatting>
  <conditionalFormatting sqref="X25:X26">
    <cfRule type="cellIs" dxfId="1667" priority="409" operator="equal">
      <formula>0</formula>
    </cfRule>
    <cfRule type="cellIs" dxfId="1666" priority="410" operator="notEqual">
      <formula>0</formula>
    </cfRule>
  </conditionalFormatting>
  <conditionalFormatting sqref="Y25:Y26">
    <cfRule type="cellIs" dxfId="1665" priority="407" operator="equal">
      <formula>0</formula>
    </cfRule>
    <cfRule type="cellIs" dxfId="1664" priority="408" operator="notEqual">
      <formula>0</formula>
    </cfRule>
  </conditionalFormatting>
  <conditionalFormatting sqref="Z25:Z26">
    <cfRule type="cellIs" dxfId="1663" priority="405" operator="equal">
      <formula>0</formula>
    </cfRule>
    <cfRule type="cellIs" dxfId="1662" priority="406" operator="notEqual">
      <formula>0</formula>
    </cfRule>
  </conditionalFormatting>
  <conditionalFormatting sqref="AA25:AA26">
    <cfRule type="cellIs" dxfId="1661" priority="403" operator="equal">
      <formula>0</formula>
    </cfRule>
    <cfRule type="cellIs" dxfId="1660" priority="404" operator="notEqual">
      <formula>0</formula>
    </cfRule>
  </conditionalFormatting>
  <conditionalFormatting sqref="AB25:AB26">
    <cfRule type="cellIs" dxfId="1659" priority="401" operator="equal">
      <formula>0</formula>
    </cfRule>
    <cfRule type="cellIs" dxfId="1658" priority="402" operator="notEqual">
      <formula>0</formula>
    </cfRule>
  </conditionalFormatting>
  <conditionalFormatting sqref="AG24">
    <cfRule type="cellIs" dxfId="1657" priority="399" operator="equal">
      <formula>0</formula>
    </cfRule>
    <cfRule type="cellIs" dxfId="1656" priority="400" operator="notEqual">
      <formula>0</formula>
    </cfRule>
  </conditionalFormatting>
  <conditionalFormatting sqref="AG27">
    <cfRule type="cellIs" dxfId="1655" priority="397" operator="equal">
      <formula>0</formula>
    </cfRule>
    <cfRule type="cellIs" dxfId="1654" priority="398" operator="notEqual">
      <formula>0</formula>
    </cfRule>
  </conditionalFormatting>
  <conditionalFormatting sqref="AH24">
    <cfRule type="cellIs" dxfId="1653" priority="395" operator="equal">
      <formula>0</formula>
    </cfRule>
    <cfRule type="cellIs" dxfId="1652" priority="396" operator="notEqual">
      <formula>0</formula>
    </cfRule>
  </conditionalFormatting>
  <conditionalFormatting sqref="AH27">
    <cfRule type="cellIs" dxfId="1651" priority="393" operator="equal">
      <formula>0</formula>
    </cfRule>
    <cfRule type="cellIs" dxfId="1650" priority="394" operator="notEqual">
      <formula>0</formula>
    </cfRule>
  </conditionalFormatting>
  <conditionalFormatting sqref="AI24">
    <cfRule type="cellIs" dxfId="1649" priority="391" operator="equal">
      <formula>0</formula>
    </cfRule>
    <cfRule type="cellIs" dxfId="1648" priority="392" operator="notEqual">
      <formula>0</formula>
    </cfRule>
  </conditionalFormatting>
  <conditionalFormatting sqref="AI27">
    <cfRule type="cellIs" dxfId="1647" priority="389" operator="equal">
      <formula>0</formula>
    </cfRule>
    <cfRule type="cellIs" dxfId="1646" priority="390" operator="notEqual">
      <formula>0</formula>
    </cfRule>
  </conditionalFormatting>
  <conditionalFormatting sqref="AJ24">
    <cfRule type="cellIs" dxfId="1645" priority="387" operator="equal">
      <formula>0</formula>
    </cfRule>
    <cfRule type="cellIs" dxfId="1644" priority="388" operator="notEqual">
      <formula>0</formula>
    </cfRule>
  </conditionalFormatting>
  <conditionalFormatting sqref="AJ27">
    <cfRule type="cellIs" dxfId="1643" priority="385" operator="equal">
      <formula>0</formula>
    </cfRule>
    <cfRule type="cellIs" dxfId="1642" priority="386" operator="notEqual">
      <formula>0</formula>
    </cfRule>
  </conditionalFormatting>
  <conditionalFormatting sqref="U18:U19">
    <cfRule type="cellIs" dxfId="1641" priority="383" operator="equal">
      <formula>0</formula>
    </cfRule>
    <cfRule type="cellIs" dxfId="1640" priority="384" operator="notEqual">
      <formula>0</formula>
    </cfRule>
  </conditionalFormatting>
  <conditionalFormatting sqref="V18:V19">
    <cfRule type="cellIs" dxfId="1639" priority="381" operator="equal">
      <formula>0</formula>
    </cfRule>
    <cfRule type="cellIs" dxfId="1638" priority="382" operator="notEqual">
      <formula>0</formula>
    </cfRule>
  </conditionalFormatting>
  <conditionalFormatting sqref="W18:W19">
    <cfRule type="cellIs" dxfId="1637" priority="379" operator="equal">
      <formula>0</formula>
    </cfRule>
    <cfRule type="cellIs" dxfId="1636" priority="380" operator="notEqual">
      <formula>0</formula>
    </cfRule>
  </conditionalFormatting>
  <conditionalFormatting sqref="X18:X19">
    <cfRule type="cellIs" dxfId="1635" priority="377" operator="equal">
      <formula>0</formula>
    </cfRule>
    <cfRule type="cellIs" dxfId="1634" priority="378" operator="notEqual">
      <formula>0</formula>
    </cfRule>
  </conditionalFormatting>
  <conditionalFormatting sqref="Y18:Y19">
    <cfRule type="cellIs" dxfId="1633" priority="375" operator="equal">
      <formula>0</formula>
    </cfRule>
    <cfRule type="cellIs" dxfId="1632" priority="376" operator="notEqual">
      <formula>0</formula>
    </cfRule>
  </conditionalFormatting>
  <conditionalFormatting sqref="Z18:Z19">
    <cfRule type="cellIs" dxfId="1631" priority="373" operator="equal">
      <formula>0</formula>
    </cfRule>
    <cfRule type="cellIs" dxfId="1630" priority="374" operator="notEqual">
      <formula>0</formula>
    </cfRule>
  </conditionalFormatting>
  <conditionalFormatting sqref="AA18:AA19">
    <cfRule type="cellIs" dxfId="1629" priority="371" operator="equal">
      <formula>0</formula>
    </cfRule>
    <cfRule type="cellIs" dxfId="1628" priority="372" operator="notEqual">
      <formula>0</formula>
    </cfRule>
  </conditionalFormatting>
  <conditionalFormatting sqref="AB18:AB19">
    <cfRule type="cellIs" dxfId="1627" priority="369" operator="equal">
      <formula>0</formula>
    </cfRule>
    <cfRule type="cellIs" dxfId="1626" priority="370" operator="notEqual">
      <formula>0</formula>
    </cfRule>
  </conditionalFormatting>
  <conditionalFormatting sqref="AG17">
    <cfRule type="cellIs" dxfId="1625" priority="367" operator="equal">
      <formula>0</formula>
    </cfRule>
    <cfRule type="cellIs" dxfId="1624" priority="368" operator="notEqual">
      <formula>0</formula>
    </cfRule>
  </conditionalFormatting>
  <conditionalFormatting sqref="AG20">
    <cfRule type="cellIs" dxfId="1623" priority="365" operator="equal">
      <formula>0</formula>
    </cfRule>
    <cfRule type="cellIs" dxfId="1622" priority="366" operator="notEqual">
      <formula>0</formula>
    </cfRule>
  </conditionalFormatting>
  <conditionalFormatting sqref="AH17">
    <cfRule type="cellIs" dxfId="1621" priority="363" operator="equal">
      <formula>0</formula>
    </cfRule>
    <cfRule type="cellIs" dxfId="1620" priority="364" operator="notEqual">
      <formula>0</formula>
    </cfRule>
  </conditionalFormatting>
  <conditionalFormatting sqref="AH20">
    <cfRule type="cellIs" dxfId="1619" priority="361" operator="equal">
      <formula>0</formula>
    </cfRule>
    <cfRule type="cellIs" dxfId="1618" priority="362" operator="notEqual">
      <formula>0</formula>
    </cfRule>
  </conditionalFormatting>
  <conditionalFormatting sqref="AI17">
    <cfRule type="cellIs" dxfId="1617" priority="359" operator="equal">
      <formula>0</formula>
    </cfRule>
    <cfRule type="cellIs" dxfId="1616" priority="360" operator="notEqual">
      <formula>0</formula>
    </cfRule>
  </conditionalFormatting>
  <conditionalFormatting sqref="AI20">
    <cfRule type="cellIs" dxfId="1615" priority="357" operator="equal">
      <formula>0</formula>
    </cfRule>
    <cfRule type="cellIs" dxfId="1614" priority="358" operator="notEqual">
      <formula>0</formula>
    </cfRule>
  </conditionalFormatting>
  <conditionalFormatting sqref="AJ17">
    <cfRule type="cellIs" dxfId="1613" priority="355" operator="equal">
      <formula>0</formula>
    </cfRule>
    <cfRule type="cellIs" dxfId="1612" priority="356" operator="notEqual">
      <formula>0</formula>
    </cfRule>
  </conditionalFormatting>
  <conditionalFormatting sqref="AJ20">
    <cfRule type="cellIs" dxfId="1611" priority="353" operator="equal">
      <formula>0</formula>
    </cfRule>
    <cfRule type="cellIs" dxfId="1610" priority="354" operator="notEqual">
      <formula>0</formula>
    </cfRule>
  </conditionalFormatting>
  <conditionalFormatting sqref="U11:U12">
    <cfRule type="cellIs" dxfId="1609" priority="351" operator="equal">
      <formula>0</formula>
    </cfRule>
    <cfRule type="cellIs" dxfId="1608" priority="352" operator="notEqual">
      <formula>0</formula>
    </cfRule>
  </conditionalFormatting>
  <conditionalFormatting sqref="V11:V12">
    <cfRule type="cellIs" dxfId="1607" priority="349" operator="equal">
      <formula>0</formula>
    </cfRule>
    <cfRule type="cellIs" dxfId="1606" priority="350" operator="notEqual">
      <formula>0</formula>
    </cfRule>
  </conditionalFormatting>
  <conditionalFormatting sqref="W11:W12">
    <cfRule type="cellIs" dxfId="1605" priority="347" operator="equal">
      <formula>0</formula>
    </cfRule>
    <cfRule type="cellIs" dxfId="1604" priority="348" operator="notEqual">
      <formula>0</formula>
    </cfRule>
  </conditionalFormatting>
  <conditionalFormatting sqref="X11:X12">
    <cfRule type="cellIs" dxfId="1603" priority="345" operator="equal">
      <formula>0</formula>
    </cfRule>
    <cfRule type="cellIs" dxfId="1602" priority="346" operator="notEqual">
      <formula>0</formula>
    </cfRule>
  </conditionalFormatting>
  <conditionalFormatting sqref="Y11:Y12">
    <cfRule type="cellIs" dxfId="1601" priority="343" operator="equal">
      <formula>0</formula>
    </cfRule>
    <cfRule type="cellIs" dxfId="1600" priority="344" operator="notEqual">
      <formula>0</formula>
    </cfRule>
  </conditionalFormatting>
  <conditionalFormatting sqref="Z11:Z12">
    <cfRule type="cellIs" dxfId="1599" priority="341" operator="equal">
      <formula>0</formula>
    </cfRule>
    <cfRule type="cellIs" dxfId="1598" priority="342" operator="notEqual">
      <formula>0</formula>
    </cfRule>
  </conditionalFormatting>
  <conditionalFormatting sqref="AA11:AA12">
    <cfRule type="cellIs" dxfId="1597" priority="339" operator="equal">
      <formula>0</formula>
    </cfRule>
    <cfRule type="cellIs" dxfId="1596" priority="340" operator="notEqual">
      <formula>0</formula>
    </cfRule>
  </conditionalFormatting>
  <conditionalFormatting sqref="AB11:AB12">
    <cfRule type="cellIs" dxfId="1595" priority="337" operator="equal">
      <formula>0</formula>
    </cfRule>
    <cfRule type="cellIs" dxfId="1594" priority="338" operator="notEqual">
      <formula>0</formula>
    </cfRule>
  </conditionalFormatting>
  <conditionalFormatting sqref="AG10">
    <cfRule type="cellIs" dxfId="1593" priority="335" operator="equal">
      <formula>0</formula>
    </cfRule>
    <cfRule type="cellIs" dxfId="1592" priority="336" operator="notEqual">
      <formula>0</formula>
    </cfRule>
  </conditionalFormatting>
  <conditionalFormatting sqref="AG13">
    <cfRule type="cellIs" dxfId="1591" priority="333" operator="equal">
      <formula>0</formula>
    </cfRule>
    <cfRule type="cellIs" dxfId="1590" priority="334" operator="notEqual">
      <formula>0</formula>
    </cfRule>
  </conditionalFormatting>
  <conditionalFormatting sqref="AH10">
    <cfRule type="cellIs" dxfId="1589" priority="331" operator="equal">
      <formula>0</formula>
    </cfRule>
    <cfRule type="cellIs" dxfId="1588" priority="332" operator="notEqual">
      <formula>0</formula>
    </cfRule>
  </conditionalFormatting>
  <conditionalFormatting sqref="AH13">
    <cfRule type="cellIs" dxfId="1587" priority="329" operator="equal">
      <formula>0</formula>
    </cfRule>
    <cfRule type="cellIs" dxfId="1586" priority="330" operator="notEqual">
      <formula>0</formula>
    </cfRule>
  </conditionalFormatting>
  <conditionalFormatting sqref="AI10">
    <cfRule type="cellIs" dxfId="1585" priority="327" operator="equal">
      <formula>0</formula>
    </cfRule>
    <cfRule type="cellIs" dxfId="1584" priority="328" operator="notEqual">
      <formula>0</formula>
    </cfRule>
  </conditionalFormatting>
  <conditionalFormatting sqref="AI13">
    <cfRule type="cellIs" dxfId="1583" priority="325" operator="equal">
      <formula>0</formula>
    </cfRule>
    <cfRule type="cellIs" dxfId="1582" priority="326" operator="notEqual">
      <formula>0</formula>
    </cfRule>
  </conditionalFormatting>
  <conditionalFormatting sqref="AJ10">
    <cfRule type="cellIs" dxfId="1581" priority="323" operator="equal">
      <formula>0</formula>
    </cfRule>
    <cfRule type="cellIs" dxfId="1580" priority="324" operator="notEqual">
      <formula>0</formula>
    </cfRule>
  </conditionalFormatting>
  <conditionalFormatting sqref="AJ13">
    <cfRule type="cellIs" dxfId="1579" priority="321" operator="equal">
      <formula>0</formula>
    </cfRule>
    <cfRule type="cellIs" dxfId="1578" priority="322" operator="notEqual">
      <formula>0</formula>
    </cfRule>
  </conditionalFormatting>
  <conditionalFormatting sqref="C81:C82">
    <cfRule type="cellIs" dxfId="1577" priority="319" operator="equal">
      <formula>0</formula>
    </cfRule>
    <cfRule type="cellIs" dxfId="1576" priority="320" operator="notEqual">
      <formula>0</formula>
    </cfRule>
  </conditionalFormatting>
  <conditionalFormatting sqref="D81:D82">
    <cfRule type="cellIs" dxfId="1575" priority="317" operator="equal">
      <formula>0</formula>
    </cfRule>
    <cfRule type="cellIs" dxfId="1574" priority="318" operator="notEqual">
      <formula>0</formula>
    </cfRule>
  </conditionalFormatting>
  <conditionalFormatting sqref="E81:E82">
    <cfRule type="cellIs" dxfId="1573" priority="315" operator="equal">
      <formula>0</formula>
    </cfRule>
    <cfRule type="cellIs" dxfId="1572" priority="316" operator="notEqual">
      <formula>0</formula>
    </cfRule>
  </conditionalFormatting>
  <conditionalFormatting sqref="F81:F82">
    <cfRule type="cellIs" dxfId="1571" priority="313" operator="equal">
      <formula>0</formula>
    </cfRule>
    <cfRule type="cellIs" dxfId="1570" priority="314" operator="notEqual">
      <formula>0</formula>
    </cfRule>
  </conditionalFormatting>
  <conditionalFormatting sqref="G81:G82">
    <cfRule type="cellIs" dxfId="1569" priority="311" operator="equal">
      <formula>0</formula>
    </cfRule>
    <cfRule type="cellIs" dxfId="1568" priority="312" operator="notEqual">
      <formula>0</formula>
    </cfRule>
  </conditionalFormatting>
  <conditionalFormatting sqref="H81:H82">
    <cfRule type="cellIs" dxfId="1567" priority="309" operator="equal">
      <formula>0</formula>
    </cfRule>
    <cfRule type="cellIs" dxfId="1566" priority="310" operator="notEqual">
      <formula>0</formula>
    </cfRule>
  </conditionalFormatting>
  <conditionalFormatting sqref="I81:I82">
    <cfRule type="cellIs" dxfId="1565" priority="307" operator="equal">
      <formula>0</formula>
    </cfRule>
    <cfRule type="cellIs" dxfId="1564" priority="308" operator="notEqual">
      <formula>0</formula>
    </cfRule>
  </conditionalFormatting>
  <conditionalFormatting sqref="J81:J82">
    <cfRule type="cellIs" dxfId="1563" priority="305" operator="equal">
      <formula>0</formula>
    </cfRule>
    <cfRule type="cellIs" dxfId="1562" priority="306" operator="notEqual">
      <formula>0</formula>
    </cfRule>
  </conditionalFormatting>
  <conditionalFormatting sqref="O80">
    <cfRule type="cellIs" dxfId="1561" priority="303" operator="equal">
      <formula>0</formula>
    </cfRule>
    <cfRule type="cellIs" dxfId="1560" priority="304" operator="notEqual">
      <formula>0</formula>
    </cfRule>
  </conditionalFormatting>
  <conditionalFormatting sqref="O83">
    <cfRule type="cellIs" dxfId="1559" priority="301" operator="equal">
      <formula>0</formula>
    </cfRule>
    <cfRule type="cellIs" dxfId="1558" priority="302" operator="notEqual">
      <formula>0</formula>
    </cfRule>
  </conditionalFormatting>
  <conditionalFormatting sqref="P80">
    <cfRule type="cellIs" dxfId="1557" priority="299" operator="equal">
      <formula>0</formula>
    </cfRule>
    <cfRule type="cellIs" dxfId="1556" priority="300" operator="notEqual">
      <formula>0</formula>
    </cfRule>
  </conditionalFormatting>
  <conditionalFormatting sqref="P83">
    <cfRule type="cellIs" dxfId="1555" priority="297" operator="equal">
      <formula>0</formula>
    </cfRule>
    <cfRule type="cellIs" dxfId="1554" priority="298" operator="notEqual">
      <formula>0</formula>
    </cfRule>
  </conditionalFormatting>
  <conditionalFormatting sqref="Q80">
    <cfRule type="cellIs" dxfId="1553" priority="295" operator="equal">
      <formula>0</formula>
    </cfRule>
    <cfRule type="cellIs" dxfId="1552" priority="296" operator="notEqual">
      <formula>0</formula>
    </cfRule>
  </conditionalFormatting>
  <conditionalFormatting sqref="Q83">
    <cfRule type="cellIs" dxfId="1551" priority="293" operator="equal">
      <formula>0</formula>
    </cfRule>
    <cfRule type="cellIs" dxfId="1550" priority="294" operator="notEqual">
      <formula>0</formula>
    </cfRule>
  </conditionalFormatting>
  <conditionalFormatting sqref="R80">
    <cfRule type="cellIs" dxfId="1549" priority="291" operator="equal">
      <formula>0</formula>
    </cfRule>
    <cfRule type="cellIs" dxfId="1548" priority="292" operator="notEqual">
      <formula>0</formula>
    </cfRule>
  </conditionalFormatting>
  <conditionalFormatting sqref="R83">
    <cfRule type="cellIs" dxfId="1547" priority="289" operator="equal">
      <formula>0</formula>
    </cfRule>
    <cfRule type="cellIs" dxfId="1546" priority="290" operator="notEqual">
      <formula>0</formula>
    </cfRule>
  </conditionalFormatting>
  <conditionalFormatting sqref="C88:C89">
    <cfRule type="cellIs" dxfId="1545" priority="287" operator="equal">
      <formula>0</formula>
    </cfRule>
    <cfRule type="cellIs" dxfId="1544" priority="288" operator="notEqual">
      <formula>0</formula>
    </cfRule>
  </conditionalFormatting>
  <conditionalFormatting sqref="D88:D89">
    <cfRule type="cellIs" dxfId="1543" priority="285" operator="equal">
      <formula>0</formula>
    </cfRule>
    <cfRule type="cellIs" dxfId="1542" priority="286" operator="notEqual">
      <formula>0</formula>
    </cfRule>
  </conditionalFormatting>
  <conditionalFormatting sqref="E88:E89">
    <cfRule type="cellIs" dxfId="1541" priority="283" operator="equal">
      <formula>0</formula>
    </cfRule>
    <cfRule type="cellIs" dxfId="1540" priority="284" operator="notEqual">
      <formula>0</formula>
    </cfRule>
  </conditionalFormatting>
  <conditionalFormatting sqref="F88:F89">
    <cfRule type="cellIs" dxfId="1539" priority="281" operator="equal">
      <formula>0</formula>
    </cfRule>
    <cfRule type="cellIs" dxfId="1538" priority="282" operator="notEqual">
      <formula>0</formula>
    </cfRule>
  </conditionalFormatting>
  <conditionalFormatting sqref="G88:G89">
    <cfRule type="cellIs" dxfId="1537" priority="279" operator="equal">
      <formula>0</formula>
    </cfRule>
    <cfRule type="cellIs" dxfId="1536" priority="280" operator="notEqual">
      <formula>0</formula>
    </cfRule>
  </conditionalFormatting>
  <conditionalFormatting sqref="H88:H89">
    <cfRule type="cellIs" dxfId="1535" priority="277" operator="equal">
      <formula>0</formula>
    </cfRule>
    <cfRule type="cellIs" dxfId="1534" priority="278" operator="notEqual">
      <formula>0</formula>
    </cfRule>
  </conditionalFormatting>
  <conditionalFormatting sqref="I88:I89">
    <cfRule type="cellIs" dxfId="1533" priority="275" operator="equal">
      <formula>0</formula>
    </cfRule>
    <cfRule type="cellIs" dxfId="1532" priority="276" operator="notEqual">
      <formula>0</formula>
    </cfRule>
  </conditionalFormatting>
  <conditionalFormatting sqref="J88:J89">
    <cfRule type="cellIs" dxfId="1531" priority="273" operator="equal">
      <formula>0</formula>
    </cfRule>
    <cfRule type="cellIs" dxfId="1530" priority="274" operator="notEqual">
      <formula>0</formula>
    </cfRule>
  </conditionalFormatting>
  <conditionalFormatting sqref="O87">
    <cfRule type="cellIs" dxfId="1529" priority="271" operator="equal">
      <formula>0</formula>
    </cfRule>
    <cfRule type="cellIs" dxfId="1528" priority="272" operator="notEqual">
      <formula>0</formula>
    </cfRule>
  </conditionalFormatting>
  <conditionalFormatting sqref="O90">
    <cfRule type="cellIs" dxfId="1527" priority="269" operator="equal">
      <formula>0</formula>
    </cfRule>
    <cfRule type="cellIs" dxfId="1526" priority="270" operator="notEqual">
      <formula>0</formula>
    </cfRule>
  </conditionalFormatting>
  <conditionalFormatting sqref="P87">
    <cfRule type="cellIs" dxfId="1525" priority="267" operator="equal">
      <formula>0</formula>
    </cfRule>
    <cfRule type="cellIs" dxfId="1524" priority="268" operator="notEqual">
      <formula>0</formula>
    </cfRule>
  </conditionalFormatting>
  <conditionalFormatting sqref="P90">
    <cfRule type="cellIs" dxfId="1523" priority="265" operator="equal">
      <formula>0</formula>
    </cfRule>
    <cfRule type="cellIs" dxfId="1522" priority="266" operator="notEqual">
      <formula>0</formula>
    </cfRule>
  </conditionalFormatting>
  <conditionalFormatting sqref="Q87">
    <cfRule type="cellIs" dxfId="1521" priority="263" operator="equal">
      <formula>0</formula>
    </cfRule>
    <cfRule type="cellIs" dxfId="1520" priority="264" operator="notEqual">
      <formula>0</formula>
    </cfRule>
  </conditionalFormatting>
  <conditionalFormatting sqref="Q90">
    <cfRule type="cellIs" dxfId="1519" priority="261" operator="equal">
      <formula>0</formula>
    </cfRule>
    <cfRule type="cellIs" dxfId="1518" priority="262" operator="notEqual">
      <formula>0</formula>
    </cfRule>
  </conditionalFormatting>
  <conditionalFormatting sqref="R87">
    <cfRule type="cellIs" dxfId="1517" priority="259" operator="equal">
      <formula>0</formula>
    </cfRule>
    <cfRule type="cellIs" dxfId="1516" priority="260" operator="notEqual">
      <formula>0</formula>
    </cfRule>
  </conditionalFormatting>
  <conditionalFormatting sqref="R90">
    <cfRule type="cellIs" dxfId="1515" priority="257" operator="equal">
      <formula>0</formula>
    </cfRule>
    <cfRule type="cellIs" dxfId="1514" priority="258" operator="notEqual">
      <formula>0</formula>
    </cfRule>
  </conditionalFormatting>
  <conditionalFormatting sqref="C95:C96">
    <cfRule type="cellIs" dxfId="1513" priority="255" operator="equal">
      <formula>0</formula>
    </cfRule>
    <cfRule type="cellIs" dxfId="1512" priority="256" operator="notEqual">
      <formula>0</formula>
    </cfRule>
  </conditionalFormatting>
  <conditionalFormatting sqref="D95:D96">
    <cfRule type="cellIs" dxfId="1511" priority="253" operator="equal">
      <formula>0</formula>
    </cfRule>
    <cfRule type="cellIs" dxfId="1510" priority="254" operator="notEqual">
      <formula>0</formula>
    </cfRule>
  </conditionalFormatting>
  <conditionalFormatting sqref="E95:E96">
    <cfRule type="cellIs" dxfId="1509" priority="251" operator="equal">
      <formula>0</formula>
    </cfRule>
    <cfRule type="cellIs" dxfId="1508" priority="252" operator="notEqual">
      <formula>0</formula>
    </cfRule>
  </conditionalFormatting>
  <conditionalFormatting sqref="F95:F96">
    <cfRule type="cellIs" dxfId="1507" priority="249" operator="equal">
      <formula>0</formula>
    </cfRule>
    <cfRule type="cellIs" dxfId="1506" priority="250" operator="notEqual">
      <formula>0</formula>
    </cfRule>
  </conditionalFormatting>
  <conditionalFormatting sqref="G95:G96">
    <cfRule type="cellIs" dxfId="1505" priority="247" operator="equal">
      <formula>0</formula>
    </cfRule>
    <cfRule type="cellIs" dxfId="1504" priority="248" operator="notEqual">
      <formula>0</formula>
    </cfRule>
  </conditionalFormatting>
  <conditionalFormatting sqref="H95:H96">
    <cfRule type="cellIs" dxfId="1503" priority="245" operator="equal">
      <formula>0</formula>
    </cfRule>
    <cfRule type="cellIs" dxfId="1502" priority="246" operator="notEqual">
      <formula>0</formula>
    </cfRule>
  </conditionalFormatting>
  <conditionalFormatting sqref="I95:I96">
    <cfRule type="cellIs" dxfId="1501" priority="243" operator="equal">
      <formula>0</formula>
    </cfRule>
    <cfRule type="cellIs" dxfId="1500" priority="244" operator="notEqual">
      <formula>0</formula>
    </cfRule>
  </conditionalFormatting>
  <conditionalFormatting sqref="J95:J96">
    <cfRule type="cellIs" dxfId="1499" priority="241" operator="equal">
      <formula>0</formula>
    </cfRule>
    <cfRule type="cellIs" dxfId="1498" priority="242" operator="notEqual">
      <formula>0</formula>
    </cfRule>
  </conditionalFormatting>
  <conditionalFormatting sqref="O94">
    <cfRule type="cellIs" dxfId="1497" priority="239" operator="equal">
      <formula>0</formula>
    </cfRule>
    <cfRule type="cellIs" dxfId="1496" priority="240" operator="notEqual">
      <formula>0</formula>
    </cfRule>
  </conditionalFormatting>
  <conditionalFormatting sqref="O97">
    <cfRule type="cellIs" dxfId="1495" priority="237" operator="equal">
      <formula>0</formula>
    </cfRule>
    <cfRule type="cellIs" dxfId="1494" priority="238" operator="notEqual">
      <formula>0</formula>
    </cfRule>
  </conditionalFormatting>
  <conditionalFormatting sqref="P94">
    <cfRule type="cellIs" dxfId="1493" priority="235" operator="equal">
      <formula>0</formula>
    </cfRule>
    <cfRule type="cellIs" dxfId="1492" priority="236" operator="notEqual">
      <formula>0</formula>
    </cfRule>
  </conditionalFormatting>
  <conditionalFormatting sqref="P97">
    <cfRule type="cellIs" dxfId="1491" priority="233" operator="equal">
      <formula>0</formula>
    </cfRule>
    <cfRule type="cellIs" dxfId="1490" priority="234" operator="notEqual">
      <formula>0</formula>
    </cfRule>
  </conditionalFormatting>
  <conditionalFormatting sqref="Q94">
    <cfRule type="cellIs" dxfId="1489" priority="231" operator="equal">
      <formula>0</formula>
    </cfRule>
    <cfRule type="cellIs" dxfId="1488" priority="232" operator="notEqual">
      <formula>0</formula>
    </cfRule>
  </conditionalFormatting>
  <conditionalFormatting sqref="Q97">
    <cfRule type="cellIs" dxfId="1487" priority="229" operator="equal">
      <formula>0</formula>
    </cfRule>
    <cfRule type="cellIs" dxfId="1486" priority="230" operator="notEqual">
      <formula>0</formula>
    </cfRule>
  </conditionalFormatting>
  <conditionalFormatting sqref="R94">
    <cfRule type="cellIs" dxfId="1485" priority="227" operator="equal">
      <formula>0</formula>
    </cfRule>
    <cfRule type="cellIs" dxfId="1484" priority="228" operator="notEqual">
      <formula>0</formula>
    </cfRule>
  </conditionalFormatting>
  <conditionalFormatting sqref="R97">
    <cfRule type="cellIs" dxfId="1483" priority="225" operator="equal">
      <formula>0</formula>
    </cfRule>
    <cfRule type="cellIs" dxfId="1482" priority="226" operator="notEqual">
      <formula>0</formula>
    </cfRule>
  </conditionalFormatting>
  <conditionalFormatting sqref="C102:C103">
    <cfRule type="cellIs" dxfId="1481" priority="223" operator="equal">
      <formula>0</formula>
    </cfRule>
    <cfRule type="cellIs" dxfId="1480" priority="224" operator="notEqual">
      <formula>0</formula>
    </cfRule>
  </conditionalFormatting>
  <conditionalFormatting sqref="D102:D103">
    <cfRule type="cellIs" dxfId="1479" priority="221" operator="equal">
      <formula>0</formula>
    </cfRule>
    <cfRule type="cellIs" dxfId="1478" priority="222" operator="notEqual">
      <formula>0</formula>
    </cfRule>
  </conditionalFormatting>
  <conditionalFormatting sqref="E102:E103">
    <cfRule type="cellIs" dxfId="1477" priority="219" operator="equal">
      <formula>0</formula>
    </cfRule>
    <cfRule type="cellIs" dxfId="1476" priority="220" operator="notEqual">
      <formula>0</formula>
    </cfRule>
  </conditionalFormatting>
  <conditionalFormatting sqref="F102:F103">
    <cfRule type="cellIs" dxfId="1475" priority="217" operator="equal">
      <formula>0</formula>
    </cfRule>
    <cfRule type="cellIs" dxfId="1474" priority="218" operator="notEqual">
      <formula>0</formula>
    </cfRule>
  </conditionalFormatting>
  <conditionalFormatting sqref="G102:G103">
    <cfRule type="cellIs" dxfId="1473" priority="215" operator="equal">
      <formula>0</formula>
    </cfRule>
    <cfRule type="cellIs" dxfId="1472" priority="216" operator="notEqual">
      <formula>0</formula>
    </cfRule>
  </conditionalFormatting>
  <conditionalFormatting sqref="H102:H103">
    <cfRule type="cellIs" dxfId="1471" priority="213" operator="equal">
      <formula>0</formula>
    </cfRule>
    <cfRule type="cellIs" dxfId="1470" priority="214" operator="notEqual">
      <formula>0</formula>
    </cfRule>
  </conditionalFormatting>
  <conditionalFormatting sqref="I102:I103">
    <cfRule type="cellIs" dxfId="1469" priority="211" operator="equal">
      <formula>0</formula>
    </cfRule>
    <cfRule type="cellIs" dxfId="1468" priority="212" operator="notEqual">
      <formula>0</formula>
    </cfRule>
  </conditionalFormatting>
  <conditionalFormatting sqref="J102:J103">
    <cfRule type="cellIs" dxfId="1467" priority="209" operator="equal">
      <formula>0</formula>
    </cfRule>
    <cfRule type="cellIs" dxfId="1466" priority="210" operator="notEqual">
      <formula>0</formula>
    </cfRule>
  </conditionalFormatting>
  <conditionalFormatting sqref="O101">
    <cfRule type="cellIs" dxfId="1465" priority="207" operator="equal">
      <formula>0</formula>
    </cfRule>
    <cfRule type="cellIs" dxfId="1464" priority="208" operator="notEqual">
      <formula>0</formula>
    </cfRule>
  </conditionalFormatting>
  <conditionalFormatting sqref="O104">
    <cfRule type="cellIs" dxfId="1463" priority="205" operator="equal">
      <formula>0</formula>
    </cfRule>
    <cfRule type="cellIs" dxfId="1462" priority="206" operator="notEqual">
      <formula>0</formula>
    </cfRule>
  </conditionalFormatting>
  <conditionalFormatting sqref="P101">
    <cfRule type="cellIs" dxfId="1461" priority="203" operator="equal">
      <formula>0</formula>
    </cfRule>
    <cfRule type="cellIs" dxfId="1460" priority="204" operator="notEqual">
      <formula>0</formula>
    </cfRule>
  </conditionalFormatting>
  <conditionalFormatting sqref="P104">
    <cfRule type="cellIs" dxfId="1459" priority="201" operator="equal">
      <formula>0</formula>
    </cfRule>
    <cfRule type="cellIs" dxfId="1458" priority="202" operator="notEqual">
      <formula>0</formula>
    </cfRule>
  </conditionalFormatting>
  <conditionalFormatting sqref="Q101">
    <cfRule type="cellIs" dxfId="1457" priority="199" operator="equal">
      <formula>0</formula>
    </cfRule>
    <cfRule type="cellIs" dxfId="1456" priority="200" operator="notEqual">
      <formula>0</formula>
    </cfRule>
  </conditionalFormatting>
  <conditionalFormatting sqref="Q104">
    <cfRule type="cellIs" dxfId="1455" priority="197" operator="equal">
      <formula>0</formula>
    </cfRule>
    <cfRule type="cellIs" dxfId="1454" priority="198" operator="notEqual">
      <formula>0</formula>
    </cfRule>
  </conditionalFormatting>
  <conditionalFormatting sqref="R101">
    <cfRule type="cellIs" dxfId="1453" priority="195" operator="equal">
      <formula>0</formula>
    </cfRule>
    <cfRule type="cellIs" dxfId="1452" priority="196" operator="notEqual">
      <formula>0</formula>
    </cfRule>
  </conditionalFormatting>
  <conditionalFormatting sqref="R104">
    <cfRule type="cellIs" dxfId="1451" priority="193" operator="equal">
      <formula>0</formula>
    </cfRule>
    <cfRule type="cellIs" dxfId="1450" priority="194" operator="notEqual">
      <formula>0</formula>
    </cfRule>
  </conditionalFormatting>
  <conditionalFormatting sqref="U74:U75">
    <cfRule type="cellIs" dxfId="1449" priority="159" operator="equal">
      <formula>0</formula>
    </cfRule>
    <cfRule type="cellIs" dxfId="1448" priority="160" operator="notEqual">
      <formula>0</formula>
    </cfRule>
  </conditionalFormatting>
  <conditionalFormatting sqref="V74:V75">
    <cfRule type="cellIs" dxfId="1447" priority="157" operator="equal">
      <formula>0</formula>
    </cfRule>
    <cfRule type="cellIs" dxfId="1446" priority="158" operator="notEqual">
      <formula>0</formula>
    </cfRule>
  </conditionalFormatting>
  <conditionalFormatting sqref="W74:W75">
    <cfRule type="cellIs" dxfId="1445" priority="155" operator="equal">
      <formula>0</formula>
    </cfRule>
    <cfRule type="cellIs" dxfId="1444" priority="156" operator="notEqual">
      <formula>0</formula>
    </cfRule>
  </conditionalFormatting>
  <conditionalFormatting sqref="X74:X75">
    <cfRule type="cellIs" dxfId="1443" priority="153" operator="equal">
      <formula>0</formula>
    </cfRule>
    <cfRule type="cellIs" dxfId="1442" priority="154" operator="notEqual">
      <formula>0</formula>
    </cfRule>
  </conditionalFormatting>
  <conditionalFormatting sqref="Y74:Y75">
    <cfRule type="cellIs" dxfId="1441" priority="151" operator="equal">
      <formula>0</formula>
    </cfRule>
    <cfRule type="cellIs" dxfId="1440" priority="152" operator="notEqual">
      <formula>0</formula>
    </cfRule>
  </conditionalFormatting>
  <conditionalFormatting sqref="Z74:Z75">
    <cfRule type="cellIs" dxfId="1439" priority="149" operator="equal">
      <formula>0</formula>
    </cfRule>
    <cfRule type="cellIs" dxfId="1438" priority="150" operator="notEqual">
      <formula>0</formula>
    </cfRule>
  </conditionalFormatting>
  <conditionalFormatting sqref="AA74:AA75">
    <cfRule type="cellIs" dxfId="1437" priority="147" operator="equal">
      <formula>0</formula>
    </cfRule>
    <cfRule type="cellIs" dxfId="1436" priority="148" operator="notEqual">
      <formula>0</formula>
    </cfRule>
  </conditionalFormatting>
  <conditionalFormatting sqref="AB74:AB75">
    <cfRule type="cellIs" dxfId="1435" priority="145" operator="equal">
      <formula>0</formula>
    </cfRule>
    <cfRule type="cellIs" dxfId="1434" priority="146" operator="notEqual">
      <formula>0</formula>
    </cfRule>
  </conditionalFormatting>
  <conditionalFormatting sqref="AG73">
    <cfRule type="cellIs" dxfId="1433" priority="143" operator="equal">
      <formula>0</formula>
    </cfRule>
    <cfRule type="cellIs" dxfId="1432" priority="144" operator="notEqual">
      <formula>0</formula>
    </cfRule>
  </conditionalFormatting>
  <conditionalFormatting sqref="AG76">
    <cfRule type="cellIs" dxfId="1431" priority="141" operator="equal">
      <formula>0</formula>
    </cfRule>
    <cfRule type="cellIs" dxfId="1430" priority="142" operator="notEqual">
      <formula>0</formula>
    </cfRule>
  </conditionalFormatting>
  <conditionalFormatting sqref="AH73">
    <cfRule type="cellIs" dxfId="1429" priority="139" operator="equal">
      <formula>0</formula>
    </cfRule>
    <cfRule type="cellIs" dxfId="1428" priority="140" operator="notEqual">
      <formula>0</formula>
    </cfRule>
  </conditionalFormatting>
  <conditionalFormatting sqref="AH76">
    <cfRule type="cellIs" dxfId="1427" priority="137" operator="equal">
      <formula>0</formula>
    </cfRule>
    <cfRule type="cellIs" dxfId="1426" priority="138" operator="notEqual">
      <formula>0</formula>
    </cfRule>
  </conditionalFormatting>
  <conditionalFormatting sqref="AI73">
    <cfRule type="cellIs" dxfId="1425" priority="135" operator="equal">
      <formula>0</formula>
    </cfRule>
    <cfRule type="cellIs" dxfId="1424" priority="136" operator="notEqual">
      <formula>0</formula>
    </cfRule>
  </conditionalFormatting>
  <conditionalFormatting sqref="AI76">
    <cfRule type="cellIs" dxfId="1423" priority="133" operator="equal">
      <formula>0</formula>
    </cfRule>
    <cfRule type="cellIs" dxfId="1422" priority="134" operator="notEqual">
      <formula>0</formula>
    </cfRule>
  </conditionalFormatting>
  <conditionalFormatting sqref="AJ73">
    <cfRule type="cellIs" dxfId="1421" priority="131" operator="equal">
      <formula>0</formula>
    </cfRule>
    <cfRule type="cellIs" dxfId="1420" priority="132" operator="notEqual">
      <formula>0</formula>
    </cfRule>
  </conditionalFormatting>
  <conditionalFormatting sqref="AJ76">
    <cfRule type="cellIs" dxfId="1419" priority="129" operator="equal">
      <formula>0</formula>
    </cfRule>
    <cfRule type="cellIs" dxfId="1418" priority="130" operator="notEqual">
      <formula>0</formula>
    </cfRule>
  </conditionalFormatting>
  <conditionalFormatting sqref="U81:U82">
    <cfRule type="cellIs" dxfId="1417" priority="127" operator="equal">
      <formula>0</formula>
    </cfRule>
    <cfRule type="cellIs" dxfId="1416" priority="128" operator="notEqual">
      <formula>0</formula>
    </cfRule>
  </conditionalFormatting>
  <conditionalFormatting sqref="V81:V82">
    <cfRule type="cellIs" dxfId="1415" priority="125" operator="equal">
      <formula>0</formula>
    </cfRule>
    <cfRule type="cellIs" dxfId="1414" priority="126" operator="notEqual">
      <formula>0</formula>
    </cfRule>
  </conditionalFormatting>
  <conditionalFormatting sqref="W81:W82">
    <cfRule type="cellIs" dxfId="1413" priority="123" operator="equal">
      <formula>0</formula>
    </cfRule>
    <cfRule type="cellIs" dxfId="1412" priority="124" operator="notEqual">
      <formula>0</formula>
    </cfRule>
  </conditionalFormatting>
  <conditionalFormatting sqref="X81:X82">
    <cfRule type="cellIs" dxfId="1411" priority="121" operator="equal">
      <formula>0</formula>
    </cfRule>
    <cfRule type="cellIs" dxfId="1410" priority="122" operator="notEqual">
      <formula>0</formula>
    </cfRule>
  </conditionalFormatting>
  <conditionalFormatting sqref="Y81:Y82">
    <cfRule type="cellIs" dxfId="1409" priority="119" operator="equal">
      <formula>0</formula>
    </cfRule>
    <cfRule type="cellIs" dxfId="1408" priority="120" operator="notEqual">
      <formula>0</formula>
    </cfRule>
  </conditionalFormatting>
  <conditionalFormatting sqref="Z81:Z82">
    <cfRule type="cellIs" dxfId="1407" priority="117" operator="equal">
      <formula>0</formula>
    </cfRule>
    <cfRule type="cellIs" dxfId="1406" priority="118" operator="notEqual">
      <formula>0</formula>
    </cfRule>
  </conditionalFormatting>
  <conditionalFormatting sqref="AA81:AA82">
    <cfRule type="cellIs" dxfId="1405" priority="115" operator="equal">
      <formula>0</formula>
    </cfRule>
    <cfRule type="cellIs" dxfId="1404" priority="116" operator="notEqual">
      <formula>0</formula>
    </cfRule>
  </conditionalFormatting>
  <conditionalFormatting sqref="AB81:AB82">
    <cfRule type="cellIs" dxfId="1403" priority="113" operator="equal">
      <formula>0</formula>
    </cfRule>
    <cfRule type="cellIs" dxfId="1402" priority="114" operator="notEqual">
      <formula>0</formula>
    </cfRule>
  </conditionalFormatting>
  <conditionalFormatting sqref="AG80">
    <cfRule type="cellIs" dxfId="1401" priority="111" operator="equal">
      <formula>0</formula>
    </cfRule>
    <cfRule type="cellIs" dxfId="1400" priority="112" operator="notEqual">
      <formula>0</formula>
    </cfRule>
  </conditionalFormatting>
  <conditionalFormatting sqref="AG83">
    <cfRule type="cellIs" dxfId="1399" priority="109" operator="equal">
      <formula>0</formula>
    </cfRule>
    <cfRule type="cellIs" dxfId="1398" priority="110" operator="notEqual">
      <formula>0</formula>
    </cfRule>
  </conditionalFormatting>
  <conditionalFormatting sqref="AH80">
    <cfRule type="cellIs" dxfId="1397" priority="107" operator="equal">
      <formula>0</formula>
    </cfRule>
    <cfRule type="cellIs" dxfId="1396" priority="108" operator="notEqual">
      <formula>0</formula>
    </cfRule>
  </conditionalFormatting>
  <conditionalFormatting sqref="AH83">
    <cfRule type="cellIs" dxfId="1395" priority="105" operator="equal">
      <formula>0</formula>
    </cfRule>
    <cfRule type="cellIs" dxfId="1394" priority="106" operator="notEqual">
      <formula>0</formula>
    </cfRule>
  </conditionalFormatting>
  <conditionalFormatting sqref="AI80">
    <cfRule type="cellIs" dxfId="1393" priority="103" operator="equal">
      <formula>0</formula>
    </cfRule>
    <cfRule type="cellIs" dxfId="1392" priority="104" operator="notEqual">
      <formula>0</formula>
    </cfRule>
  </conditionalFormatting>
  <conditionalFormatting sqref="AI83">
    <cfRule type="cellIs" dxfId="1391" priority="101" operator="equal">
      <formula>0</formula>
    </cfRule>
    <cfRule type="cellIs" dxfId="1390" priority="102" operator="notEqual">
      <formula>0</formula>
    </cfRule>
  </conditionalFormatting>
  <conditionalFormatting sqref="AJ80">
    <cfRule type="cellIs" dxfId="1389" priority="99" operator="equal">
      <formula>0</formula>
    </cfRule>
    <cfRule type="cellIs" dxfId="1388" priority="100" operator="notEqual">
      <formula>0</formula>
    </cfRule>
  </conditionalFormatting>
  <conditionalFormatting sqref="AJ83">
    <cfRule type="cellIs" dxfId="1387" priority="97" operator="equal">
      <formula>0</formula>
    </cfRule>
    <cfRule type="cellIs" dxfId="1386" priority="98" operator="notEqual">
      <formula>0</formula>
    </cfRule>
  </conditionalFormatting>
  <conditionalFormatting sqref="U88:U89">
    <cfRule type="cellIs" dxfId="1385" priority="95" operator="equal">
      <formula>0</formula>
    </cfRule>
    <cfRule type="cellIs" dxfId="1384" priority="96" operator="notEqual">
      <formula>0</formula>
    </cfRule>
  </conditionalFormatting>
  <conditionalFormatting sqref="V88:V89">
    <cfRule type="cellIs" dxfId="1383" priority="93" operator="equal">
      <formula>0</formula>
    </cfRule>
    <cfRule type="cellIs" dxfId="1382" priority="94" operator="notEqual">
      <formula>0</formula>
    </cfRule>
  </conditionalFormatting>
  <conditionalFormatting sqref="W88:W89">
    <cfRule type="cellIs" dxfId="1381" priority="91" operator="equal">
      <formula>0</formula>
    </cfRule>
    <cfRule type="cellIs" dxfId="1380" priority="92" operator="notEqual">
      <formula>0</formula>
    </cfRule>
  </conditionalFormatting>
  <conditionalFormatting sqref="X88:X89">
    <cfRule type="cellIs" dxfId="1379" priority="89" operator="equal">
      <formula>0</formula>
    </cfRule>
    <cfRule type="cellIs" dxfId="1378" priority="90" operator="notEqual">
      <formula>0</formula>
    </cfRule>
  </conditionalFormatting>
  <conditionalFormatting sqref="Y88:Y89">
    <cfRule type="cellIs" dxfId="1377" priority="87" operator="equal">
      <formula>0</formula>
    </cfRule>
    <cfRule type="cellIs" dxfId="1376" priority="88" operator="notEqual">
      <formula>0</formula>
    </cfRule>
  </conditionalFormatting>
  <conditionalFormatting sqref="Z88:Z89">
    <cfRule type="cellIs" dxfId="1375" priority="85" operator="equal">
      <formula>0</formula>
    </cfRule>
    <cfRule type="cellIs" dxfId="1374" priority="86" operator="notEqual">
      <formula>0</formula>
    </cfRule>
  </conditionalFormatting>
  <conditionalFormatting sqref="AA88:AA89">
    <cfRule type="cellIs" dxfId="1373" priority="83" operator="equal">
      <formula>0</formula>
    </cfRule>
    <cfRule type="cellIs" dxfId="1372" priority="84" operator="notEqual">
      <formula>0</formula>
    </cfRule>
  </conditionalFormatting>
  <conditionalFormatting sqref="AB88:AB89">
    <cfRule type="cellIs" dxfId="1371" priority="81" operator="equal">
      <formula>0</formula>
    </cfRule>
    <cfRule type="cellIs" dxfId="1370" priority="82" operator="notEqual">
      <formula>0</formula>
    </cfRule>
  </conditionalFormatting>
  <conditionalFormatting sqref="AG87">
    <cfRule type="cellIs" dxfId="1369" priority="79" operator="equal">
      <formula>0</formula>
    </cfRule>
    <cfRule type="cellIs" dxfId="1368" priority="80" operator="notEqual">
      <formula>0</formula>
    </cfRule>
  </conditionalFormatting>
  <conditionalFormatting sqref="AG90">
    <cfRule type="cellIs" dxfId="1367" priority="77" operator="equal">
      <formula>0</formula>
    </cfRule>
    <cfRule type="cellIs" dxfId="1366" priority="78" operator="notEqual">
      <formula>0</formula>
    </cfRule>
  </conditionalFormatting>
  <conditionalFormatting sqref="AH87">
    <cfRule type="cellIs" dxfId="1365" priority="75" operator="equal">
      <formula>0</formula>
    </cfRule>
    <cfRule type="cellIs" dxfId="1364" priority="76" operator="notEqual">
      <formula>0</formula>
    </cfRule>
  </conditionalFormatting>
  <conditionalFormatting sqref="AH90">
    <cfRule type="cellIs" dxfId="1363" priority="73" operator="equal">
      <formula>0</formula>
    </cfRule>
    <cfRule type="cellIs" dxfId="1362" priority="74" operator="notEqual">
      <formula>0</formula>
    </cfRule>
  </conditionalFormatting>
  <conditionalFormatting sqref="AI87">
    <cfRule type="cellIs" dxfId="1361" priority="71" operator="equal">
      <formula>0</formula>
    </cfRule>
    <cfRule type="cellIs" dxfId="1360" priority="72" operator="notEqual">
      <formula>0</formula>
    </cfRule>
  </conditionalFormatting>
  <conditionalFormatting sqref="AI90">
    <cfRule type="cellIs" dxfId="1359" priority="69" operator="equal">
      <formula>0</formula>
    </cfRule>
    <cfRule type="cellIs" dxfId="1358" priority="70" operator="notEqual">
      <formula>0</formula>
    </cfRule>
  </conditionalFormatting>
  <conditionalFormatting sqref="AJ87">
    <cfRule type="cellIs" dxfId="1357" priority="67" operator="equal">
      <formula>0</formula>
    </cfRule>
    <cfRule type="cellIs" dxfId="1356" priority="68" operator="notEqual">
      <formula>0</formula>
    </cfRule>
  </conditionalFormatting>
  <conditionalFormatting sqref="AJ90">
    <cfRule type="cellIs" dxfId="1355" priority="65" operator="equal">
      <formula>0</formula>
    </cfRule>
    <cfRule type="cellIs" dxfId="1354" priority="66" operator="notEqual">
      <formula>0</formula>
    </cfRule>
  </conditionalFormatting>
  <conditionalFormatting sqref="U95:U96">
    <cfRule type="cellIs" dxfId="1353" priority="63" operator="equal">
      <formula>0</formula>
    </cfRule>
    <cfRule type="cellIs" dxfId="1352" priority="64" operator="notEqual">
      <formula>0</formula>
    </cfRule>
  </conditionalFormatting>
  <conditionalFormatting sqref="V95:V96">
    <cfRule type="cellIs" dxfId="1351" priority="61" operator="equal">
      <formula>0</formula>
    </cfRule>
    <cfRule type="cellIs" dxfId="1350" priority="62" operator="notEqual">
      <formula>0</formula>
    </cfRule>
  </conditionalFormatting>
  <conditionalFormatting sqref="W95:W96">
    <cfRule type="cellIs" dxfId="1349" priority="59" operator="equal">
      <formula>0</formula>
    </cfRule>
    <cfRule type="cellIs" dxfId="1348" priority="60" operator="notEqual">
      <formula>0</formula>
    </cfRule>
  </conditionalFormatting>
  <conditionalFormatting sqref="X95:X96">
    <cfRule type="cellIs" dxfId="1347" priority="57" operator="equal">
      <formula>0</formula>
    </cfRule>
    <cfRule type="cellIs" dxfId="1346" priority="58" operator="notEqual">
      <formula>0</formula>
    </cfRule>
  </conditionalFormatting>
  <conditionalFormatting sqref="Y95:Y96">
    <cfRule type="cellIs" dxfId="1345" priority="55" operator="equal">
      <formula>0</formula>
    </cfRule>
    <cfRule type="cellIs" dxfId="1344" priority="56" operator="notEqual">
      <formula>0</formula>
    </cfRule>
  </conditionalFormatting>
  <conditionalFormatting sqref="Z95:Z96">
    <cfRule type="cellIs" dxfId="1343" priority="53" operator="equal">
      <formula>0</formula>
    </cfRule>
    <cfRule type="cellIs" dxfId="1342" priority="54" operator="notEqual">
      <formula>0</formula>
    </cfRule>
  </conditionalFormatting>
  <conditionalFormatting sqref="AA95:AA96">
    <cfRule type="cellIs" dxfId="1341" priority="51" operator="equal">
      <formula>0</formula>
    </cfRule>
    <cfRule type="cellIs" dxfId="1340" priority="52" operator="notEqual">
      <formula>0</formula>
    </cfRule>
  </conditionalFormatting>
  <conditionalFormatting sqref="AB95:AB96">
    <cfRule type="cellIs" dxfId="1339" priority="49" operator="equal">
      <formula>0</formula>
    </cfRule>
    <cfRule type="cellIs" dxfId="1338" priority="50" operator="notEqual">
      <formula>0</formula>
    </cfRule>
  </conditionalFormatting>
  <conditionalFormatting sqref="AG94">
    <cfRule type="cellIs" dxfId="1337" priority="47" operator="equal">
      <formula>0</formula>
    </cfRule>
    <cfRule type="cellIs" dxfId="1336" priority="48" operator="notEqual">
      <formula>0</formula>
    </cfRule>
  </conditionalFormatting>
  <conditionalFormatting sqref="AG97">
    <cfRule type="cellIs" dxfId="1335" priority="45" operator="equal">
      <formula>0</formula>
    </cfRule>
    <cfRule type="cellIs" dxfId="1334" priority="46" operator="notEqual">
      <formula>0</formula>
    </cfRule>
  </conditionalFormatting>
  <conditionalFormatting sqref="AH94">
    <cfRule type="cellIs" dxfId="1333" priority="43" operator="equal">
      <formula>0</formula>
    </cfRule>
    <cfRule type="cellIs" dxfId="1332" priority="44" operator="notEqual">
      <formula>0</formula>
    </cfRule>
  </conditionalFormatting>
  <conditionalFormatting sqref="AH97">
    <cfRule type="cellIs" dxfId="1331" priority="41" operator="equal">
      <formula>0</formula>
    </cfRule>
    <cfRule type="cellIs" dxfId="1330" priority="42" operator="notEqual">
      <formula>0</formula>
    </cfRule>
  </conditionalFormatting>
  <conditionalFormatting sqref="AI94">
    <cfRule type="cellIs" dxfId="1329" priority="39" operator="equal">
      <formula>0</formula>
    </cfRule>
    <cfRule type="cellIs" dxfId="1328" priority="40" operator="notEqual">
      <formula>0</formula>
    </cfRule>
  </conditionalFormatting>
  <conditionalFormatting sqref="AI97">
    <cfRule type="cellIs" dxfId="1327" priority="37" operator="equal">
      <formula>0</formula>
    </cfRule>
    <cfRule type="cellIs" dxfId="1326" priority="38" operator="notEqual">
      <formula>0</formula>
    </cfRule>
  </conditionalFormatting>
  <conditionalFormatting sqref="AJ94">
    <cfRule type="cellIs" dxfId="1325" priority="35" operator="equal">
      <formula>0</formula>
    </cfRule>
    <cfRule type="cellIs" dxfId="1324" priority="36" operator="notEqual">
      <formula>0</formula>
    </cfRule>
  </conditionalFormatting>
  <conditionalFormatting sqref="AJ97">
    <cfRule type="cellIs" dxfId="1323" priority="33" operator="equal">
      <formula>0</formula>
    </cfRule>
    <cfRule type="cellIs" dxfId="1322" priority="34" operator="notEqual">
      <formula>0</formula>
    </cfRule>
  </conditionalFormatting>
  <dataValidations count="1">
    <dataValidation type="list" allowBlank="1" showInputMessage="1" showErrorMessage="1" sqref="B5" xr:uid="{84235E3F-D3EF-47AD-B75A-682C1386A5B2}">
      <formula1>Regions</formula1>
    </dataValidation>
  </dataValidation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7"/>
  <dimension ref="A1:AX104"/>
  <sheetViews>
    <sheetView showGridLines="0" zoomScale="70" zoomScaleNormal="70" workbookViewId="0">
      <selection sqref="A1:AJ1"/>
    </sheetView>
  </sheetViews>
  <sheetFormatPr baseColWidth="10" defaultColWidth="9.1640625" defaultRowHeight="14" x14ac:dyDescent="0.15"/>
  <cols>
    <col min="1" max="1" width="3.1640625" customWidth="1"/>
    <col min="2" max="2" width="36.1640625" customWidth="1"/>
    <col min="20" max="20" width="33" customWidth="1"/>
  </cols>
  <sheetData>
    <row r="1" spans="1:50" ht="67.5" customHeight="1" x14ac:dyDescent="0.15">
      <c r="A1" s="533" t="s">
        <v>1129</v>
      </c>
      <c r="B1" s="533"/>
      <c r="C1" s="533"/>
      <c r="D1" s="533"/>
      <c r="E1" s="533"/>
      <c r="F1" s="533"/>
      <c r="G1" s="533"/>
      <c r="H1" s="533"/>
      <c r="I1" s="533"/>
      <c r="J1" s="533"/>
      <c r="K1" s="533"/>
      <c r="L1" s="533"/>
      <c r="M1" s="533"/>
      <c r="N1" s="533"/>
      <c r="O1" s="533"/>
      <c r="P1" s="533"/>
      <c r="Q1" s="533"/>
      <c r="R1" s="533"/>
      <c r="S1" s="533"/>
      <c r="T1" s="533"/>
      <c r="U1" s="533"/>
      <c r="V1" s="533"/>
      <c r="W1" s="533"/>
      <c r="X1" s="533"/>
      <c r="Y1" s="533"/>
      <c r="Z1" s="533"/>
      <c r="AA1" s="533"/>
      <c r="AB1" s="533"/>
      <c r="AC1" s="533"/>
      <c r="AD1" s="533"/>
      <c r="AE1" s="533"/>
      <c r="AF1" s="533"/>
      <c r="AG1" s="533"/>
      <c r="AH1" s="533"/>
      <c r="AI1" s="533"/>
      <c r="AJ1" s="533"/>
      <c r="AK1" s="261"/>
      <c r="AL1" s="261"/>
      <c r="AM1" s="261"/>
      <c r="AN1" s="261"/>
      <c r="AO1" s="261"/>
      <c r="AP1" s="261"/>
      <c r="AQ1" s="261"/>
      <c r="AR1" s="261"/>
      <c r="AS1" s="261"/>
      <c r="AT1" s="261"/>
      <c r="AU1" s="261"/>
      <c r="AV1" s="261"/>
      <c r="AW1" s="261"/>
      <c r="AX1" s="261"/>
    </row>
    <row r="2" spans="1:50" ht="49.5" customHeight="1" x14ac:dyDescent="0.15">
      <c r="A2" s="541"/>
      <c r="B2" s="541"/>
      <c r="C2" s="541"/>
      <c r="D2" s="541"/>
      <c r="E2" s="541"/>
      <c r="F2" s="541"/>
      <c r="G2" s="541"/>
      <c r="H2" s="541"/>
      <c r="I2" s="541"/>
      <c r="J2" s="541"/>
      <c r="K2" s="541"/>
      <c r="L2" s="541"/>
      <c r="M2" s="541"/>
      <c r="N2" s="541"/>
      <c r="O2" s="541"/>
      <c r="P2" s="541"/>
      <c r="Q2" s="541"/>
      <c r="R2" s="541"/>
      <c r="S2" s="541"/>
      <c r="T2" s="541"/>
      <c r="U2" s="541"/>
      <c r="V2" s="541"/>
      <c r="W2" s="541"/>
      <c r="X2" s="541"/>
      <c r="Y2" s="541"/>
      <c r="Z2" s="541"/>
      <c r="AA2" s="541"/>
      <c r="AB2" s="541"/>
      <c r="AC2" s="541"/>
      <c r="AD2" s="541"/>
      <c r="AE2" s="541"/>
      <c r="AF2" s="541"/>
      <c r="AG2" s="541"/>
      <c r="AH2" s="541"/>
      <c r="AI2" s="541"/>
      <c r="AJ2" s="541"/>
      <c r="AK2" s="264"/>
      <c r="AL2" s="264"/>
      <c r="AM2" s="264"/>
      <c r="AN2" s="264"/>
      <c r="AO2" s="264"/>
      <c r="AP2" s="264"/>
      <c r="AQ2" s="264"/>
      <c r="AR2" s="264"/>
      <c r="AS2" s="264"/>
      <c r="AT2" s="264"/>
      <c r="AU2" s="264"/>
      <c r="AV2" s="264"/>
      <c r="AW2" s="264"/>
      <c r="AX2" s="264"/>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ht="30" x14ac:dyDescent="0.15">
      <c r="B4" s="36" t="s">
        <v>935</v>
      </c>
    </row>
    <row r="5" spans="1:50" ht="29.25" customHeight="1" x14ac:dyDescent="0.15">
      <c r="B5" s="242" t="s">
        <v>17</v>
      </c>
      <c r="K5" s="239"/>
      <c r="P5" s="40"/>
      <c r="Q5" s="40"/>
    </row>
    <row r="6" spans="1:50" x14ac:dyDescent="0.15">
      <c r="B6" s="46"/>
    </row>
    <row r="8" spans="1:50" ht="36.75" customHeight="1" x14ac:dyDescent="0.15">
      <c r="B8" s="289" t="str">
        <f>HLOOKUP($B$5,Region_Table,2,0)</f>
        <v>All East Midlands Region</v>
      </c>
      <c r="C8" s="509" t="s">
        <v>1130</v>
      </c>
      <c r="D8" s="510"/>
      <c r="E8" s="510"/>
      <c r="F8" s="510"/>
      <c r="G8" s="510"/>
      <c r="H8" s="510"/>
      <c r="I8" s="510"/>
      <c r="J8" s="510"/>
      <c r="K8" s="510"/>
      <c r="L8" s="510"/>
      <c r="M8" s="539"/>
      <c r="N8" s="539"/>
      <c r="O8" s="540"/>
      <c r="P8" s="512">
        <f>SUM(SUMIFS('caseload data'!V:V,'caseload data'!B:B,{"licence","community"},'caseload data'!C:C,'community caseload'!B8))</f>
        <v>0</v>
      </c>
      <c r="Q8" s="529"/>
      <c r="R8" s="530"/>
      <c r="S8" s="291"/>
      <c r="T8" s="289" t="str">
        <f>HLOOKUP($B$5,Region_Table,3,0)</f>
        <v>Derby City - N53</v>
      </c>
      <c r="U8" s="509" t="s">
        <v>1130</v>
      </c>
      <c r="V8" s="510"/>
      <c r="W8" s="510"/>
      <c r="X8" s="510"/>
      <c r="Y8" s="510"/>
      <c r="Z8" s="510"/>
      <c r="AA8" s="510"/>
      <c r="AB8" s="510"/>
      <c r="AC8" s="510"/>
      <c r="AD8" s="510"/>
      <c r="AE8" s="539"/>
      <c r="AF8" s="539"/>
      <c r="AG8" s="540"/>
      <c r="AH8" s="512">
        <f>SUM(SUMIFS('caseload data'!V:V,'caseload data'!B:B,{"licence","community"},'caseload data'!C:C,'community caseload'!T8))</f>
        <v>0</v>
      </c>
      <c r="AI8" s="529"/>
      <c r="AJ8" s="530"/>
    </row>
    <row r="9" spans="1:50" x14ac:dyDescent="0.15">
      <c r="B9" s="95" t="s">
        <v>1000</v>
      </c>
      <c r="C9" s="38" t="s">
        <v>864</v>
      </c>
      <c r="D9" s="38" t="s">
        <v>865</v>
      </c>
      <c r="E9" s="38" t="s">
        <v>866</v>
      </c>
      <c r="F9" s="38" t="s">
        <v>867</v>
      </c>
      <c r="G9" s="38" t="s">
        <v>868</v>
      </c>
      <c r="H9" s="38" t="s">
        <v>869</v>
      </c>
      <c r="I9" s="38" t="s">
        <v>870</v>
      </c>
      <c r="J9" s="38" t="s">
        <v>871</v>
      </c>
      <c r="K9" s="38" t="s">
        <v>872</v>
      </c>
      <c r="L9" s="38" t="s">
        <v>873</v>
      </c>
      <c r="M9" s="38" t="s">
        <v>874</v>
      </c>
      <c r="N9" s="38" t="s">
        <v>875</v>
      </c>
      <c r="O9" s="38" t="s">
        <v>876</v>
      </c>
      <c r="P9" s="38" t="s">
        <v>877</v>
      </c>
      <c r="Q9" s="38" t="s">
        <v>878</v>
      </c>
      <c r="R9" s="38" t="s">
        <v>879</v>
      </c>
      <c r="S9" s="64"/>
      <c r="T9" s="95" t="s">
        <v>1000</v>
      </c>
      <c r="U9" s="38" t="s">
        <v>864</v>
      </c>
      <c r="V9" s="38" t="s">
        <v>865</v>
      </c>
      <c r="W9" s="38" t="s">
        <v>866</v>
      </c>
      <c r="X9" s="38" t="s">
        <v>867</v>
      </c>
      <c r="Y9" s="38" t="s">
        <v>868</v>
      </c>
      <c r="Z9" s="38" t="s">
        <v>869</v>
      </c>
      <c r="AA9" s="38" t="s">
        <v>870</v>
      </c>
      <c r="AB9" s="38" t="s">
        <v>871</v>
      </c>
      <c r="AC9" s="38" t="s">
        <v>872</v>
      </c>
      <c r="AD9" s="38" t="s">
        <v>873</v>
      </c>
      <c r="AE9" s="38" t="s">
        <v>874</v>
      </c>
      <c r="AF9" s="38" t="s">
        <v>875</v>
      </c>
      <c r="AG9" s="38" t="s">
        <v>876</v>
      </c>
      <c r="AH9" s="38" t="s">
        <v>877</v>
      </c>
      <c r="AI9" s="38" t="s">
        <v>878</v>
      </c>
      <c r="AJ9" s="38" t="s">
        <v>879</v>
      </c>
    </row>
    <row r="10" spans="1:50" x14ac:dyDescent="0.15">
      <c r="B10" s="96" t="s">
        <v>997</v>
      </c>
      <c r="C10" s="94">
        <f>SUM(SUMIFS('caseload data'!E:E,'caseload data'!$D:$D,"PO",'caseload data'!$C:$C,'community caseload'!$B$8,'caseload data'!$B:$B,{"licence","community"}))</f>
        <v>0</v>
      </c>
      <c r="D10" s="94">
        <f>SUM(SUMIFS('caseload data'!F:F,'caseload data'!$D:$D,"PO",'caseload data'!$C:$C,'community caseload'!$B$8,'caseload data'!$B:$B,{"licence","community"}))</f>
        <v>0</v>
      </c>
      <c r="E10" s="94">
        <f>SUM(SUMIFS('caseload data'!G:G,'caseload data'!$D:$D,"PO",'caseload data'!$C:$C,'community caseload'!$B$8,'caseload data'!$B:$B,{"licence","community"}))</f>
        <v>0</v>
      </c>
      <c r="F10" s="94">
        <f>SUM(SUMIFS('caseload data'!H:H,'caseload data'!$D:$D,"PO",'caseload data'!$C:$C,'community caseload'!$B$8,'caseload data'!$B:$B,{"licence","community"}))</f>
        <v>0</v>
      </c>
      <c r="G10" s="94">
        <f>SUM(SUMIFS('caseload data'!I:I,'caseload data'!$D:$D,"PO",'caseload data'!$C:$C,'community caseload'!$B$8,'caseload data'!$B:$B,{"licence","community"}))</f>
        <v>0</v>
      </c>
      <c r="H10" s="94">
        <f>SUM(SUMIFS('caseload data'!J:J,'caseload data'!$D:$D,"PO",'caseload data'!$C:$C,'community caseload'!$B$8,'caseload data'!$B:$B,{"licence","community"}))</f>
        <v>0</v>
      </c>
      <c r="I10" s="94">
        <f>SUM(SUMIFS('caseload data'!K:K,'caseload data'!$D:$D,"PO",'caseload data'!$C:$C,'community caseload'!$B$8,'caseload data'!$B:$B,{"licence","community"}))</f>
        <v>0</v>
      </c>
      <c r="J10" s="94">
        <f>SUM(SUMIFS('caseload data'!L:L,'caseload data'!$D:$D,"PO",'caseload data'!$C:$C,'community caseload'!$B$8,'caseload data'!$B:$B,{"licence","community"}))</f>
        <v>0</v>
      </c>
      <c r="K10" s="94">
        <f>SUM(SUMIFS('caseload data'!M:M,'caseload data'!$D:$D,"PO",'caseload data'!$C:$C,'community caseload'!$B$8,'caseload data'!$B:$B,{"licence","community"}))</f>
        <v>0</v>
      </c>
      <c r="L10" s="94">
        <f>SUM(SUMIFS('caseload data'!N:N,'caseload data'!$D:$D,"PO",'caseload data'!$C:$C,'community caseload'!$B$8,'caseload data'!$B:$B,{"licence","community"}))</f>
        <v>0</v>
      </c>
      <c r="M10" s="94">
        <f>SUM(SUMIFS('caseload data'!O:O,'caseload data'!$D:$D,"PO",'caseload data'!$C:$C,'community caseload'!$B$8,'caseload data'!$B:$B,{"licence","community"}))</f>
        <v>0</v>
      </c>
      <c r="N10" s="94">
        <f>SUM(SUMIFS('caseload data'!P:P,'caseload data'!$D:$D,"PO",'caseload data'!$C:$C,'community caseload'!$B$8,'caseload data'!$B:$B,{"licence","community"}))</f>
        <v>0</v>
      </c>
      <c r="O10" s="94">
        <f>SUM(SUMIFS('caseload data'!Q:Q,'caseload data'!$D:$D,"PO",'caseload data'!$C:$C,'community caseload'!$B$8,'caseload data'!$B:$B,{"licence","community"}))</f>
        <v>0</v>
      </c>
      <c r="P10" s="94">
        <f>SUM(SUMIFS('caseload data'!R:R,'caseload data'!$D:$D,"PO",'caseload data'!$C:$C,'community caseload'!$B$8,'caseload data'!$B:$B,{"licence","community"}))</f>
        <v>0</v>
      </c>
      <c r="Q10" s="94">
        <f>SUM(SUMIFS('caseload data'!S:S,'caseload data'!$D:$D,"PO",'caseload data'!$C:$C,'community caseload'!$B$8,'caseload data'!$B:$B,{"licence","community"}))</f>
        <v>0</v>
      </c>
      <c r="R10" s="94">
        <f>SUM(SUMIFS('caseload data'!T:T,'caseload data'!$D:$D,"PO",'caseload data'!$C:$C,'community caseload'!$B$8,'caseload data'!$B:$B,{"licence","community"}))</f>
        <v>0</v>
      </c>
      <c r="S10" s="64"/>
      <c r="T10" s="96" t="s">
        <v>997</v>
      </c>
      <c r="U10" s="94">
        <f>SUM(SUMIFS('caseload data'!E:E,'caseload data'!$D:$D,"PO",'caseload data'!$C:$C,'community caseload'!$T$8,'caseload data'!$B:$B,{"licence","community"}))</f>
        <v>0</v>
      </c>
      <c r="V10" s="94"/>
      <c r="W10" s="94"/>
      <c r="X10" s="94"/>
      <c r="Y10" s="94"/>
      <c r="Z10" s="94"/>
      <c r="AA10" s="94"/>
      <c r="AB10" s="94"/>
      <c r="AC10" s="94"/>
      <c r="AD10" s="94"/>
      <c r="AE10" s="94">
        <f>SUM(SUMIFS('caseload data'!J:J,'caseload data'!$D:$D,"PO",'caseload data'!$C:$C,'community caseload'!$T$8,'caseload data'!$B:$B,{"licence","community"}))</f>
        <v>0</v>
      </c>
      <c r="AF10" s="94">
        <f>SUM(SUMIFS('caseload data'!K:K,'caseload data'!$D:$D,"PO",'caseload data'!$C:$C,'community caseload'!$T$8,'caseload data'!$B:$B,{"licence","community"}))</f>
        <v>0</v>
      </c>
      <c r="AG10" s="94">
        <f>SUM(SUMIFS('caseload data'!N:N,'caseload data'!$D:$D,"PO",'caseload data'!$C:$C,'community caseload'!$T$8,'caseload data'!$B:$B,{"licence","community"}))</f>
        <v>0</v>
      </c>
      <c r="AH10" s="94">
        <f>SUM(SUMIFS('caseload data'!O:O,'caseload data'!$D:$D,"PO",'caseload data'!$C:$C,'community caseload'!$T$8,'caseload data'!$B:$B,{"licence","community"}))</f>
        <v>0</v>
      </c>
      <c r="AI10" s="94">
        <f>SUM(SUMIFS('caseload data'!R:R,'caseload data'!$D:$D,"PO",'caseload data'!$C:$C,'community caseload'!$T$8,'caseload data'!$B:$B,{"licence","community"}))</f>
        <v>0</v>
      </c>
      <c r="AJ10" s="94">
        <f>SUM(SUMIFS('caseload data'!S:S,'caseload data'!$D:$D,"PO",'caseload data'!$C:$C,'community caseload'!$T$8,'caseload data'!$B:$B,{"licence","community"}))</f>
        <v>0</v>
      </c>
    </row>
    <row r="11" spans="1:50" x14ac:dyDescent="0.15">
      <c r="B11" s="97" t="s">
        <v>1002</v>
      </c>
      <c r="C11" s="94">
        <f>SUM(SUMIFS('caseload data'!E:E,'caseload data'!$D:$D,"PSO",'caseload data'!$C:$C,'community caseload'!$B$8,'caseload data'!$B:$B,{"licence","community"}))</f>
        <v>0</v>
      </c>
      <c r="D11" s="94">
        <f>SUM(SUMIFS('caseload data'!F:F,'caseload data'!$D:$D,"PSO",'caseload data'!$C:$C,'community caseload'!$B$8,'caseload data'!$B:$B,{"licence","community"}))</f>
        <v>0</v>
      </c>
      <c r="E11" s="94">
        <f>SUM(SUMIFS('caseload data'!G:G,'caseload data'!$D:$D,"PSO",'caseload data'!$C:$C,'community caseload'!$B$8,'caseload data'!$B:$B,{"licence","community"}))</f>
        <v>0</v>
      </c>
      <c r="F11" s="94">
        <f>SUM(SUMIFS('caseload data'!H:H,'caseload data'!$D:$D,"PSO",'caseload data'!$C:$C,'community caseload'!$B$8,'caseload data'!$B:$B,{"licence","community"}))</f>
        <v>0</v>
      </c>
      <c r="G11" s="94">
        <f>SUM(SUMIFS('caseload data'!I:I,'caseload data'!$D:$D,"PSO",'caseload data'!$C:$C,'community caseload'!$B$8,'caseload data'!$B:$B,{"licence","community"}))</f>
        <v>0</v>
      </c>
      <c r="H11" s="94">
        <f>SUM(SUMIFS('caseload data'!J:J,'caseload data'!$D:$D,"PSO",'caseload data'!$C:$C,'community caseload'!$B$8,'caseload data'!$B:$B,{"licence","community"}))</f>
        <v>0</v>
      </c>
      <c r="I11" s="94">
        <f>SUM(SUMIFS('caseload data'!K:K,'caseload data'!$D:$D,"PSO",'caseload data'!$C:$C,'community caseload'!$B$8,'caseload data'!$B:$B,{"licence","community"}))</f>
        <v>0</v>
      </c>
      <c r="J11" s="94">
        <f>SUM(SUMIFS('caseload data'!L:L,'caseload data'!$D:$D,"PSO",'caseload data'!$C:$C,'community caseload'!$B$8,'caseload data'!$B:$B,{"licence","community"}))</f>
        <v>0</v>
      </c>
      <c r="K11" s="94">
        <f>SUM(SUMIFS('caseload data'!M:M,'caseload data'!$D:$D,"PSO",'caseload data'!$C:$C,'community caseload'!$B$8,'caseload data'!$B:$B,{"licence","community"}))</f>
        <v>0</v>
      </c>
      <c r="L11" s="94">
        <f>SUM(SUMIFS('caseload data'!N:N,'caseload data'!$D:$D,"PSO",'caseload data'!$C:$C,'community caseload'!$B$8,'caseload data'!$B:$B,{"licence","community"}))</f>
        <v>0</v>
      </c>
      <c r="M11" s="94">
        <f>SUM(SUMIFS('caseload data'!O:O,'caseload data'!$D:$D,"PSO",'caseload data'!$C:$C,'community caseload'!$B$8,'caseload data'!$B:$B,{"licence","community"}))</f>
        <v>0</v>
      </c>
      <c r="N11" s="94">
        <f>SUM(SUMIFS('caseload data'!P:P,'caseload data'!$D:$D,"PSO",'caseload data'!$C:$C,'community caseload'!$B$8,'caseload data'!$B:$B,{"licence","community"}))</f>
        <v>0</v>
      </c>
      <c r="O11" s="94">
        <f>SUM(SUMIFS('caseload data'!Q:Q,'caseload data'!$D:$D,"PSO",'caseload data'!$C:$C,'community caseload'!$B$8,'caseload data'!$B:$B,{"licence","community"}))</f>
        <v>0</v>
      </c>
      <c r="P11" s="94">
        <f>SUM(SUMIFS('caseload data'!R:R,'caseload data'!$D:$D,"PSO",'caseload data'!$C:$C,'community caseload'!$B$8,'caseload data'!$B:$B,{"licence","community"}))</f>
        <v>0</v>
      </c>
      <c r="Q11" s="94">
        <f>SUM(SUMIFS('caseload data'!S:S,'caseload data'!$D:$D,"PSO",'caseload data'!$C:$C,'community caseload'!$B$8,'caseload data'!$B:$B,{"licence","community"}))</f>
        <v>0</v>
      </c>
      <c r="R11" s="94">
        <f>SUM(SUMIFS('caseload data'!T:T,'caseload data'!$D:$D,"PSO",'caseload data'!$C:$C,'community caseload'!$B$8,'caseload data'!$B:$B,{"licence","community"}))</f>
        <v>0</v>
      </c>
      <c r="S11" s="64"/>
      <c r="T11" s="97" t="s">
        <v>1002</v>
      </c>
      <c r="U11" s="94">
        <f>SUM(SUMIFS('caseload data'!E:E,'caseload data'!$D:$D,"PSO",'caseload data'!$C:$C,'community caseload'!$T$8,'caseload data'!$B:$B,{"licence","community"}))</f>
        <v>0</v>
      </c>
      <c r="V11" s="94"/>
      <c r="W11" s="94"/>
      <c r="X11" s="94"/>
      <c r="Y11" s="94"/>
      <c r="Z11" s="94"/>
      <c r="AA11" s="94"/>
      <c r="AB11" s="94"/>
      <c r="AC11" s="94"/>
      <c r="AD11" s="94"/>
      <c r="AE11" s="94">
        <f>SUM(SUMIFS('caseload data'!J:J,'caseload data'!$D:$D,"PSO",'caseload data'!$C:$C,'community caseload'!$T$8,'caseload data'!$B:$B,{"licence","community"}))</f>
        <v>0</v>
      </c>
      <c r="AF11" s="94">
        <f>SUM(SUMIFS('caseload data'!K:K,'caseload data'!$D:$D,"PSO",'caseload data'!$C:$C,'community caseload'!$T$8,'caseload data'!$B:$B,{"licence","community"}))</f>
        <v>0</v>
      </c>
      <c r="AG11" s="94">
        <f>SUM(SUMIFS('caseload data'!N:N,'caseload data'!$D:$D,"PSO",'caseload data'!$C:$C,'community caseload'!$T$8,'caseload data'!$B:$B,{"licence","community"}))</f>
        <v>0</v>
      </c>
      <c r="AH11" s="94">
        <f>SUM(SUMIFS('caseload data'!O:O,'caseload data'!$D:$D,"PSO",'caseload data'!$C:$C,'community caseload'!$T$8,'caseload data'!$B:$B,{"licence","community"}))</f>
        <v>0</v>
      </c>
      <c r="AI11" s="94">
        <f>SUM(SUMIFS('caseload data'!R:R,'caseload data'!$D:$D,"PSO",'caseload data'!$C:$C,'community caseload'!$T$8,'caseload data'!$B:$B,{"licence","community"}))</f>
        <v>0</v>
      </c>
      <c r="AJ11" s="94">
        <f>SUM(SUMIFS('caseload data'!S:S,'caseload data'!$D:$D,"PSO",'caseload data'!$C:$C,'community caseload'!$T$8,'caseload data'!$B:$B,{"licence","community"}))</f>
        <v>0</v>
      </c>
    </row>
    <row r="12" spans="1:50" x14ac:dyDescent="0.15">
      <c r="B12" s="97" t="s">
        <v>1003</v>
      </c>
      <c r="C12" s="94">
        <f>SUM(SUMIFS('caseload data'!E:E,'caseload data'!$D:$D,"TPO",'caseload data'!$C:$C,'community caseload'!$B$8,'caseload data'!$B:$B,{"licence","community"}))</f>
        <v>0</v>
      </c>
      <c r="D12" s="94">
        <f>SUM(SUMIFS('caseload data'!F:F,'caseload data'!$D:$D,"TPO",'caseload data'!$C:$C,'community caseload'!$B$8,'caseload data'!$B:$B,{"licence","community"}))</f>
        <v>0</v>
      </c>
      <c r="E12" s="94">
        <f>SUM(SUMIFS('caseload data'!G:G,'caseload data'!$D:$D,"TPO",'caseload data'!$C:$C,'community caseload'!$B$8,'caseload data'!$B:$B,{"licence","community"}))</f>
        <v>0</v>
      </c>
      <c r="F12" s="94">
        <f>SUM(SUMIFS('caseload data'!H:H,'caseload data'!$D:$D,"TPO",'caseload data'!$C:$C,'community caseload'!$B$8,'caseload data'!$B:$B,{"licence","community"}))</f>
        <v>0</v>
      </c>
      <c r="G12" s="94">
        <f>SUM(SUMIFS('caseload data'!I:I,'caseload data'!$D:$D,"TPO",'caseload data'!$C:$C,'community caseload'!$B$8,'caseload data'!$B:$B,{"licence","community"}))</f>
        <v>0</v>
      </c>
      <c r="H12" s="94">
        <f>SUM(SUMIFS('caseload data'!J:J,'caseload data'!$D:$D,"TPO",'caseload data'!$C:$C,'community caseload'!$B$8,'caseload data'!$B:$B,{"licence","community"}))</f>
        <v>0</v>
      </c>
      <c r="I12" s="94">
        <f>SUM(SUMIFS('caseload data'!K:K,'caseload data'!$D:$D,"TPO",'caseload data'!$C:$C,'community caseload'!$B$8,'caseload data'!$B:$B,{"licence","community"}))</f>
        <v>0</v>
      </c>
      <c r="J12" s="94">
        <f>SUM(SUMIFS('caseload data'!L:L,'caseload data'!$D:$D,"TPO",'caseload data'!$C:$C,'community caseload'!$B$8,'caseload data'!$B:$B,{"licence","community"}))</f>
        <v>0</v>
      </c>
      <c r="K12" s="94">
        <f>SUM(SUMIFS('caseload data'!M:M,'caseload data'!$D:$D,"TPO",'caseload data'!$C:$C,'community caseload'!$B$8,'caseload data'!$B:$B,{"licence","community"}))</f>
        <v>0</v>
      </c>
      <c r="L12" s="94">
        <f>SUM(SUMIFS('caseload data'!N:N,'caseload data'!$D:$D,"TPO",'caseload data'!$C:$C,'community caseload'!$B$8,'caseload data'!$B:$B,{"licence","community"}))</f>
        <v>0</v>
      </c>
      <c r="M12" s="94">
        <f>SUM(SUMIFS('caseload data'!O:O,'caseload data'!$D:$D,"TPO",'caseload data'!$C:$C,'community caseload'!$B$8,'caseload data'!$B:$B,{"licence","community"}))</f>
        <v>0</v>
      </c>
      <c r="N12" s="94">
        <f>SUM(SUMIFS('caseload data'!P:P,'caseload data'!$D:$D,"TPO",'caseload data'!$C:$C,'community caseload'!$B$8,'caseload data'!$B:$B,{"licence","community"}))</f>
        <v>0</v>
      </c>
      <c r="O12" s="94">
        <f>SUM(SUMIFS('caseload data'!Q:Q,'caseload data'!$D:$D,"TPO",'caseload data'!$C:$C,'community caseload'!$B$8,'caseload data'!$B:$B,{"licence","community"}))</f>
        <v>0</v>
      </c>
      <c r="P12" s="94">
        <f>SUM(SUMIFS('caseload data'!R:R,'caseload data'!$D:$D,"TPO",'caseload data'!$C:$C,'community caseload'!$B$8,'caseload data'!$B:$B,{"licence","community"}))</f>
        <v>0</v>
      </c>
      <c r="Q12" s="94">
        <f>SUM(SUMIFS('caseload data'!S:S,'caseload data'!$D:$D,"TPO",'caseload data'!$C:$C,'community caseload'!$B$8,'caseload data'!$B:$B,{"licence","community"}))</f>
        <v>0</v>
      </c>
      <c r="R12" s="94">
        <f>SUM(SUMIFS('caseload data'!T:T,'caseload data'!$D:$D,"TPO",'caseload data'!$C:$C,'community caseload'!$B$8,'caseload data'!$B:$B,{"licence","community"}))</f>
        <v>0</v>
      </c>
      <c r="S12" s="64"/>
      <c r="T12" s="97" t="s">
        <v>1003</v>
      </c>
      <c r="U12" s="94">
        <f>SUM(SUMIFS('caseload data'!E:E,'caseload data'!$D:$D,"TPO",'caseload data'!$C:$C,'community caseload'!$T$8,'caseload data'!$B:$B,{"licence","community"}))</f>
        <v>0</v>
      </c>
      <c r="V12" s="94"/>
      <c r="W12" s="94"/>
      <c r="X12" s="94"/>
      <c r="Y12" s="94"/>
      <c r="Z12" s="94"/>
      <c r="AA12" s="94"/>
      <c r="AB12" s="94"/>
      <c r="AC12" s="94"/>
      <c r="AD12" s="94"/>
      <c r="AE12" s="94">
        <f>SUM(SUMIFS('caseload data'!J:J,'caseload data'!$D:$D,"TPO",'caseload data'!$C:$C,'community caseload'!$T$8,'caseload data'!$B:$B,{"licence","community"}))</f>
        <v>0</v>
      </c>
      <c r="AF12" s="94">
        <f>SUM(SUMIFS('caseload data'!K:K,'caseload data'!$D:$D,"TPO",'caseload data'!$C:$C,'community caseload'!$T$8,'caseload data'!$B:$B,{"licence","community"}))</f>
        <v>0</v>
      </c>
      <c r="AG12" s="94">
        <f>SUM(SUMIFS('caseload data'!N:N,'caseload data'!$D:$D,"TPO",'caseload data'!$C:$C,'community caseload'!$T$8,'caseload data'!$B:$B,{"licence","community"}))</f>
        <v>0</v>
      </c>
      <c r="AH12" s="94">
        <f>SUM(SUMIFS('caseload data'!O:O,'caseload data'!$D:$D,"TPO",'caseload data'!$C:$C,'community caseload'!$T$8,'caseload data'!$B:$B,{"licence","community"}))</f>
        <v>0</v>
      </c>
      <c r="AI12" s="94">
        <f>SUM(SUMIFS('caseload data'!R:R,'caseload data'!$D:$D,"TPO",'caseload data'!$C:$C,'community caseload'!$T$8,'caseload data'!$B:$B,{"licence","community"}))</f>
        <v>0</v>
      </c>
      <c r="AJ12" s="94">
        <f>SUM(SUMIFS('caseload data'!S:S,'caseload data'!$D:$D,"TPO",'caseload data'!$C:$C,'community caseload'!$T$8,'caseload data'!$B:$B,{"licence","community"}))</f>
        <v>0</v>
      </c>
    </row>
    <row r="13" spans="1:50" x14ac:dyDescent="0.15">
      <c r="B13" s="98" t="s">
        <v>1004</v>
      </c>
      <c r="C13" s="94">
        <f>SUM(SUMIFS('caseload data'!E:E,'caseload data'!$D:$D,"SPO",'caseload data'!$C:$C,'community caseload'!$B$8,'caseload data'!$B:$B,{"licence","community"}))</f>
        <v>0</v>
      </c>
      <c r="D13" s="94">
        <f>SUM(SUMIFS('caseload data'!F:F,'caseload data'!$D:$D,"SPO",'caseload data'!$C:$C,'community caseload'!$B$8,'caseload data'!$B:$B,{"licence","community"}))</f>
        <v>0</v>
      </c>
      <c r="E13" s="94">
        <f>SUM(SUMIFS('caseload data'!G:G,'caseload data'!$D:$D,"SPO",'caseload data'!$C:$C,'community caseload'!$B$8,'caseload data'!$B:$B,{"licence","community"}))</f>
        <v>0</v>
      </c>
      <c r="F13" s="94">
        <f>SUM(SUMIFS('caseload data'!H:H,'caseload data'!$D:$D,"SPO",'caseload data'!$C:$C,'community caseload'!$B$8,'caseload data'!$B:$B,{"licence","community"}))</f>
        <v>0</v>
      </c>
      <c r="G13" s="94">
        <f>SUM(SUMIFS('caseload data'!I:I,'caseload data'!$D:$D,"SPO",'caseload data'!$C:$C,'community caseload'!$B$8,'caseload data'!$B:$B,{"licence","community"}))</f>
        <v>0</v>
      </c>
      <c r="H13" s="94">
        <f>SUM(SUMIFS('caseload data'!J:J,'caseload data'!$D:$D,"SPO",'caseload data'!$C:$C,'community caseload'!$B$8,'caseload data'!$B:$B,{"licence","community"}))</f>
        <v>0</v>
      </c>
      <c r="I13" s="94">
        <f>SUM(SUMIFS('caseload data'!K:K,'caseload data'!$D:$D,"SPO",'caseload data'!$C:$C,'community caseload'!$B$8,'caseload data'!$B:$B,{"licence","community"}))</f>
        <v>0</v>
      </c>
      <c r="J13" s="94">
        <f>SUM(SUMIFS('caseload data'!L:L,'caseload data'!$D:$D,"SPO",'caseload data'!$C:$C,'community caseload'!$B$8,'caseload data'!$B:$B,{"licence","community"}))</f>
        <v>0</v>
      </c>
      <c r="K13" s="94">
        <f>SUM(SUMIFS('caseload data'!M:M,'caseload data'!$D:$D,"SPO",'caseload data'!$C:$C,'community caseload'!$B$8,'caseload data'!$B:$B,{"licence","community"}))</f>
        <v>0</v>
      </c>
      <c r="L13" s="94">
        <f>SUM(SUMIFS('caseload data'!N:N,'caseload data'!$D:$D,"SPO",'caseload data'!$C:$C,'community caseload'!$B$8,'caseload data'!$B:$B,{"licence","community"}))</f>
        <v>0</v>
      </c>
      <c r="M13" s="94">
        <f>SUM(SUMIFS('caseload data'!O:O,'caseload data'!$D:$D,"SPO",'caseload data'!$C:$C,'community caseload'!$B$8,'caseload data'!$B:$B,{"licence","community"}))</f>
        <v>0</v>
      </c>
      <c r="N13" s="94">
        <f>SUM(SUMIFS('caseload data'!P:P,'caseload data'!$D:$D,"SPO",'caseload data'!$C:$C,'community caseload'!$B$8,'caseload data'!$B:$B,{"licence","community"}))</f>
        <v>0</v>
      </c>
      <c r="O13" s="94">
        <f>SUM(SUMIFS('caseload data'!Q:Q,'caseload data'!$D:$D,"SPO",'caseload data'!$C:$C,'community caseload'!$B$8,'caseload data'!$B:$B,{"licence","community"}))</f>
        <v>0</v>
      </c>
      <c r="P13" s="94">
        <f>SUM(SUMIFS('caseload data'!R:R,'caseload data'!$D:$D,"SPO",'caseload data'!$C:$C,'community caseload'!$B$8,'caseload data'!$B:$B,{"licence","community"}))</f>
        <v>0</v>
      </c>
      <c r="Q13" s="94">
        <f>SUM(SUMIFS('caseload data'!S:S,'caseload data'!$D:$D,"SPO",'caseload data'!$C:$C,'community caseload'!$B$8,'caseload data'!$B:$B,{"licence","community"}))</f>
        <v>0</v>
      </c>
      <c r="R13" s="94">
        <f>SUM(SUMIFS('caseload data'!T:T,'caseload data'!$D:$D,"SPO",'caseload data'!$C:$C,'community caseload'!$B$8,'caseload data'!$B:$B,{"licence","community"}))</f>
        <v>0</v>
      </c>
      <c r="S13" s="64"/>
      <c r="T13" s="98" t="s">
        <v>1004</v>
      </c>
      <c r="U13" s="94">
        <f>SUM(SUMIFS('caseload data'!E:E,'caseload data'!$D:$D,"SPO",'caseload data'!$C:$C,'community caseload'!$T$8,'caseload data'!$B:$B,{"licence","community"}))</f>
        <v>0</v>
      </c>
      <c r="V13" s="94"/>
      <c r="W13" s="94"/>
      <c r="X13" s="94"/>
      <c r="Y13" s="94"/>
      <c r="Z13" s="94"/>
      <c r="AA13" s="94"/>
      <c r="AB13" s="94"/>
      <c r="AC13" s="94"/>
      <c r="AD13" s="94"/>
      <c r="AE13" s="94">
        <f>SUM(SUMIFS('caseload data'!J:J,'caseload data'!$D:$D,"SPO",'caseload data'!$C:$C,'community caseload'!$T$8,'caseload data'!$B:$B,{"licence","community"}))</f>
        <v>0</v>
      </c>
      <c r="AF13" s="94">
        <f>SUM(SUMIFS('caseload data'!K:K,'caseload data'!$D:$D,"SPO",'caseload data'!$C:$C,'community caseload'!$T$8,'caseload data'!$B:$B,{"licence","community"}))</f>
        <v>0</v>
      </c>
      <c r="AG13" s="94">
        <f>SUM(SUMIFS('caseload data'!N:N,'caseload data'!$D:$D,"SPO",'caseload data'!$C:$C,'community caseload'!$T$8,'caseload data'!$B:$B,{"licence","community"}))</f>
        <v>0</v>
      </c>
      <c r="AH13" s="94">
        <f>SUM(SUMIFS('caseload data'!O:O,'caseload data'!$D:$D,"SPO",'caseload data'!$C:$C,'community caseload'!$T$8,'caseload data'!$B:$B,{"licence","community"}))</f>
        <v>0</v>
      </c>
      <c r="AI13" s="94">
        <f>SUM(SUMIFS('caseload data'!R:R,'caseload data'!$D:$D,"SPO",'caseload data'!$C:$C,'community caseload'!$T$8,'caseload data'!$B:$B,{"licence","community"}))</f>
        <v>0</v>
      </c>
      <c r="AJ13" s="94">
        <f>SUM(SUMIFS('caseload data'!S:S,'caseload data'!$D:$D,"SPO",'caseload data'!$C:$C,'community caseload'!$T$8,'caseload data'!$B:$B,{"licence","community"}))</f>
        <v>0</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34.5" customHeight="1" x14ac:dyDescent="0.15">
      <c r="B15" s="289" t="str">
        <f>HLOOKUP($B$5,Region_Table,4,0)</f>
        <v>Derbyshire - N53</v>
      </c>
      <c r="C15" s="509" t="s">
        <v>1130</v>
      </c>
      <c r="D15" s="510"/>
      <c r="E15" s="510"/>
      <c r="F15" s="510"/>
      <c r="G15" s="510"/>
      <c r="H15" s="510"/>
      <c r="I15" s="510"/>
      <c r="J15" s="510"/>
      <c r="K15" s="510"/>
      <c r="L15" s="510"/>
      <c r="M15" s="539"/>
      <c r="N15" s="539"/>
      <c r="O15" s="540"/>
      <c r="P15" s="512" cm="1">
        <f t="array" ref="P15">SUM(SUMIFS('caseload data'!V:V,'caseload data'!B:B,{"licence","community"},'caseload data'!$C:$C,'community caseload'!B15))</f>
        <v>0</v>
      </c>
      <c r="Q15" s="529"/>
      <c r="R15" s="530"/>
      <c r="S15" s="291"/>
      <c r="T15" s="289" t="str">
        <f>HLOOKUP($B$5,Region_Table,5,0)</f>
        <v>Leicester, Leicestershire and Rutland</v>
      </c>
      <c r="U15" s="509" t="s">
        <v>1130</v>
      </c>
      <c r="V15" s="510"/>
      <c r="W15" s="510"/>
      <c r="X15" s="510"/>
      <c r="Y15" s="510"/>
      <c r="Z15" s="510"/>
      <c r="AA15" s="510"/>
      <c r="AB15" s="510"/>
      <c r="AC15" s="510"/>
      <c r="AD15" s="510"/>
      <c r="AE15" s="539"/>
      <c r="AF15" s="539"/>
      <c r="AG15" s="540"/>
      <c r="AH15" s="512" cm="1">
        <f t="array" ref="AH15">SUM(SUMIFS('caseload data'!V:V,'caseload data'!B:B,{"licence","community"},'caseload data'!$C:$C,'community caseload'!T15))</f>
        <v>0</v>
      </c>
      <c r="AI15" s="529"/>
      <c r="AJ15" s="530"/>
    </row>
    <row r="16" spans="1:50" x14ac:dyDescent="0.15">
      <c r="B16" s="95" t="s">
        <v>1000</v>
      </c>
      <c r="C16" s="38" t="s">
        <v>864</v>
      </c>
      <c r="D16" s="38" t="s">
        <v>865</v>
      </c>
      <c r="E16" s="38" t="s">
        <v>866</v>
      </c>
      <c r="F16" s="38" t="s">
        <v>867</v>
      </c>
      <c r="G16" s="38" t="s">
        <v>868</v>
      </c>
      <c r="H16" s="38" t="s">
        <v>869</v>
      </c>
      <c r="I16" s="38" t="s">
        <v>870</v>
      </c>
      <c r="J16" s="38" t="s">
        <v>871</v>
      </c>
      <c r="K16" s="38" t="s">
        <v>872</v>
      </c>
      <c r="L16" s="38" t="s">
        <v>873</v>
      </c>
      <c r="M16" s="38" t="s">
        <v>874</v>
      </c>
      <c r="N16" s="38" t="s">
        <v>875</v>
      </c>
      <c r="O16" s="38" t="s">
        <v>876</v>
      </c>
      <c r="P16" s="38" t="s">
        <v>877</v>
      </c>
      <c r="Q16" s="38" t="s">
        <v>878</v>
      </c>
      <c r="R16" s="38" t="s">
        <v>879</v>
      </c>
      <c r="S16" s="64"/>
      <c r="T16" s="95" t="s">
        <v>1000</v>
      </c>
      <c r="U16" s="38" t="s">
        <v>864</v>
      </c>
      <c r="V16" s="38" t="s">
        <v>865</v>
      </c>
      <c r="W16" s="38" t="s">
        <v>866</v>
      </c>
      <c r="X16" s="38" t="s">
        <v>867</v>
      </c>
      <c r="Y16" s="38" t="s">
        <v>868</v>
      </c>
      <c r="Z16" s="38" t="s">
        <v>869</v>
      </c>
      <c r="AA16" s="38" t="s">
        <v>870</v>
      </c>
      <c r="AB16" s="38" t="s">
        <v>871</v>
      </c>
      <c r="AC16" s="38" t="s">
        <v>872</v>
      </c>
      <c r="AD16" s="38" t="s">
        <v>873</v>
      </c>
      <c r="AE16" s="38" t="s">
        <v>874</v>
      </c>
      <c r="AF16" s="38" t="s">
        <v>875</v>
      </c>
      <c r="AG16" s="38" t="s">
        <v>876</v>
      </c>
      <c r="AH16" s="38" t="s">
        <v>877</v>
      </c>
      <c r="AI16" s="38" t="s">
        <v>878</v>
      </c>
      <c r="AJ16" s="38" t="s">
        <v>879</v>
      </c>
    </row>
    <row r="17" spans="2:36" x14ac:dyDescent="0.15">
      <c r="B17" s="96" t="s">
        <v>997</v>
      </c>
      <c r="C17" s="94">
        <f>SUM(SUMIFS('caseload data'!E:E,'caseload data'!$D:$D,"PO",'caseload data'!$C:$C,'community caseload'!$B$15,'caseload data'!$B:$B,{"licence","community"}))</f>
        <v>0</v>
      </c>
      <c r="D17" s="94">
        <f>SUM(SUMIFS('caseload data'!F:F,'caseload data'!$D:$D,"PO",'caseload data'!$C:$C,'community caseload'!$B$15,'caseload data'!$B:$B,{"licence","community"}))</f>
        <v>0</v>
      </c>
      <c r="E17" s="94">
        <f>SUM(SUMIFS('caseload data'!G:G,'caseload data'!$D:$D,"PO",'caseload data'!$C:$C,'community caseload'!$B$15,'caseload data'!$B:$B,{"licence","community"}))</f>
        <v>0</v>
      </c>
      <c r="F17" s="94">
        <f>SUM(SUMIFS('caseload data'!H:H,'caseload data'!$D:$D,"PO",'caseload data'!$C:$C,'community caseload'!$B$15,'caseload data'!$B:$B,{"licence","community"}))</f>
        <v>0</v>
      </c>
      <c r="G17" s="94">
        <f>SUM(SUMIFS('caseload data'!I:I,'caseload data'!$D:$D,"PO",'caseload data'!$C:$C,'community caseload'!$B$15,'caseload data'!$B:$B,{"licence","community"}))</f>
        <v>0</v>
      </c>
      <c r="H17" s="94">
        <f>SUM(SUMIFS('caseload data'!J:J,'caseload data'!$D:$D,"PO",'caseload data'!$C:$C,'community caseload'!$B$15,'caseload data'!$B:$B,{"licence","community"}))</f>
        <v>0</v>
      </c>
      <c r="I17" s="94">
        <f>SUM(SUMIFS('caseload data'!K:K,'caseload data'!$D:$D,"PO",'caseload data'!$C:$C,'community caseload'!$B$15,'caseload data'!$B:$B,{"licence","community"}))</f>
        <v>0</v>
      </c>
      <c r="J17" s="94">
        <f>SUM(SUMIFS('caseload data'!L:L,'caseload data'!$D:$D,"PO",'caseload data'!$C:$C,'community caseload'!$B$15,'caseload data'!$B:$B,{"licence","community"}))</f>
        <v>0</v>
      </c>
      <c r="K17" s="94">
        <f>SUM(SUMIFS('caseload data'!M:M,'caseload data'!$D:$D,"PO",'caseload data'!$C:$C,'community caseload'!$B$15,'caseload data'!$B:$B,{"licence","community"}))</f>
        <v>0</v>
      </c>
      <c r="L17" s="94">
        <f>SUM(SUMIFS('caseload data'!N:N,'caseload data'!$D:$D,"PO",'caseload data'!$C:$C,'community caseload'!$B$15,'caseload data'!$B:$B,{"licence","community"}))</f>
        <v>0</v>
      </c>
      <c r="M17" s="94">
        <f>SUM(SUMIFS('caseload data'!O:O,'caseload data'!$D:$D,"PO",'caseload data'!$C:$C,'community caseload'!$B$15,'caseload data'!$B:$B,{"licence","community"}))</f>
        <v>0</v>
      </c>
      <c r="N17" s="94">
        <f>SUM(SUMIFS('caseload data'!P:P,'caseload data'!$D:$D,"PO",'caseload data'!$C:$C,'community caseload'!$B$15,'caseload data'!$B:$B,{"licence","community"}))</f>
        <v>0</v>
      </c>
      <c r="O17" s="94">
        <f>SUM(SUMIFS('caseload data'!Q:Q,'caseload data'!$D:$D,"PO",'caseload data'!$C:$C,'community caseload'!$B$15,'caseload data'!$B:$B,{"licence","community"}))</f>
        <v>0</v>
      </c>
      <c r="P17" s="94">
        <f>SUM(SUMIFS('caseload data'!R:R,'caseload data'!$D:$D,"PO",'caseload data'!$C:$C,'community caseload'!$B$15,'caseload data'!$B:$B,{"licence","community"}))</f>
        <v>0</v>
      </c>
      <c r="Q17" s="94">
        <f>SUM(SUMIFS('caseload data'!S:S,'caseload data'!$D:$D,"PO",'caseload data'!$C:$C,'community caseload'!$B$15,'caseload data'!$B:$B,{"licence","community"}))</f>
        <v>0</v>
      </c>
      <c r="R17" s="94">
        <f>SUM(SUMIFS('caseload data'!T:T,'caseload data'!$D:$D,"PO",'caseload data'!$C:$C,'community caseload'!$B$15,'caseload data'!$B:$B,{"licence","community"}))</f>
        <v>0</v>
      </c>
      <c r="S17" s="64"/>
      <c r="T17" s="96" t="s">
        <v>997</v>
      </c>
      <c r="U17" s="94">
        <f>SUM(SUMIFS('caseload data'!E:E,'caseload data'!$D:$D,"PO",'caseload data'!$C:$C,'community caseload'!$T$15,'caseload data'!$B:$B,{"licence","community"}))</f>
        <v>0</v>
      </c>
      <c r="V17" s="94"/>
      <c r="W17" s="94"/>
      <c r="X17" s="94"/>
      <c r="Y17" s="94"/>
      <c r="Z17" s="94"/>
      <c r="AA17" s="94"/>
      <c r="AB17" s="94"/>
      <c r="AC17" s="94"/>
      <c r="AD17" s="94"/>
      <c r="AE17" s="94">
        <f>SUM(SUMIFS('caseload data'!J:J,'caseload data'!$D:$D,"PO",'caseload data'!$C:$C,'community caseload'!$T$15,'caseload data'!$B:$B,{"licence","community"}))</f>
        <v>0</v>
      </c>
      <c r="AF17" s="94">
        <f>SUM(SUMIFS('caseload data'!K:K,'caseload data'!$D:$D,"PO",'caseload data'!$C:$C,'community caseload'!$T$15,'caseload data'!$B:$B,{"licence","community"}))</f>
        <v>0</v>
      </c>
      <c r="AG17" s="94">
        <f>SUM(SUMIFS('caseload data'!N:N,'caseload data'!$D:$D,"PO",'caseload data'!$C:$C,'community caseload'!$T$15,'caseload data'!$B:$B,{"licence","community"}))</f>
        <v>0</v>
      </c>
      <c r="AH17" s="94">
        <f>SUM(SUMIFS('caseload data'!O:O,'caseload data'!$D:$D,"PO",'caseload data'!$C:$C,'community caseload'!$T$15,'caseload data'!$B:$B,{"licence","community"}))</f>
        <v>0</v>
      </c>
      <c r="AI17" s="94">
        <f>SUM(SUMIFS('caseload data'!R:R,'caseload data'!$D:$D,"PO",'caseload data'!$C:$C,'community caseload'!$T$15,'caseload data'!$B:$B,{"licence","community"}))</f>
        <v>0</v>
      </c>
      <c r="AJ17" s="94">
        <f>SUM(SUMIFS('caseload data'!S:S,'caseload data'!$D:$D,"PO",'caseload data'!$C:$C,'community caseload'!$T$15,'caseload data'!$B:$B,{"licence","community"}))</f>
        <v>0</v>
      </c>
    </row>
    <row r="18" spans="2:36" x14ac:dyDescent="0.15">
      <c r="B18" s="97" t="s">
        <v>1002</v>
      </c>
      <c r="C18" s="94">
        <f>SUM(SUMIFS('caseload data'!E:E,'caseload data'!$D:$D,"PSO",'caseload data'!$C:$C,'community caseload'!$B$15,'caseload data'!$B:$B,{"licence","community"}))</f>
        <v>0</v>
      </c>
      <c r="D18" s="94">
        <f>SUM(SUMIFS('caseload data'!F:F,'caseload data'!$D:$D,"PSO",'caseload data'!$C:$C,'community caseload'!$B$15,'caseload data'!$B:$B,{"licence","community"}))</f>
        <v>0</v>
      </c>
      <c r="E18" s="94">
        <f>SUM(SUMIFS('caseload data'!G:G,'caseload data'!$D:$D,"PSO",'caseload data'!$C:$C,'community caseload'!$B$15,'caseload data'!$B:$B,{"licence","community"}))</f>
        <v>0</v>
      </c>
      <c r="F18" s="94">
        <f>SUM(SUMIFS('caseload data'!H:H,'caseload data'!$D:$D,"PSO",'caseload data'!$C:$C,'community caseload'!$B$15,'caseload data'!$B:$B,{"licence","community"}))</f>
        <v>0</v>
      </c>
      <c r="G18" s="94">
        <f>SUM(SUMIFS('caseload data'!I:I,'caseload data'!$D:$D,"PSO",'caseload data'!$C:$C,'community caseload'!$B$15,'caseload data'!$B:$B,{"licence","community"}))</f>
        <v>0</v>
      </c>
      <c r="H18" s="94">
        <f>SUM(SUMIFS('caseload data'!J:J,'caseload data'!$D:$D,"PSO",'caseload data'!$C:$C,'community caseload'!$B$15,'caseload data'!$B:$B,{"licence","community"}))</f>
        <v>0</v>
      </c>
      <c r="I18" s="94">
        <f>SUM(SUMIFS('caseload data'!K:K,'caseload data'!$D:$D,"PSO",'caseload data'!$C:$C,'community caseload'!$B$15,'caseload data'!$B:$B,{"licence","community"}))</f>
        <v>0</v>
      </c>
      <c r="J18" s="94">
        <f>SUM(SUMIFS('caseload data'!L:L,'caseload data'!$D:$D,"PSO",'caseload data'!$C:$C,'community caseload'!$B$15,'caseload data'!$B:$B,{"licence","community"}))</f>
        <v>0</v>
      </c>
      <c r="K18" s="94">
        <f>SUM(SUMIFS('caseload data'!M:M,'caseload data'!$D:$D,"PSO",'caseload data'!$C:$C,'community caseload'!$B$15,'caseload data'!$B:$B,{"licence","community"}))</f>
        <v>0</v>
      </c>
      <c r="L18" s="94">
        <f>SUM(SUMIFS('caseload data'!N:N,'caseload data'!$D:$D,"PSO",'caseload data'!$C:$C,'community caseload'!$B$15,'caseload data'!$B:$B,{"licence","community"}))</f>
        <v>0</v>
      </c>
      <c r="M18" s="94">
        <f>SUM(SUMIFS('caseload data'!O:O,'caseload data'!$D:$D,"PSO",'caseload data'!$C:$C,'community caseload'!$B$15,'caseload data'!$B:$B,{"licence","community"}))</f>
        <v>0</v>
      </c>
      <c r="N18" s="94">
        <f>SUM(SUMIFS('caseload data'!P:P,'caseload data'!$D:$D,"PSO",'caseload data'!$C:$C,'community caseload'!$B$15,'caseload data'!$B:$B,{"licence","community"}))</f>
        <v>0</v>
      </c>
      <c r="O18" s="94">
        <f>SUM(SUMIFS('caseload data'!Q:Q,'caseload data'!$D:$D,"PSO",'caseload data'!$C:$C,'community caseload'!$B$15,'caseload data'!$B:$B,{"licence","community"}))</f>
        <v>0</v>
      </c>
      <c r="P18" s="94">
        <f>SUM(SUMIFS('caseload data'!R:R,'caseload data'!$D:$D,"PSO",'caseload data'!$C:$C,'community caseload'!$B$15,'caseload data'!$B:$B,{"licence","community"}))</f>
        <v>0</v>
      </c>
      <c r="Q18" s="94">
        <f>SUM(SUMIFS('caseload data'!S:S,'caseload data'!$D:$D,"PSO",'caseload data'!$C:$C,'community caseload'!$B$15,'caseload data'!$B:$B,{"licence","community"}))</f>
        <v>0</v>
      </c>
      <c r="R18" s="94">
        <f>SUM(SUMIFS('caseload data'!T:T,'caseload data'!$D:$D,"PSO",'caseload data'!$C:$C,'community caseload'!$B$15,'caseload data'!$B:$B,{"licence","community"}))</f>
        <v>0</v>
      </c>
      <c r="S18" s="64"/>
      <c r="T18" s="97" t="s">
        <v>1002</v>
      </c>
      <c r="U18" s="94">
        <f>SUM(SUMIFS('caseload data'!E:E,'caseload data'!$D:$D,"PSO",'caseload data'!$C:$C,'community caseload'!$T$15,'caseload data'!$B:$B,{"licence","community"}))</f>
        <v>0</v>
      </c>
      <c r="V18" s="94"/>
      <c r="W18" s="94"/>
      <c r="X18" s="94"/>
      <c r="Y18" s="94"/>
      <c r="Z18" s="94"/>
      <c r="AA18" s="94"/>
      <c r="AB18" s="94"/>
      <c r="AC18" s="94"/>
      <c r="AD18" s="94"/>
      <c r="AE18" s="94">
        <f>SUM(SUMIFS('caseload data'!J:J,'caseload data'!$D:$D,"PSO",'caseload data'!$C:$C,'community caseload'!$T$15,'caseload data'!$B:$B,{"licence","community"}))</f>
        <v>0</v>
      </c>
      <c r="AF18" s="94">
        <f>SUM(SUMIFS('caseload data'!K:K,'caseload data'!$D:$D,"PSO",'caseload data'!$C:$C,'community caseload'!$T$15,'caseload data'!$B:$B,{"licence","community"}))</f>
        <v>0</v>
      </c>
      <c r="AG18" s="94">
        <f>SUM(SUMIFS('caseload data'!N:N,'caseload data'!$D:$D,"PSO",'caseload data'!$C:$C,'community caseload'!$T$15,'caseload data'!$B:$B,{"licence","community"}))</f>
        <v>0</v>
      </c>
      <c r="AH18" s="94">
        <f>SUM(SUMIFS('caseload data'!O:O,'caseload data'!$D:$D,"PSO",'caseload data'!$C:$C,'community caseload'!$T$15,'caseload data'!$B:$B,{"licence","community"}))</f>
        <v>0</v>
      </c>
      <c r="AI18" s="94">
        <f>SUM(SUMIFS('caseload data'!R:R,'caseload data'!$D:$D,"PSO",'caseload data'!$C:$C,'community caseload'!$T$15,'caseload data'!$B:$B,{"licence","community"}))</f>
        <v>0</v>
      </c>
      <c r="AJ18" s="94">
        <f>SUM(SUMIFS('caseload data'!S:S,'caseload data'!$D:$D,"PSO",'caseload data'!$C:$C,'community caseload'!$T$15,'caseload data'!$B:$B,{"licence","community"}))</f>
        <v>0</v>
      </c>
    </row>
    <row r="19" spans="2:36" x14ac:dyDescent="0.15">
      <c r="B19" s="97" t="s">
        <v>1003</v>
      </c>
      <c r="C19" s="94">
        <f>SUM(SUMIFS('caseload data'!E:E,'caseload data'!$D:$D,"TPO",'caseload data'!$C:$C,'community caseload'!$B$15,'caseload data'!$B:$B,{"licence","community"}))</f>
        <v>0</v>
      </c>
      <c r="D19" s="94">
        <f>SUM(SUMIFS('caseload data'!F:F,'caseload data'!$D:$D,"TPO",'caseload data'!$C:$C,'community caseload'!$B$15,'caseload data'!$B:$B,{"licence","community"}))</f>
        <v>0</v>
      </c>
      <c r="E19" s="94">
        <f>SUM(SUMIFS('caseload data'!G:G,'caseload data'!$D:$D,"TPO",'caseload data'!$C:$C,'community caseload'!$B$15,'caseload data'!$B:$B,{"licence","community"}))</f>
        <v>0</v>
      </c>
      <c r="F19" s="94">
        <f>SUM(SUMIFS('caseload data'!H:H,'caseload data'!$D:$D,"TPO",'caseload data'!$C:$C,'community caseload'!$B$15,'caseload data'!$B:$B,{"licence","community"}))</f>
        <v>0</v>
      </c>
      <c r="G19" s="94">
        <f>SUM(SUMIFS('caseload data'!I:I,'caseload data'!$D:$D,"TPO",'caseload data'!$C:$C,'community caseload'!$B$15,'caseload data'!$B:$B,{"licence","community"}))</f>
        <v>0</v>
      </c>
      <c r="H19" s="94">
        <f>SUM(SUMIFS('caseload data'!J:J,'caseload data'!$D:$D,"TPO",'caseload data'!$C:$C,'community caseload'!$B$15,'caseload data'!$B:$B,{"licence","community"}))</f>
        <v>0</v>
      </c>
      <c r="I19" s="94">
        <f>SUM(SUMIFS('caseload data'!K:K,'caseload data'!$D:$D,"TPO",'caseload data'!$C:$C,'community caseload'!$B$15,'caseload data'!$B:$B,{"licence","community"}))</f>
        <v>0</v>
      </c>
      <c r="J19" s="94">
        <f>SUM(SUMIFS('caseload data'!L:L,'caseload data'!$D:$D,"TPO",'caseload data'!$C:$C,'community caseload'!$B$15,'caseload data'!$B:$B,{"licence","community"}))</f>
        <v>0</v>
      </c>
      <c r="K19" s="94">
        <f>SUM(SUMIFS('caseload data'!M:M,'caseload data'!$D:$D,"TPO",'caseload data'!$C:$C,'community caseload'!$B$15,'caseload data'!$B:$B,{"licence","community"}))</f>
        <v>0</v>
      </c>
      <c r="L19" s="94">
        <f>SUM(SUMIFS('caseload data'!N:N,'caseload data'!$D:$D,"TPO",'caseload data'!$C:$C,'community caseload'!$B$15,'caseload data'!$B:$B,{"licence","community"}))</f>
        <v>0</v>
      </c>
      <c r="M19" s="94">
        <f>SUM(SUMIFS('caseload data'!O:O,'caseload data'!$D:$D,"TPO",'caseload data'!$C:$C,'community caseload'!$B$15,'caseload data'!$B:$B,{"licence","community"}))</f>
        <v>0</v>
      </c>
      <c r="N19" s="94">
        <f>SUM(SUMIFS('caseload data'!P:P,'caseload data'!$D:$D,"TPO",'caseload data'!$C:$C,'community caseload'!$B$15,'caseload data'!$B:$B,{"licence","community"}))</f>
        <v>0</v>
      </c>
      <c r="O19" s="94">
        <f>SUM(SUMIFS('caseload data'!Q:Q,'caseload data'!$D:$D,"TPO",'caseload data'!$C:$C,'community caseload'!$B$15,'caseload data'!$B:$B,{"licence","community"}))</f>
        <v>0</v>
      </c>
      <c r="P19" s="94">
        <f>SUM(SUMIFS('caseload data'!R:R,'caseload data'!$D:$D,"TPO",'caseload data'!$C:$C,'community caseload'!$B$15,'caseload data'!$B:$B,{"licence","community"}))</f>
        <v>0</v>
      </c>
      <c r="Q19" s="94">
        <f>SUM(SUMIFS('caseload data'!S:S,'caseload data'!$D:$D,"TPO",'caseload data'!$C:$C,'community caseload'!$B$15,'caseload data'!$B:$B,{"licence","community"}))</f>
        <v>0</v>
      </c>
      <c r="R19" s="94">
        <f>SUM(SUMIFS('caseload data'!T:T,'caseload data'!$D:$D,"TPO",'caseload data'!$C:$C,'community caseload'!$B$15,'caseload data'!$B:$B,{"licence","community"}))</f>
        <v>0</v>
      </c>
      <c r="S19" s="64"/>
      <c r="T19" s="97" t="s">
        <v>1003</v>
      </c>
      <c r="U19" s="94">
        <f>SUM(SUMIFS('caseload data'!E:E,'caseload data'!$D:$D,"TPO",'caseload data'!$C:$C,'community caseload'!$T$15,'caseload data'!$B:$B,{"licence","community"}))</f>
        <v>0</v>
      </c>
      <c r="V19" s="94"/>
      <c r="W19" s="94"/>
      <c r="X19" s="94"/>
      <c r="Y19" s="94"/>
      <c r="Z19" s="94"/>
      <c r="AA19" s="94"/>
      <c r="AB19" s="94"/>
      <c r="AC19" s="94"/>
      <c r="AD19" s="94"/>
      <c r="AE19" s="94">
        <f>SUM(SUMIFS('caseload data'!J:J,'caseload data'!$D:$D,"TPO",'caseload data'!$C:$C,'community caseload'!$T$15,'caseload data'!$B:$B,{"licence","community"}))</f>
        <v>0</v>
      </c>
      <c r="AF19" s="94">
        <f>SUM(SUMIFS('caseload data'!K:K,'caseload data'!$D:$D,"TPO",'caseload data'!$C:$C,'community caseload'!$T$15,'caseload data'!$B:$B,{"licence","community"}))</f>
        <v>0</v>
      </c>
      <c r="AG19" s="94">
        <f>SUM(SUMIFS('caseload data'!N:N,'caseload data'!$D:$D,"TPO",'caseload data'!$C:$C,'community caseload'!$T$15,'caseload data'!$B:$B,{"licence","community"}))</f>
        <v>0</v>
      </c>
      <c r="AH19" s="94">
        <f>SUM(SUMIFS('caseload data'!O:O,'caseload data'!$D:$D,"TPO",'caseload data'!$C:$C,'community caseload'!$T$15,'caseload data'!$B:$B,{"licence","community"}))</f>
        <v>0</v>
      </c>
      <c r="AI19" s="94">
        <f>SUM(SUMIFS('caseload data'!R:R,'caseload data'!$D:$D,"TPO",'caseload data'!$C:$C,'community caseload'!$T$15,'caseload data'!$B:$B,{"licence","community"}))</f>
        <v>0</v>
      </c>
      <c r="AJ19" s="94">
        <f>SUM(SUMIFS('caseload data'!S:S,'caseload data'!$D:$D,"TPO",'caseload data'!$C:$C,'community caseload'!$T$15,'caseload data'!$B:$B,{"licence","community"}))</f>
        <v>0</v>
      </c>
    </row>
    <row r="20" spans="2:36" x14ac:dyDescent="0.15">
      <c r="B20" s="98" t="s">
        <v>1004</v>
      </c>
      <c r="C20" s="94">
        <f>SUM(SUMIFS('caseload data'!E:E,'caseload data'!$D:$D,"SPO",'caseload data'!$C:$C,'community caseload'!$B$15,'caseload data'!$B:$B,{"licence","community"}))</f>
        <v>0</v>
      </c>
      <c r="D20" s="94">
        <f>SUM(SUMIFS('caseload data'!F:F,'caseload data'!$D:$D,"SPO",'caseload data'!$C:$C,'community caseload'!$B$15,'caseload data'!$B:$B,{"licence","community"}))</f>
        <v>0</v>
      </c>
      <c r="E20" s="94">
        <f>SUM(SUMIFS('caseload data'!G:G,'caseload data'!$D:$D,"SPO",'caseload data'!$C:$C,'community caseload'!$B$15,'caseload data'!$B:$B,{"licence","community"}))</f>
        <v>0</v>
      </c>
      <c r="F20" s="94">
        <f>SUM(SUMIFS('caseload data'!H:H,'caseload data'!$D:$D,"SPO",'caseload data'!$C:$C,'community caseload'!$B$15,'caseload data'!$B:$B,{"licence","community"}))</f>
        <v>0</v>
      </c>
      <c r="G20" s="94">
        <f>SUM(SUMIFS('caseload data'!I:I,'caseload data'!$D:$D,"SPO",'caseload data'!$C:$C,'community caseload'!$B$15,'caseload data'!$B:$B,{"licence","community"}))</f>
        <v>0</v>
      </c>
      <c r="H20" s="94">
        <f>SUM(SUMIFS('caseload data'!J:J,'caseload data'!$D:$D,"SPO",'caseload data'!$C:$C,'community caseload'!$B$15,'caseload data'!$B:$B,{"licence","community"}))</f>
        <v>0</v>
      </c>
      <c r="I20" s="94">
        <f>SUM(SUMIFS('caseload data'!K:K,'caseload data'!$D:$D,"SPO",'caseload data'!$C:$C,'community caseload'!$B$15,'caseload data'!$B:$B,{"licence","community"}))</f>
        <v>0</v>
      </c>
      <c r="J20" s="94">
        <f>SUM(SUMIFS('caseload data'!L:L,'caseload data'!$D:$D,"SPO",'caseload data'!$C:$C,'community caseload'!$B$15,'caseload data'!$B:$B,{"licence","community"}))</f>
        <v>0</v>
      </c>
      <c r="K20" s="94">
        <f>SUM(SUMIFS('caseload data'!M:M,'caseload data'!$D:$D,"SPO",'caseload data'!$C:$C,'community caseload'!$B$15,'caseload data'!$B:$B,{"licence","community"}))</f>
        <v>0</v>
      </c>
      <c r="L20" s="94">
        <f>SUM(SUMIFS('caseload data'!N:N,'caseload data'!$D:$D,"SPO",'caseload data'!$C:$C,'community caseload'!$B$15,'caseload data'!$B:$B,{"licence","community"}))</f>
        <v>0</v>
      </c>
      <c r="M20" s="94">
        <f>SUM(SUMIFS('caseload data'!O:O,'caseload data'!$D:$D,"SPO",'caseload data'!$C:$C,'community caseload'!$B$15,'caseload data'!$B:$B,{"licence","community"}))</f>
        <v>0</v>
      </c>
      <c r="N20" s="94">
        <f>SUM(SUMIFS('caseload data'!P:P,'caseload data'!$D:$D,"SPO",'caseload data'!$C:$C,'community caseload'!$B$15,'caseload data'!$B:$B,{"licence","community"}))</f>
        <v>0</v>
      </c>
      <c r="O20" s="94">
        <f>SUM(SUMIFS('caseload data'!Q:Q,'caseload data'!$D:$D,"SPO",'caseload data'!$C:$C,'community caseload'!$B$15,'caseload data'!$B:$B,{"licence","community"}))</f>
        <v>0</v>
      </c>
      <c r="P20" s="94">
        <f>SUM(SUMIFS('caseload data'!R:R,'caseload data'!$D:$D,"SPO",'caseload data'!$C:$C,'community caseload'!$B$15,'caseload data'!$B:$B,{"licence","community"}))</f>
        <v>0</v>
      </c>
      <c r="Q20" s="94">
        <f>SUM(SUMIFS('caseload data'!S:S,'caseload data'!$D:$D,"SPO",'caseload data'!$C:$C,'community caseload'!$B$15,'caseload data'!$B:$B,{"licence","community"}))</f>
        <v>0</v>
      </c>
      <c r="R20" s="94">
        <f>SUM(SUMIFS('caseload data'!T:T,'caseload data'!$D:$D,"SPO",'caseload data'!$C:$C,'community caseload'!$B$15,'caseload data'!$B:$B,{"licence","community"}))</f>
        <v>0</v>
      </c>
      <c r="S20" s="64"/>
      <c r="T20" s="98" t="s">
        <v>1004</v>
      </c>
      <c r="U20" s="94">
        <f>SUM(SUMIFS('caseload data'!E:E,'caseload data'!$D:$D,"SPO",'caseload data'!$C:$C,'community caseload'!$T$15,'caseload data'!$B:$B,{"licence","community"}))</f>
        <v>0</v>
      </c>
      <c r="V20" s="94"/>
      <c r="W20" s="94"/>
      <c r="X20" s="94"/>
      <c r="Y20" s="94"/>
      <c r="Z20" s="94"/>
      <c r="AA20" s="94"/>
      <c r="AB20" s="94"/>
      <c r="AC20" s="94"/>
      <c r="AD20" s="94"/>
      <c r="AE20" s="94">
        <f>SUM(SUMIFS('caseload data'!J:J,'caseload data'!$D:$D,"SPO",'caseload data'!$C:$C,'community caseload'!$T$15,'caseload data'!$B:$B,{"licence","community"}))</f>
        <v>0</v>
      </c>
      <c r="AF20" s="94">
        <f>SUM(SUMIFS('caseload data'!K:K,'caseload data'!$D:$D,"SPO",'caseload data'!$C:$C,'community caseload'!$T$15,'caseload data'!$B:$B,{"licence","community"}))</f>
        <v>0</v>
      </c>
      <c r="AG20" s="94">
        <f>SUM(SUMIFS('caseload data'!N:N,'caseload data'!$D:$D,"SPO",'caseload data'!$C:$C,'community caseload'!$T$15,'caseload data'!$B:$B,{"licence","community"}))</f>
        <v>0</v>
      </c>
      <c r="AH20" s="94">
        <f>SUM(SUMIFS('caseload data'!O:O,'caseload data'!$D:$D,"SPO",'caseload data'!$C:$C,'community caseload'!$T$15,'caseload data'!$B:$B,{"licence","community"}))</f>
        <v>0</v>
      </c>
      <c r="AI20" s="94">
        <f>SUM(SUMIFS('caseload data'!R:R,'caseload data'!$D:$D,"SPO",'caseload data'!$C:$C,'community caseload'!$T$15,'caseload data'!$B:$B,{"licence","community"}))</f>
        <v>0</v>
      </c>
      <c r="AJ20" s="94">
        <f>SUM(SUMIFS('caseload data'!S:S,'caseload data'!$D:$D,"SPO",'caseload data'!$C:$C,'community caseload'!$T$15,'caseload data'!$B:$B,{"licence","community"}))</f>
        <v>0</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42" customHeight="1" x14ac:dyDescent="0.15">
      <c r="B22" s="289" t="str">
        <f>HLOOKUP($B$5,Region_Table,6,0)</f>
        <v>Lincolnshire East and West - N53</v>
      </c>
      <c r="C22" s="509" t="s">
        <v>1130</v>
      </c>
      <c r="D22" s="510"/>
      <c r="E22" s="510"/>
      <c r="F22" s="510"/>
      <c r="G22" s="510"/>
      <c r="H22" s="510"/>
      <c r="I22" s="510"/>
      <c r="J22" s="510"/>
      <c r="K22" s="510"/>
      <c r="L22" s="510"/>
      <c r="M22" s="539"/>
      <c r="N22" s="539"/>
      <c r="O22" s="540"/>
      <c r="P22" s="512" cm="1">
        <f t="array" ref="P22">SUM(SUMIFS('caseload data'!V:V,'caseload data'!B:B,{"licence","community"},'caseload data'!$C:$C,'community caseload'!B22))</f>
        <v>0</v>
      </c>
      <c r="Q22" s="529"/>
      <c r="R22" s="530"/>
      <c r="S22" s="291"/>
      <c r="T22" s="289" t="str">
        <f>HLOOKUP($B$5,Region_Table,7,0)</f>
        <v>Nottingham City</v>
      </c>
      <c r="U22" s="509" t="s">
        <v>1130</v>
      </c>
      <c r="V22" s="510"/>
      <c r="W22" s="510"/>
      <c r="X22" s="510"/>
      <c r="Y22" s="510"/>
      <c r="Z22" s="510"/>
      <c r="AA22" s="510"/>
      <c r="AB22" s="510"/>
      <c r="AC22" s="510"/>
      <c r="AD22" s="510"/>
      <c r="AE22" s="539"/>
      <c r="AF22" s="539"/>
      <c r="AG22" s="540"/>
      <c r="AH22" s="512" cm="1">
        <f t="array" ref="AH22">SUM(SUMIFS('caseload data'!V:V,'caseload data'!B:B,{"licence","community"},'caseload data'!$C:$C,'community caseload'!T22))</f>
        <v>0</v>
      </c>
      <c r="AI22" s="529"/>
      <c r="AJ22" s="530"/>
    </row>
    <row r="23" spans="2:36" x14ac:dyDescent="0.15">
      <c r="B23" s="95" t="s">
        <v>1000</v>
      </c>
      <c r="C23" s="38" t="s">
        <v>864</v>
      </c>
      <c r="D23" s="38" t="s">
        <v>865</v>
      </c>
      <c r="E23" s="38" t="s">
        <v>866</v>
      </c>
      <c r="F23" s="38" t="s">
        <v>867</v>
      </c>
      <c r="G23" s="38" t="s">
        <v>868</v>
      </c>
      <c r="H23" s="38" t="s">
        <v>869</v>
      </c>
      <c r="I23" s="38" t="s">
        <v>870</v>
      </c>
      <c r="J23" s="38" t="s">
        <v>871</v>
      </c>
      <c r="K23" s="38" t="s">
        <v>872</v>
      </c>
      <c r="L23" s="38" t="s">
        <v>873</v>
      </c>
      <c r="M23" s="38" t="s">
        <v>874</v>
      </c>
      <c r="N23" s="38" t="s">
        <v>875</v>
      </c>
      <c r="O23" s="38" t="s">
        <v>876</v>
      </c>
      <c r="P23" s="38" t="s">
        <v>877</v>
      </c>
      <c r="Q23" s="38" t="s">
        <v>878</v>
      </c>
      <c r="R23" s="38" t="s">
        <v>879</v>
      </c>
      <c r="S23" s="64"/>
      <c r="T23" s="95" t="s">
        <v>1000</v>
      </c>
      <c r="U23" s="38" t="s">
        <v>864</v>
      </c>
      <c r="V23" s="38" t="s">
        <v>865</v>
      </c>
      <c r="W23" s="38" t="s">
        <v>866</v>
      </c>
      <c r="X23" s="38" t="s">
        <v>867</v>
      </c>
      <c r="Y23" s="38" t="s">
        <v>868</v>
      </c>
      <c r="Z23" s="38" t="s">
        <v>869</v>
      </c>
      <c r="AA23" s="38" t="s">
        <v>870</v>
      </c>
      <c r="AB23" s="38" t="s">
        <v>871</v>
      </c>
      <c r="AC23" s="38" t="s">
        <v>872</v>
      </c>
      <c r="AD23" s="38" t="s">
        <v>873</v>
      </c>
      <c r="AE23" s="38" t="s">
        <v>874</v>
      </c>
      <c r="AF23" s="38" t="s">
        <v>875</v>
      </c>
      <c r="AG23" s="38" t="s">
        <v>876</v>
      </c>
      <c r="AH23" s="38" t="s">
        <v>877</v>
      </c>
      <c r="AI23" s="38" t="s">
        <v>878</v>
      </c>
      <c r="AJ23" s="38" t="s">
        <v>879</v>
      </c>
    </row>
    <row r="24" spans="2:36" x14ac:dyDescent="0.15">
      <c r="B24" s="96" t="s">
        <v>997</v>
      </c>
      <c r="C24" s="94">
        <f>SUM(SUMIFS('caseload data'!E:E,'caseload data'!$D:$D,"PO",'caseload data'!$C:$C,'community caseload'!$B$22,'caseload data'!$B:$B,{"licence","community"}))</f>
        <v>0</v>
      </c>
      <c r="D24" s="94">
        <f>SUM(SUMIFS('caseload data'!F:F,'caseload data'!$D:$D,"PO",'caseload data'!$C:$C,'community caseload'!$B$22,'caseload data'!$B:$B,{"licence","community"}))</f>
        <v>0</v>
      </c>
      <c r="E24" s="94">
        <f>SUM(SUMIFS('caseload data'!G:G,'caseload data'!$D:$D,"PO",'caseload data'!$C:$C,'community caseload'!$B$22,'caseload data'!$B:$B,{"licence","community"}))</f>
        <v>0</v>
      </c>
      <c r="F24" s="94">
        <f>SUM(SUMIFS('caseload data'!H:H,'caseload data'!$D:$D,"PO",'caseload data'!$C:$C,'community caseload'!$B$22,'caseload data'!$B:$B,{"licence","community"}))</f>
        <v>0</v>
      </c>
      <c r="G24" s="94">
        <f>SUM(SUMIFS('caseload data'!I:I,'caseload data'!$D:$D,"PO",'caseload data'!$C:$C,'community caseload'!$B$22,'caseload data'!$B:$B,{"licence","community"}))</f>
        <v>0</v>
      </c>
      <c r="H24" s="94">
        <f>SUM(SUMIFS('caseload data'!J:J,'caseload data'!$D:$D,"PO",'caseload data'!$C:$C,'community caseload'!$B$22,'caseload data'!$B:$B,{"licence","community"}))</f>
        <v>0</v>
      </c>
      <c r="I24" s="94">
        <f>SUM(SUMIFS('caseload data'!K:K,'caseload data'!$D:$D,"PO",'caseload data'!$C:$C,'community caseload'!$B$22,'caseload data'!$B:$B,{"licence","community"}))</f>
        <v>0</v>
      </c>
      <c r="J24" s="94">
        <f>SUM(SUMIFS('caseload data'!L:L,'caseload data'!$D:$D,"PO",'caseload data'!$C:$C,'community caseload'!$B$22,'caseload data'!$B:$B,{"licence","community"}))</f>
        <v>0</v>
      </c>
      <c r="K24" s="94">
        <f>SUM(SUMIFS('caseload data'!M:M,'caseload data'!$D:$D,"PO",'caseload data'!$C:$C,'community caseload'!$B$22,'caseload data'!$B:$B,{"licence","community"}))</f>
        <v>0</v>
      </c>
      <c r="L24" s="94">
        <f>SUM(SUMIFS('caseload data'!N:N,'caseload data'!$D:$D,"PO",'caseload data'!$C:$C,'community caseload'!$B$22,'caseload data'!$B:$B,{"licence","community"}))</f>
        <v>0</v>
      </c>
      <c r="M24" s="94">
        <f>SUM(SUMIFS('caseload data'!O:O,'caseload data'!$D:$D,"PO",'caseload data'!$C:$C,'community caseload'!$B$22,'caseload data'!$B:$B,{"licence","community"}))</f>
        <v>0</v>
      </c>
      <c r="N24" s="94">
        <f>SUM(SUMIFS('caseload data'!P:P,'caseload data'!$D:$D,"PO",'caseload data'!$C:$C,'community caseload'!$B$22,'caseload data'!$B:$B,{"licence","community"}))</f>
        <v>0</v>
      </c>
      <c r="O24" s="94">
        <f>SUM(SUMIFS('caseload data'!Q:Q,'caseload data'!$D:$D,"PO",'caseload data'!$C:$C,'community caseload'!$B$22,'caseload data'!$B:$B,{"licence","community"}))</f>
        <v>0</v>
      </c>
      <c r="P24" s="94">
        <f>SUM(SUMIFS('caseload data'!R:R,'caseload data'!$D:$D,"PO",'caseload data'!$C:$C,'community caseload'!$B$22,'caseload data'!$B:$B,{"licence","community"}))</f>
        <v>0</v>
      </c>
      <c r="Q24" s="94">
        <f>SUM(SUMIFS('caseload data'!S:S,'caseload data'!$D:$D,"PO",'caseload data'!$C:$C,'community caseload'!$B$22,'caseload data'!$B:$B,{"licence","community"}))</f>
        <v>0</v>
      </c>
      <c r="R24" s="94">
        <f>SUM(SUMIFS('caseload data'!T:T,'caseload data'!$D:$D,"PO",'caseload data'!$C:$C,'community caseload'!$B$22,'caseload data'!$B:$B,{"licence","community"}))</f>
        <v>0</v>
      </c>
      <c r="S24" s="64"/>
      <c r="T24" s="96" t="s">
        <v>997</v>
      </c>
      <c r="U24" s="94">
        <f>SUM(SUMIFS('caseload data'!E:E,'caseload data'!$D:$D,"PO",'caseload data'!$C:$C,'community caseload'!$T$22,'caseload data'!$B:$B,{"licence","community"}))</f>
        <v>0</v>
      </c>
      <c r="V24" s="94">
        <f>SUM(SUMIFS('caseload data'!F:F,'caseload data'!$D:$D,"PO",'caseload data'!$C:$C,'community caseload'!$T$22,'caseload data'!$B:$B,{"licence","community"}))</f>
        <v>0</v>
      </c>
      <c r="W24" s="94">
        <f>SUM(SUMIFS('caseload data'!G:G,'caseload data'!$D:$D,"PO",'caseload data'!$C:$C,'community caseload'!$T$22,'caseload data'!$B:$B,{"licence","community"}))</f>
        <v>0</v>
      </c>
      <c r="X24" s="94">
        <f>SUM(SUMIFS('caseload data'!H:H,'caseload data'!$D:$D,"PO",'caseload data'!$C:$C,'community caseload'!$T$22,'caseload data'!$B:$B,{"licence","community"}))</f>
        <v>0</v>
      </c>
      <c r="Y24" s="94">
        <f>SUM(SUMIFS('caseload data'!I:I,'caseload data'!$D:$D,"PO",'caseload data'!$C:$C,'community caseload'!$T$22,'caseload data'!$B:$B,{"licence","community"}))</f>
        <v>0</v>
      </c>
      <c r="Z24" s="94">
        <f>SUM(SUMIFS('caseload data'!J:J,'caseload data'!$D:$D,"PO",'caseload data'!$C:$C,'community caseload'!$T$22,'caseload data'!$B:$B,{"licence","community"}))</f>
        <v>0</v>
      </c>
      <c r="AA24" s="94">
        <f>SUM(SUMIFS('caseload data'!K:K,'caseload data'!$D:$D,"PO",'caseload data'!$C:$C,'community caseload'!$T$22,'caseload data'!$B:$B,{"licence","community"}))</f>
        <v>0</v>
      </c>
      <c r="AB24" s="94">
        <f>SUM(SUMIFS('caseload data'!L:L,'caseload data'!$D:$D,"PO",'caseload data'!$C:$C,'community caseload'!$T$22,'caseload data'!$B:$B,{"licence","community"}))</f>
        <v>0</v>
      </c>
      <c r="AC24" s="94">
        <f>SUM(SUMIFS('caseload data'!M:M,'caseload data'!$D:$D,"PO",'caseload data'!$C:$C,'community caseload'!$T$22,'caseload data'!$B:$B,{"licence","community"}))</f>
        <v>0</v>
      </c>
      <c r="AD24" s="94">
        <f>SUM(SUMIFS('caseload data'!N:N,'caseload data'!$D:$D,"PO",'caseload data'!$C:$C,'community caseload'!$T$22,'caseload data'!$B:$B,{"licence","community"}))</f>
        <v>0</v>
      </c>
      <c r="AE24" s="94">
        <f>SUM(SUMIFS('caseload data'!O:O,'caseload data'!$D:$D,"PO",'caseload data'!$C:$C,'community caseload'!$T$22,'caseload data'!$B:$B,{"licence","community"}))</f>
        <v>0</v>
      </c>
      <c r="AF24" s="94">
        <f>SUM(SUMIFS('caseload data'!P:P,'caseload data'!$D:$D,"PO",'caseload data'!$C:$C,'community caseload'!$T$22,'caseload data'!$B:$B,{"licence","community"}))</f>
        <v>0</v>
      </c>
      <c r="AG24" s="94">
        <f>SUM(SUMIFS('caseload data'!Q:Q,'caseload data'!$D:$D,"PO",'caseload data'!$C:$C,'community caseload'!$T$22,'caseload data'!$B:$B,{"licence","community"}))</f>
        <v>0</v>
      </c>
      <c r="AH24" s="94">
        <f>SUM(SUMIFS('caseload data'!R:R,'caseload data'!$D:$D,"PO",'caseload data'!$C:$C,'community caseload'!$T$22,'caseload data'!$B:$B,{"licence","community"}))</f>
        <v>0</v>
      </c>
      <c r="AI24" s="94">
        <f>SUM(SUMIFS('caseload data'!S:S,'caseload data'!$D:$D,"PO",'caseload data'!$C:$C,'community caseload'!$T$22,'caseload data'!$B:$B,{"licence","community"}))</f>
        <v>0</v>
      </c>
      <c r="AJ24" s="94">
        <f>SUM(SUMIFS('caseload data'!T:T,'caseload data'!$D:$D,"PO",'caseload data'!$C:$C,'community caseload'!$T$22,'caseload data'!$B:$B,{"licence","community"}))</f>
        <v>0</v>
      </c>
    </row>
    <row r="25" spans="2:36" x14ac:dyDescent="0.15">
      <c r="B25" s="97" t="s">
        <v>1002</v>
      </c>
      <c r="C25" s="94">
        <f>SUM(SUMIFS('caseload data'!E:E,'caseload data'!$D:$D,"PSO",'caseload data'!$C:$C,'community caseload'!$B$22,'caseload data'!$B:$B,{"licence","community"}))</f>
        <v>0</v>
      </c>
      <c r="D25" s="94">
        <f>SUM(SUMIFS('caseload data'!F:F,'caseload data'!$D:$D,"PSO",'caseload data'!$C:$C,'community caseload'!$B$22,'caseload data'!$B:$B,{"licence","community"}))</f>
        <v>0</v>
      </c>
      <c r="E25" s="94">
        <f>SUM(SUMIFS('caseload data'!G:G,'caseload data'!$D:$D,"PSO",'caseload data'!$C:$C,'community caseload'!$B$22,'caseload data'!$B:$B,{"licence","community"}))</f>
        <v>0</v>
      </c>
      <c r="F25" s="94">
        <f>SUM(SUMIFS('caseload data'!H:H,'caseload data'!$D:$D,"PSO",'caseload data'!$C:$C,'community caseload'!$B$22,'caseload data'!$B:$B,{"licence","community"}))</f>
        <v>0</v>
      </c>
      <c r="G25" s="94">
        <f>SUM(SUMIFS('caseload data'!I:I,'caseload data'!$D:$D,"PSO",'caseload data'!$C:$C,'community caseload'!$B$22,'caseload data'!$B:$B,{"licence","community"}))</f>
        <v>0</v>
      </c>
      <c r="H25" s="94">
        <f>SUM(SUMIFS('caseload data'!J:J,'caseload data'!$D:$D,"PSO",'caseload data'!$C:$C,'community caseload'!$B$22,'caseload data'!$B:$B,{"licence","community"}))</f>
        <v>0</v>
      </c>
      <c r="I25" s="94">
        <f>SUM(SUMIFS('caseload data'!K:K,'caseload data'!$D:$D,"PSO",'caseload data'!$C:$C,'community caseload'!$B$22,'caseload data'!$B:$B,{"licence","community"}))</f>
        <v>0</v>
      </c>
      <c r="J25" s="94">
        <f>SUM(SUMIFS('caseload data'!L:L,'caseload data'!$D:$D,"PSO",'caseload data'!$C:$C,'community caseload'!$B$22,'caseload data'!$B:$B,{"licence","community"}))</f>
        <v>0</v>
      </c>
      <c r="K25" s="94">
        <f>SUM(SUMIFS('caseload data'!M:M,'caseload data'!$D:$D,"PSO",'caseload data'!$C:$C,'community caseload'!$B$22,'caseload data'!$B:$B,{"licence","community"}))</f>
        <v>0</v>
      </c>
      <c r="L25" s="94">
        <f>SUM(SUMIFS('caseload data'!N:N,'caseload data'!$D:$D,"PSO",'caseload data'!$C:$C,'community caseload'!$B$22,'caseload data'!$B:$B,{"licence","community"}))</f>
        <v>0</v>
      </c>
      <c r="M25" s="94">
        <f>SUM(SUMIFS('caseload data'!O:O,'caseload data'!$D:$D,"PSO",'caseload data'!$C:$C,'community caseload'!$B$22,'caseload data'!$B:$B,{"licence","community"}))</f>
        <v>0</v>
      </c>
      <c r="N25" s="94">
        <f>SUM(SUMIFS('caseload data'!P:P,'caseload data'!$D:$D,"PSO",'caseload data'!$C:$C,'community caseload'!$B$22,'caseload data'!$B:$B,{"licence","community"}))</f>
        <v>0</v>
      </c>
      <c r="O25" s="94">
        <f>SUM(SUMIFS('caseload data'!Q:Q,'caseload data'!$D:$D,"PSO",'caseload data'!$C:$C,'community caseload'!$B$22,'caseload data'!$B:$B,{"licence","community"}))</f>
        <v>0</v>
      </c>
      <c r="P25" s="94">
        <f>SUM(SUMIFS('caseload data'!R:R,'caseload data'!$D:$D,"PSO",'caseload data'!$C:$C,'community caseload'!$B$22,'caseload data'!$B:$B,{"licence","community"}))</f>
        <v>0</v>
      </c>
      <c r="Q25" s="94">
        <f>SUM(SUMIFS('caseload data'!S:S,'caseload data'!$D:$D,"PSO",'caseload data'!$C:$C,'community caseload'!$B$22,'caseload data'!$B:$B,{"licence","community"}))</f>
        <v>0</v>
      </c>
      <c r="R25" s="94">
        <f>SUM(SUMIFS('caseload data'!T:T,'caseload data'!$D:$D,"PSO",'caseload data'!$C:$C,'community caseload'!$B$22,'caseload data'!$B:$B,{"licence","community"}))</f>
        <v>0</v>
      </c>
      <c r="S25" s="64"/>
      <c r="T25" s="97" t="s">
        <v>1002</v>
      </c>
      <c r="U25" s="94">
        <f>SUM(SUMIFS('caseload data'!E:E,'caseload data'!$D:$D,"PSO",'caseload data'!$C:$C,'community caseload'!$T$22,'caseload data'!$B:$B,{"licence","community"}))</f>
        <v>0</v>
      </c>
      <c r="V25" s="94">
        <f>SUM(SUMIFS('caseload data'!F:F,'caseload data'!$D:$D,"PSO",'caseload data'!$C:$C,'community caseload'!$T$22,'caseload data'!$B:$B,{"licence","community"}))</f>
        <v>0</v>
      </c>
      <c r="W25" s="94">
        <f>SUM(SUMIFS('caseload data'!G:G,'caseload data'!$D:$D,"PSO",'caseload data'!$C:$C,'community caseload'!$T$22,'caseload data'!$B:$B,{"licence","community"}))</f>
        <v>0</v>
      </c>
      <c r="X25" s="94">
        <f>SUM(SUMIFS('caseload data'!H:H,'caseload data'!$D:$D,"PSO",'caseload data'!$C:$C,'community caseload'!$T$22,'caseload data'!$B:$B,{"licence","community"}))</f>
        <v>0</v>
      </c>
      <c r="Y25" s="94">
        <f>SUM(SUMIFS('caseload data'!I:I,'caseload data'!$D:$D,"PSO",'caseload data'!$C:$C,'community caseload'!$T$22,'caseload data'!$B:$B,{"licence","community"}))</f>
        <v>0</v>
      </c>
      <c r="Z25" s="94">
        <f>SUM(SUMIFS('caseload data'!J:J,'caseload data'!$D:$D,"PSO",'caseload data'!$C:$C,'community caseload'!$T$22,'caseload data'!$B:$B,{"licence","community"}))</f>
        <v>0</v>
      </c>
      <c r="AA25" s="94">
        <f>SUM(SUMIFS('caseload data'!K:K,'caseload data'!$D:$D,"PSO",'caseload data'!$C:$C,'community caseload'!$T$22,'caseload data'!$B:$B,{"licence","community"}))</f>
        <v>0</v>
      </c>
      <c r="AB25" s="94">
        <f>SUM(SUMIFS('caseload data'!L:L,'caseload data'!$D:$D,"PSO",'caseload data'!$C:$C,'community caseload'!$T$22,'caseload data'!$B:$B,{"licence","community"}))</f>
        <v>0</v>
      </c>
      <c r="AC25" s="94">
        <f>SUM(SUMIFS('caseload data'!M:M,'caseload data'!$D:$D,"PSO",'caseload data'!$C:$C,'community caseload'!$T$22,'caseload data'!$B:$B,{"licence","community"}))</f>
        <v>0</v>
      </c>
      <c r="AD25" s="94">
        <f>SUM(SUMIFS('caseload data'!N:N,'caseload data'!$D:$D,"PSO",'caseload data'!$C:$C,'community caseload'!$T$22,'caseload data'!$B:$B,{"licence","community"}))</f>
        <v>0</v>
      </c>
      <c r="AE25" s="94">
        <f>SUM(SUMIFS('caseload data'!O:O,'caseload data'!$D:$D,"PSO",'caseload data'!$C:$C,'community caseload'!$T$22,'caseload data'!$B:$B,{"licence","community"}))</f>
        <v>0</v>
      </c>
      <c r="AF25" s="94">
        <f>SUM(SUMIFS('caseload data'!P:P,'caseload data'!$D:$D,"PSO",'caseload data'!$C:$C,'community caseload'!$T$22,'caseload data'!$B:$B,{"licence","community"}))</f>
        <v>0</v>
      </c>
      <c r="AG25" s="94">
        <f>SUM(SUMIFS('caseload data'!Q:Q,'caseload data'!$D:$D,"PSO",'caseload data'!$C:$C,'community caseload'!$T$22,'caseload data'!$B:$B,{"licence","community"}))</f>
        <v>0</v>
      </c>
      <c r="AH25" s="94">
        <f>SUM(SUMIFS('caseload data'!R:R,'caseload data'!$D:$D,"PSO",'caseload data'!$C:$C,'community caseload'!$T$22,'caseload data'!$B:$B,{"licence","community"}))</f>
        <v>0</v>
      </c>
      <c r="AI25" s="94">
        <f>SUM(SUMIFS('caseload data'!S:S,'caseload data'!$D:$D,"PSO",'caseload data'!$C:$C,'community caseload'!$T$22,'caseload data'!$B:$B,{"licence","community"}))</f>
        <v>0</v>
      </c>
      <c r="AJ25" s="94">
        <f>SUM(SUMIFS('caseload data'!T:T,'caseload data'!$D:$D,"PSO",'caseload data'!$C:$C,'community caseload'!$T$22,'caseload data'!$B:$B,{"licence","community"}))</f>
        <v>0</v>
      </c>
    </row>
    <row r="26" spans="2:36" x14ac:dyDescent="0.15">
      <c r="B26" s="97" t="s">
        <v>1003</v>
      </c>
      <c r="C26" s="94">
        <f>SUM(SUMIFS('caseload data'!E:E,'caseload data'!$D:$D,"TPO",'caseload data'!$C:$C,'community caseload'!$B$22,'caseload data'!$B:$B,{"licence","community"}))</f>
        <v>0</v>
      </c>
      <c r="D26" s="94">
        <f>SUM(SUMIFS('caseload data'!F:F,'caseload data'!$D:$D,"TPO",'caseload data'!$C:$C,'community caseload'!$B$22,'caseload data'!$B:$B,{"licence","community"}))</f>
        <v>0</v>
      </c>
      <c r="E26" s="94">
        <f>SUM(SUMIFS('caseload data'!G:G,'caseload data'!$D:$D,"TPO",'caseload data'!$C:$C,'community caseload'!$B$22,'caseload data'!$B:$B,{"licence","community"}))</f>
        <v>0</v>
      </c>
      <c r="F26" s="94">
        <f>SUM(SUMIFS('caseload data'!H:H,'caseload data'!$D:$D,"TPO",'caseload data'!$C:$C,'community caseload'!$B$22,'caseload data'!$B:$B,{"licence","community"}))</f>
        <v>0</v>
      </c>
      <c r="G26" s="94">
        <f>SUM(SUMIFS('caseload data'!I:I,'caseload data'!$D:$D,"TPO",'caseload data'!$C:$C,'community caseload'!$B$22,'caseload data'!$B:$B,{"licence","community"}))</f>
        <v>0</v>
      </c>
      <c r="H26" s="94">
        <f>SUM(SUMIFS('caseload data'!J:J,'caseload data'!$D:$D,"TPO",'caseload data'!$C:$C,'community caseload'!$B$22,'caseload data'!$B:$B,{"licence","community"}))</f>
        <v>0</v>
      </c>
      <c r="I26" s="94">
        <f>SUM(SUMIFS('caseload data'!K:K,'caseload data'!$D:$D,"TPO",'caseload data'!$C:$C,'community caseload'!$B$22,'caseload data'!$B:$B,{"licence","community"}))</f>
        <v>0</v>
      </c>
      <c r="J26" s="94">
        <f>SUM(SUMIFS('caseload data'!L:L,'caseload data'!$D:$D,"TPO",'caseload data'!$C:$C,'community caseload'!$B$22,'caseload data'!$B:$B,{"licence","community"}))</f>
        <v>0</v>
      </c>
      <c r="K26" s="94">
        <f>SUM(SUMIFS('caseload data'!M:M,'caseload data'!$D:$D,"TPO",'caseload data'!$C:$C,'community caseload'!$B$22,'caseload data'!$B:$B,{"licence","community"}))</f>
        <v>0</v>
      </c>
      <c r="L26" s="94">
        <f>SUM(SUMIFS('caseload data'!N:N,'caseload data'!$D:$D,"TPO",'caseload data'!$C:$C,'community caseload'!$B$22,'caseload data'!$B:$B,{"licence","community"}))</f>
        <v>0</v>
      </c>
      <c r="M26" s="94">
        <f>SUM(SUMIFS('caseload data'!O:O,'caseload data'!$D:$D,"TPO",'caseload data'!$C:$C,'community caseload'!$B$22,'caseload data'!$B:$B,{"licence","community"}))</f>
        <v>0</v>
      </c>
      <c r="N26" s="94">
        <f>SUM(SUMIFS('caseload data'!P:P,'caseload data'!$D:$D,"TPO",'caseload data'!$C:$C,'community caseload'!$B$22,'caseload data'!$B:$B,{"licence","community"}))</f>
        <v>0</v>
      </c>
      <c r="O26" s="94">
        <f>SUM(SUMIFS('caseload data'!Q:Q,'caseload data'!$D:$D,"TPO",'caseload data'!$C:$C,'community caseload'!$B$22,'caseload data'!$B:$B,{"licence","community"}))</f>
        <v>0</v>
      </c>
      <c r="P26" s="94">
        <f>SUM(SUMIFS('caseload data'!R:R,'caseload data'!$D:$D,"TPO",'caseload data'!$C:$C,'community caseload'!$B$22,'caseload data'!$B:$B,{"licence","community"}))</f>
        <v>0</v>
      </c>
      <c r="Q26" s="94">
        <f>SUM(SUMIFS('caseload data'!S:S,'caseload data'!$D:$D,"TPO",'caseload data'!$C:$C,'community caseload'!$B$22,'caseload data'!$B:$B,{"licence","community"}))</f>
        <v>0</v>
      </c>
      <c r="R26" s="94">
        <f>SUM(SUMIFS('caseload data'!T:T,'caseload data'!$D:$D,"TPO",'caseload data'!$C:$C,'community caseload'!$B$22,'caseload data'!$B:$B,{"licence","community"}))</f>
        <v>0</v>
      </c>
      <c r="S26" s="64"/>
      <c r="T26" s="97" t="s">
        <v>1003</v>
      </c>
      <c r="U26" s="94">
        <f>SUM(SUMIFS('caseload data'!E:E,'caseload data'!$D:$D,"TPO",'caseload data'!$C:$C,'community caseload'!$T$22,'caseload data'!$B:$B,{"licence","community"}))</f>
        <v>0</v>
      </c>
      <c r="V26" s="94">
        <f>SUM(SUMIFS('caseload data'!F:F,'caseload data'!$D:$D,"TPO",'caseload data'!$C:$C,'community caseload'!$T$22,'caseload data'!$B:$B,{"licence","community"}))</f>
        <v>0</v>
      </c>
      <c r="W26" s="94">
        <f>SUM(SUMIFS('caseload data'!G:G,'caseload data'!$D:$D,"TPO",'caseload data'!$C:$C,'community caseload'!$T$22,'caseload data'!$B:$B,{"licence","community"}))</f>
        <v>0</v>
      </c>
      <c r="X26" s="94">
        <f>SUM(SUMIFS('caseload data'!H:H,'caseload data'!$D:$D,"TPO",'caseload data'!$C:$C,'community caseload'!$T$22,'caseload data'!$B:$B,{"licence","community"}))</f>
        <v>0</v>
      </c>
      <c r="Y26" s="94">
        <f>SUM(SUMIFS('caseload data'!I:I,'caseload data'!$D:$D,"TPO",'caseload data'!$C:$C,'community caseload'!$T$22,'caseload data'!$B:$B,{"licence","community"}))</f>
        <v>0</v>
      </c>
      <c r="Z26" s="94">
        <f>SUM(SUMIFS('caseload data'!J:J,'caseload data'!$D:$D,"TPO",'caseload data'!$C:$C,'community caseload'!$T$22,'caseload data'!$B:$B,{"licence","community"}))</f>
        <v>0</v>
      </c>
      <c r="AA26" s="94">
        <f>SUM(SUMIFS('caseload data'!K:K,'caseload data'!$D:$D,"TPO",'caseload data'!$C:$C,'community caseload'!$T$22,'caseload data'!$B:$B,{"licence","community"}))</f>
        <v>0</v>
      </c>
      <c r="AB26" s="94">
        <f>SUM(SUMIFS('caseload data'!L:L,'caseload data'!$D:$D,"TPO",'caseload data'!$C:$C,'community caseload'!$T$22,'caseload data'!$B:$B,{"licence","community"}))</f>
        <v>0</v>
      </c>
      <c r="AC26" s="94">
        <f>SUM(SUMIFS('caseload data'!M:M,'caseload data'!$D:$D,"TPO",'caseload data'!$C:$C,'community caseload'!$T$22,'caseload data'!$B:$B,{"licence","community"}))</f>
        <v>0</v>
      </c>
      <c r="AD26" s="94">
        <f>SUM(SUMIFS('caseload data'!N:N,'caseload data'!$D:$D,"TPO",'caseload data'!$C:$C,'community caseload'!$T$22,'caseload data'!$B:$B,{"licence","community"}))</f>
        <v>0</v>
      </c>
      <c r="AE26" s="94">
        <f>SUM(SUMIFS('caseload data'!O:O,'caseload data'!$D:$D,"TPO",'caseload data'!$C:$C,'community caseload'!$T$22,'caseload data'!$B:$B,{"licence","community"}))</f>
        <v>0</v>
      </c>
      <c r="AF26" s="94">
        <f>SUM(SUMIFS('caseload data'!P:P,'caseload data'!$D:$D,"TPO",'caseload data'!$C:$C,'community caseload'!$T$22,'caseload data'!$B:$B,{"licence","community"}))</f>
        <v>0</v>
      </c>
      <c r="AG26" s="94">
        <f>SUM(SUMIFS('caseload data'!Q:Q,'caseload data'!$D:$D,"TPO",'caseload data'!$C:$C,'community caseload'!$T$22,'caseload data'!$B:$B,{"licence","community"}))</f>
        <v>0</v>
      </c>
      <c r="AH26" s="94">
        <f>SUM(SUMIFS('caseload data'!R:R,'caseload data'!$D:$D,"TPO",'caseload data'!$C:$C,'community caseload'!$T$22,'caseload data'!$B:$B,{"licence","community"}))</f>
        <v>0</v>
      </c>
      <c r="AI26" s="94">
        <f>SUM(SUMIFS('caseload data'!S:S,'caseload data'!$D:$D,"TPO",'caseload data'!$C:$C,'community caseload'!$T$22,'caseload data'!$B:$B,{"licence","community"}))</f>
        <v>0</v>
      </c>
      <c r="AJ26" s="94">
        <f>SUM(SUMIFS('caseload data'!T:T,'caseload data'!$D:$D,"TPO",'caseload data'!$C:$C,'community caseload'!$T$22,'caseload data'!$B:$B,{"licence","community"}))</f>
        <v>0</v>
      </c>
    </row>
    <row r="27" spans="2:36" x14ac:dyDescent="0.15">
      <c r="B27" s="98" t="s">
        <v>1004</v>
      </c>
      <c r="C27" s="94">
        <f>SUM(SUMIFS('caseload data'!E:E,'caseload data'!$D:$D,"SPO",'caseload data'!$C:$C,'community caseload'!$B$22,'caseload data'!$B:$B,{"licence","community"}))</f>
        <v>0</v>
      </c>
      <c r="D27" s="94">
        <f>SUM(SUMIFS('caseload data'!F:F,'caseload data'!$D:$D,"SPO",'caseload data'!$C:$C,'community caseload'!$B$22,'caseload data'!$B:$B,{"licence","community"}))</f>
        <v>0</v>
      </c>
      <c r="E27" s="94">
        <f>SUM(SUMIFS('caseload data'!G:G,'caseload data'!$D:$D,"SPO",'caseload data'!$C:$C,'community caseload'!$B$22,'caseload data'!$B:$B,{"licence","community"}))</f>
        <v>0</v>
      </c>
      <c r="F27" s="94">
        <f>SUM(SUMIFS('caseload data'!H:H,'caseload data'!$D:$D,"SPO",'caseload data'!$C:$C,'community caseload'!$B$22,'caseload data'!$B:$B,{"licence","community"}))</f>
        <v>0</v>
      </c>
      <c r="G27" s="94">
        <f>SUM(SUMIFS('caseload data'!I:I,'caseload data'!$D:$D,"SPO",'caseload data'!$C:$C,'community caseload'!$B$22,'caseload data'!$B:$B,{"licence","community"}))</f>
        <v>0</v>
      </c>
      <c r="H27" s="94">
        <f>SUM(SUMIFS('caseload data'!J:J,'caseload data'!$D:$D,"SPO",'caseload data'!$C:$C,'community caseload'!$B$22,'caseload data'!$B:$B,{"licence","community"}))</f>
        <v>0</v>
      </c>
      <c r="I27" s="94">
        <f>SUM(SUMIFS('caseload data'!K:K,'caseload data'!$D:$D,"SPO",'caseload data'!$C:$C,'community caseload'!$B$22,'caseload data'!$B:$B,{"licence","community"}))</f>
        <v>0</v>
      </c>
      <c r="J27" s="94">
        <f>SUM(SUMIFS('caseload data'!L:L,'caseload data'!$D:$D,"SPO",'caseload data'!$C:$C,'community caseload'!$B$22,'caseload data'!$B:$B,{"licence","community"}))</f>
        <v>0</v>
      </c>
      <c r="K27" s="94">
        <f>SUM(SUMIFS('caseload data'!M:M,'caseload data'!$D:$D,"SPO",'caseload data'!$C:$C,'community caseload'!$B$22,'caseload data'!$B:$B,{"licence","community"}))</f>
        <v>0</v>
      </c>
      <c r="L27" s="94">
        <f>SUM(SUMIFS('caseload data'!N:N,'caseload data'!$D:$D,"SPO",'caseload data'!$C:$C,'community caseload'!$B$22,'caseload data'!$B:$B,{"licence","community"}))</f>
        <v>0</v>
      </c>
      <c r="M27" s="94">
        <f>SUM(SUMIFS('caseload data'!O:O,'caseload data'!$D:$D,"SPO",'caseload data'!$C:$C,'community caseload'!$B$22,'caseload data'!$B:$B,{"licence","community"}))</f>
        <v>0</v>
      </c>
      <c r="N27" s="94">
        <f>SUM(SUMIFS('caseload data'!P:P,'caseload data'!$D:$D,"SPO",'caseload data'!$C:$C,'community caseload'!$B$22,'caseload data'!$B:$B,{"licence","community"}))</f>
        <v>0</v>
      </c>
      <c r="O27" s="94">
        <f>SUM(SUMIFS('caseload data'!Q:Q,'caseload data'!$D:$D,"SPO",'caseload data'!$C:$C,'community caseload'!$B$22,'caseload data'!$B:$B,{"licence","community"}))</f>
        <v>0</v>
      </c>
      <c r="P27" s="94">
        <f>SUM(SUMIFS('caseload data'!R:R,'caseload data'!$D:$D,"SPO",'caseload data'!$C:$C,'community caseload'!$B$22,'caseload data'!$B:$B,{"licence","community"}))</f>
        <v>0</v>
      </c>
      <c r="Q27" s="94">
        <f>SUM(SUMIFS('caseload data'!S:S,'caseload data'!$D:$D,"SPO",'caseload data'!$C:$C,'community caseload'!$B$22,'caseload data'!$B:$B,{"licence","community"}))</f>
        <v>0</v>
      </c>
      <c r="R27" s="94">
        <f>SUM(SUMIFS('caseload data'!T:T,'caseload data'!$D:$D,"SPO",'caseload data'!$C:$C,'community caseload'!$B$22,'caseload data'!$B:$B,{"licence","community"}))</f>
        <v>0</v>
      </c>
      <c r="S27" s="64"/>
      <c r="T27" s="98" t="s">
        <v>1004</v>
      </c>
      <c r="U27" s="94">
        <f>SUM(SUMIFS('caseload data'!E:E,'caseload data'!$D:$D,"SPO",'caseload data'!$C:$C,'community caseload'!$T$22,'caseload data'!$B:$B,{"licence","community"}))</f>
        <v>0</v>
      </c>
      <c r="V27" s="94">
        <f>SUM(SUMIFS('caseload data'!F:F,'caseload data'!$D:$D,"SPO",'caseload data'!$C:$C,'community caseload'!$T$22,'caseload data'!$B:$B,{"licence","community"}))</f>
        <v>0</v>
      </c>
      <c r="W27" s="94">
        <f>SUM(SUMIFS('caseload data'!G:G,'caseload data'!$D:$D,"SPO",'caseload data'!$C:$C,'community caseload'!$T$22,'caseload data'!$B:$B,{"licence","community"}))</f>
        <v>0</v>
      </c>
      <c r="X27" s="94">
        <f>SUM(SUMIFS('caseload data'!H:H,'caseload data'!$D:$D,"SPO",'caseload data'!$C:$C,'community caseload'!$T$22,'caseload data'!$B:$B,{"licence","community"}))</f>
        <v>0</v>
      </c>
      <c r="Y27" s="94">
        <f>SUM(SUMIFS('caseload data'!I:I,'caseload data'!$D:$D,"SPO",'caseload data'!$C:$C,'community caseload'!$T$22,'caseload data'!$B:$B,{"licence","community"}))</f>
        <v>0</v>
      </c>
      <c r="Z27" s="94">
        <f>SUM(SUMIFS('caseload data'!J:J,'caseload data'!$D:$D,"SPO",'caseload data'!$C:$C,'community caseload'!$T$22,'caseload data'!$B:$B,{"licence","community"}))</f>
        <v>0</v>
      </c>
      <c r="AA27" s="94">
        <f>SUM(SUMIFS('caseload data'!K:K,'caseload data'!$D:$D,"SPO",'caseload data'!$C:$C,'community caseload'!$T$22,'caseload data'!$B:$B,{"licence","community"}))</f>
        <v>0</v>
      </c>
      <c r="AB27" s="94">
        <f>SUM(SUMIFS('caseload data'!L:L,'caseload data'!$D:$D,"SPO",'caseload data'!$C:$C,'community caseload'!$T$22,'caseload data'!$B:$B,{"licence","community"}))</f>
        <v>0</v>
      </c>
      <c r="AC27" s="94">
        <f>SUM(SUMIFS('caseload data'!M:M,'caseload data'!$D:$D,"SPO",'caseload data'!$C:$C,'community caseload'!$T$22,'caseload data'!$B:$B,{"licence","community"}))</f>
        <v>0</v>
      </c>
      <c r="AD27" s="94">
        <f>SUM(SUMIFS('caseload data'!N:N,'caseload data'!$D:$D,"SPO",'caseload data'!$C:$C,'community caseload'!$T$22,'caseload data'!$B:$B,{"licence","community"}))</f>
        <v>0</v>
      </c>
      <c r="AE27" s="94">
        <f>SUM(SUMIFS('caseload data'!O:O,'caseload data'!$D:$D,"SPO",'caseload data'!$C:$C,'community caseload'!$T$22,'caseload data'!$B:$B,{"licence","community"}))</f>
        <v>0</v>
      </c>
      <c r="AF27" s="94">
        <f>SUM(SUMIFS('caseload data'!P:P,'caseload data'!$D:$D,"SPO",'caseload data'!$C:$C,'community caseload'!$T$22,'caseload data'!$B:$B,{"licence","community"}))</f>
        <v>0</v>
      </c>
      <c r="AG27" s="94">
        <f>SUM(SUMIFS('caseload data'!Q:Q,'caseload data'!$D:$D,"SPO",'caseload data'!$C:$C,'community caseload'!$T$22,'caseload data'!$B:$B,{"licence","community"}))</f>
        <v>0</v>
      </c>
      <c r="AH27" s="94">
        <f>SUM(SUMIFS('caseload data'!R:R,'caseload data'!$D:$D,"SPO",'caseload data'!$C:$C,'community caseload'!$T$22,'caseload data'!$B:$B,{"licence","community"}))</f>
        <v>0</v>
      </c>
      <c r="AI27" s="94">
        <f>SUM(SUMIFS('caseload data'!S:S,'caseload data'!$D:$D,"SPO",'caseload data'!$C:$C,'community caseload'!$T$22,'caseload data'!$B:$B,{"licence","community"}))</f>
        <v>0</v>
      </c>
      <c r="AJ27" s="94">
        <f>SUM(SUMIFS('caseload data'!T:T,'caseload data'!$D:$D,"SPO",'caseload data'!$C:$C,'community caseload'!$T$22,'caseload data'!$B:$B,{"licence","community"}))</f>
        <v>0</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36" customHeight="1" x14ac:dyDescent="0.15">
      <c r="B29" s="289" t="str">
        <f>HLOOKUP($B$5,Region_Table,8,0)</f>
        <v>Nottinghamshire - N53</v>
      </c>
      <c r="C29" s="509" t="s">
        <v>1130</v>
      </c>
      <c r="D29" s="510"/>
      <c r="E29" s="510"/>
      <c r="F29" s="510"/>
      <c r="G29" s="510"/>
      <c r="H29" s="510"/>
      <c r="I29" s="510"/>
      <c r="J29" s="510"/>
      <c r="K29" s="510"/>
      <c r="L29" s="510"/>
      <c r="M29" s="539"/>
      <c r="N29" s="539"/>
      <c r="O29" s="540"/>
      <c r="P29" s="512" cm="1">
        <f t="array" ref="P29">SUM(SUMIFS('caseload data'!V:V,'caseload data'!B:B,{"licence","community"},'caseload data'!$C:$C,'community caseload'!B29))</f>
        <v>0</v>
      </c>
      <c r="Q29" s="529"/>
      <c r="R29" s="530"/>
      <c r="S29" s="291"/>
      <c r="T29" s="289" t="str">
        <f>HLOOKUP($B$5,Region_Table,9,0)</f>
        <v>Unpaid Work and Attendance Centres - N53</v>
      </c>
      <c r="U29" s="509" t="s">
        <v>1130</v>
      </c>
      <c r="V29" s="510"/>
      <c r="W29" s="510"/>
      <c r="X29" s="510"/>
      <c r="Y29" s="510"/>
      <c r="Z29" s="510"/>
      <c r="AA29" s="510"/>
      <c r="AB29" s="510"/>
      <c r="AC29" s="510"/>
      <c r="AD29" s="510"/>
      <c r="AE29" s="539"/>
      <c r="AF29" s="539"/>
      <c r="AG29" s="540"/>
      <c r="AH29" s="512" cm="1">
        <f t="array" ref="AH29">SUM(SUMIFS('caseload data'!V:V,'caseload data'!B:B,{"licence","community"},'caseload data'!$C:$C,'community caseload'!T29))</f>
        <v>0</v>
      </c>
      <c r="AI29" s="529"/>
      <c r="AJ29" s="530"/>
    </row>
    <row r="30" spans="2:36" x14ac:dyDescent="0.15">
      <c r="B30" s="95" t="s">
        <v>1000</v>
      </c>
      <c r="C30" s="38" t="s">
        <v>864</v>
      </c>
      <c r="D30" s="38" t="s">
        <v>865</v>
      </c>
      <c r="E30" s="38" t="s">
        <v>866</v>
      </c>
      <c r="F30" s="38" t="s">
        <v>867</v>
      </c>
      <c r="G30" s="38" t="s">
        <v>868</v>
      </c>
      <c r="H30" s="38" t="s">
        <v>869</v>
      </c>
      <c r="I30" s="38" t="s">
        <v>870</v>
      </c>
      <c r="J30" s="38" t="s">
        <v>871</v>
      </c>
      <c r="K30" s="38" t="s">
        <v>872</v>
      </c>
      <c r="L30" s="38" t="s">
        <v>873</v>
      </c>
      <c r="M30" s="38" t="s">
        <v>874</v>
      </c>
      <c r="N30" s="38" t="s">
        <v>875</v>
      </c>
      <c r="O30" s="38" t="s">
        <v>876</v>
      </c>
      <c r="P30" s="38" t="s">
        <v>877</v>
      </c>
      <c r="Q30" s="38" t="s">
        <v>878</v>
      </c>
      <c r="R30" s="38" t="s">
        <v>879</v>
      </c>
      <c r="S30" s="64"/>
      <c r="T30" s="95" t="s">
        <v>1000</v>
      </c>
      <c r="U30" s="38" t="s">
        <v>864</v>
      </c>
      <c r="V30" s="38" t="s">
        <v>865</v>
      </c>
      <c r="W30" s="38" t="s">
        <v>866</v>
      </c>
      <c r="X30" s="38" t="s">
        <v>867</v>
      </c>
      <c r="Y30" s="38" t="s">
        <v>868</v>
      </c>
      <c r="Z30" s="38" t="s">
        <v>869</v>
      </c>
      <c r="AA30" s="38" t="s">
        <v>870</v>
      </c>
      <c r="AB30" s="38" t="s">
        <v>871</v>
      </c>
      <c r="AC30" s="38" t="s">
        <v>872</v>
      </c>
      <c r="AD30" s="38" t="s">
        <v>873</v>
      </c>
      <c r="AE30" s="38" t="s">
        <v>874</v>
      </c>
      <c r="AF30" s="38" t="s">
        <v>875</v>
      </c>
      <c r="AG30" s="38" t="s">
        <v>876</v>
      </c>
      <c r="AH30" s="38" t="s">
        <v>877</v>
      </c>
      <c r="AI30" s="38" t="s">
        <v>878</v>
      </c>
      <c r="AJ30" s="38" t="s">
        <v>879</v>
      </c>
    </row>
    <row r="31" spans="2:36" x14ac:dyDescent="0.15">
      <c r="B31" s="96" t="s">
        <v>997</v>
      </c>
      <c r="C31" s="94">
        <f>SUM(SUMIFS('caseload data'!E:E,'caseload data'!$D:$D,"PO",'caseload data'!$C:$C,'community caseload'!$B$29,'caseload data'!$B:$B,{"licence","community"}))</f>
        <v>0</v>
      </c>
      <c r="D31" s="94">
        <f>SUM(SUMIFS('caseload data'!F:F,'caseload data'!$D:$D,"PO",'caseload data'!$C:$C,'community caseload'!$B$29,'caseload data'!$B:$B,{"licence","community"}))</f>
        <v>0</v>
      </c>
      <c r="E31" s="94">
        <f>SUM(SUMIFS('caseload data'!G:G,'caseload data'!$D:$D,"PO",'caseload data'!$C:$C,'community caseload'!$B$29,'caseload data'!$B:$B,{"licence","community"}))</f>
        <v>0</v>
      </c>
      <c r="F31" s="94">
        <f>SUM(SUMIFS('caseload data'!H:H,'caseload data'!$D:$D,"PO",'caseload data'!$C:$C,'community caseload'!$B$29,'caseload data'!$B:$B,{"licence","community"}))</f>
        <v>0</v>
      </c>
      <c r="G31" s="94">
        <f>SUM(SUMIFS('caseload data'!I:I,'caseload data'!$D:$D,"PO",'caseload data'!$C:$C,'community caseload'!$B$29,'caseload data'!$B:$B,{"licence","community"}))</f>
        <v>0</v>
      </c>
      <c r="H31" s="94">
        <f>SUM(SUMIFS('caseload data'!J:J,'caseload data'!$D:$D,"PO",'caseload data'!$C:$C,'community caseload'!$B$29,'caseload data'!$B:$B,{"licence","community"}))</f>
        <v>0</v>
      </c>
      <c r="I31" s="94">
        <f>SUM(SUMIFS('caseload data'!K:K,'caseload data'!$D:$D,"PO",'caseload data'!$C:$C,'community caseload'!$B$29,'caseload data'!$B:$B,{"licence","community"}))</f>
        <v>0</v>
      </c>
      <c r="J31" s="94">
        <f>SUM(SUMIFS('caseload data'!L:L,'caseload data'!$D:$D,"PO",'caseload data'!$C:$C,'community caseload'!$B$29,'caseload data'!$B:$B,{"licence","community"}))</f>
        <v>0</v>
      </c>
      <c r="K31" s="94">
        <f>SUM(SUMIFS('caseload data'!M:M,'caseload data'!$D:$D,"PO",'caseload data'!$C:$C,'community caseload'!$B$29,'caseload data'!$B:$B,{"licence","community"}))</f>
        <v>0</v>
      </c>
      <c r="L31" s="94">
        <f>SUM(SUMIFS('caseload data'!N:N,'caseload data'!$D:$D,"PO",'caseload data'!$C:$C,'community caseload'!$B$29,'caseload data'!$B:$B,{"licence","community"}))</f>
        <v>0</v>
      </c>
      <c r="M31" s="94">
        <f>SUM(SUMIFS('caseload data'!O:O,'caseload data'!$D:$D,"PO",'caseload data'!$C:$C,'community caseload'!$B$29,'caseload data'!$B:$B,{"licence","community"}))</f>
        <v>0</v>
      </c>
      <c r="N31" s="94">
        <f>SUM(SUMIFS('caseload data'!P:P,'caseload data'!$D:$D,"PO",'caseload data'!$C:$C,'community caseload'!$B$29,'caseload data'!$B:$B,{"licence","community"}))</f>
        <v>0</v>
      </c>
      <c r="O31" s="94">
        <f>SUM(SUMIFS('caseload data'!Q:Q,'caseload data'!$D:$D,"PO",'caseload data'!$C:$C,'community caseload'!$B$29,'caseload data'!$B:$B,{"licence","community"}))</f>
        <v>0</v>
      </c>
      <c r="P31" s="94">
        <f>SUM(SUMIFS('caseload data'!R:R,'caseload data'!$D:$D,"PO",'caseload data'!$C:$C,'community caseload'!$B$29,'caseload data'!$B:$B,{"licence","community"}))</f>
        <v>0</v>
      </c>
      <c r="Q31" s="94">
        <f>SUM(SUMIFS('caseload data'!S:S,'caseload data'!$D:$D,"PO",'caseload data'!$C:$C,'community caseload'!$B$29,'caseload data'!$B:$B,{"licence","community"}))</f>
        <v>0</v>
      </c>
      <c r="R31" s="94">
        <f>SUM(SUMIFS('caseload data'!T:T,'caseload data'!$D:$D,"PO",'caseload data'!$C:$C,'community caseload'!$B$29,'caseload data'!$B:$B,{"licence","community"}))</f>
        <v>0</v>
      </c>
      <c r="S31" s="64"/>
      <c r="T31" s="96" t="s">
        <v>997</v>
      </c>
      <c r="U31" s="94">
        <f>SUM(SUMIFS('caseload data'!E:E,'caseload data'!$D:$D,"PO",'caseload data'!$C:$C,'community caseload'!$T$29,'caseload data'!$B:$B,{"licence","community"}))</f>
        <v>0</v>
      </c>
      <c r="V31" s="94">
        <f>SUM(SUMIFS('caseload data'!F:F,'caseload data'!$D:$D,"PO",'caseload data'!$C:$C,'community caseload'!$T$29,'caseload data'!$B:$B,{"licence","community"}))</f>
        <v>0</v>
      </c>
      <c r="W31" s="94">
        <f>SUM(SUMIFS('caseload data'!G:G,'caseload data'!$D:$D,"PO",'caseload data'!$C:$C,'community caseload'!$T$29,'caseload data'!$B:$B,{"licence","community"}))</f>
        <v>0</v>
      </c>
      <c r="X31" s="94">
        <f>SUM(SUMIFS('caseload data'!H:H,'caseload data'!$D:$D,"PO",'caseload data'!$C:$C,'community caseload'!$T$29,'caseload data'!$B:$B,{"licence","community"}))</f>
        <v>0</v>
      </c>
      <c r="Y31" s="94">
        <f>SUM(SUMIFS('caseload data'!I:I,'caseload data'!$D:$D,"PO",'caseload data'!$C:$C,'community caseload'!$T$29,'caseload data'!$B:$B,{"licence","community"}))</f>
        <v>0</v>
      </c>
      <c r="Z31" s="94">
        <f>SUM(SUMIFS('caseload data'!J:J,'caseload data'!$D:$D,"PO",'caseload data'!$C:$C,'community caseload'!$T$29,'caseload data'!$B:$B,{"licence","community"}))</f>
        <v>0</v>
      </c>
      <c r="AA31" s="94">
        <f>SUM(SUMIFS('caseload data'!K:K,'caseload data'!$D:$D,"PO",'caseload data'!$C:$C,'community caseload'!$T$29,'caseload data'!$B:$B,{"licence","community"}))</f>
        <v>0</v>
      </c>
      <c r="AB31" s="94">
        <f>SUM(SUMIFS('caseload data'!L:L,'caseload data'!$D:$D,"PO",'caseload data'!$C:$C,'community caseload'!$T$29,'caseload data'!$B:$B,{"licence","community"}))</f>
        <v>0</v>
      </c>
      <c r="AC31" s="94">
        <f>SUM(SUMIFS('caseload data'!M:M,'caseload data'!$D:$D,"PO",'caseload data'!$C:$C,'community caseload'!$T$29,'caseload data'!$B:$B,{"licence","community"}))</f>
        <v>0</v>
      </c>
      <c r="AD31" s="94">
        <f>SUM(SUMIFS('caseload data'!N:N,'caseload data'!$D:$D,"PO",'caseload data'!$C:$C,'community caseload'!$T$29,'caseload data'!$B:$B,{"licence","community"}))</f>
        <v>0</v>
      </c>
      <c r="AE31" s="94">
        <f>SUM(SUMIFS('caseload data'!O:O,'caseload data'!$D:$D,"PO",'caseload data'!$C:$C,'community caseload'!$T$29,'caseload data'!$B:$B,{"licence","community"}))</f>
        <v>0</v>
      </c>
      <c r="AF31" s="94">
        <f>SUM(SUMIFS('caseload data'!P:P,'caseload data'!$D:$D,"PO",'caseload data'!$C:$C,'community caseload'!$T$29,'caseload data'!$B:$B,{"licence","community"}))</f>
        <v>0</v>
      </c>
      <c r="AG31" s="94">
        <f>SUM(SUMIFS('caseload data'!Q:Q,'caseload data'!$D:$D,"PO",'caseload data'!$C:$C,'community caseload'!$T$29,'caseload data'!$B:$B,{"licence","community"}))</f>
        <v>0</v>
      </c>
      <c r="AH31" s="94">
        <f>SUM(SUMIFS('caseload data'!R:R,'caseload data'!$D:$D,"PO",'caseload data'!$C:$C,'community caseload'!$T$29,'caseload data'!$B:$B,{"licence","community"}))</f>
        <v>0</v>
      </c>
      <c r="AI31" s="94">
        <f>SUM(SUMIFS('caseload data'!S:S,'caseload data'!$D:$D,"PO",'caseload data'!$C:$C,'community caseload'!$T$29,'caseload data'!$B:$B,{"licence","community"}))</f>
        <v>0</v>
      </c>
      <c r="AJ31" s="94">
        <f>SUM(SUMIFS('caseload data'!T:T,'caseload data'!$D:$D,"PO",'caseload data'!$C:$C,'community caseload'!$T$29,'caseload data'!$B:$B,{"licence","community"}))</f>
        <v>0</v>
      </c>
    </row>
    <row r="32" spans="2:36" x14ac:dyDescent="0.15">
      <c r="B32" s="97" t="s">
        <v>1002</v>
      </c>
      <c r="C32" s="94">
        <f>SUM(SUMIFS('caseload data'!E:E,'caseload data'!$D:$D,"PSO",'caseload data'!$C:$C,'community caseload'!$B$29,'caseload data'!$B:$B,{"licence","community"}))</f>
        <v>0</v>
      </c>
      <c r="D32" s="94">
        <f>SUM(SUMIFS('caseload data'!F:F,'caseload data'!$D:$D,"PSO",'caseload data'!$C:$C,'community caseload'!$B$29,'caseload data'!$B:$B,{"licence","community"}))</f>
        <v>0</v>
      </c>
      <c r="E32" s="94">
        <f>SUM(SUMIFS('caseload data'!G:G,'caseload data'!$D:$D,"PSO",'caseload data'!$C:$C,'community caseload'!$B$29,'caseload data'!$B:$B,{"licence","community"}))</f>
        <v>0</v>
      </c>
      <c r="F32" s="94">
        <f>SUM(SUMIFS('caseload data'!H:H,'caseload data'!$D:$D,"PSO",'caseload data'!$C:$C,'community caseload'!$B$29,'caseload data'!$B:$B,{"licence","community"}))</f>
        <v>0</v>
      </c>
      <c r="G32" s="94">
        <f>SUM(SUMIFS('caseload data'!I:I,'caseload data'!$D:$D,"PSO",'caseload data'!$C:$C,'community caseload'!$B$29,'caseload data'!$B:$B,{"licence","community"}))</f>
        <v>0</v>
      </c>
      <c r="H32" s="94">
        <f>SUM(SUMIFS('caseload data'!J:J,'caseload data'!$D:$D,"PSO",'caseload data'!$C:$C,'community caseload'!$B$29,'caseload data'!$B:$B,{"licence","community"}))</f>
        <v>0</v>
      </c>
      <c r="I32" s="94">
        <f>SUM(SUMIFS('caseload data'!K:K,'caseload data'!$D:$D,"PSO",'caseload data'!$C:$C,'community caseload'!$B$29,'caseload data'!$B:$B,{"licence","community"}))</f>
        <v>0</v>
      </c>
      <c r="J32" s="94">
        <f>SUM(SUMIFS('caseload data'!L:L,'caseload data'!$D:$D,"PSO",'caseload data'!$C:$C,'community caseload'!$B$29,'caseload data'!$B:$B,{"licence","community"}))</f>
        <v>0</v>
      </c>
      <c r="K32" s="94">
        <f>SUM(SUMIFS('caseload data'!M:M,'caseload data'!$D:$D,"PSO",'caseload data'!$C:$C,'community caseload'!$B$29,'caseload data'!$B:$B,{"licence","community"}))</f>
        <v>0</v>
      </c>
      <c r="L32" s="94">
        <f>SUM(SUMIFS('caseload data'!N:N,'caseload data'!$D:$D,"PSO",'caseload data'!$C:$C,'community caseload'!$B$29,'caseload data'!$B:$B,{"licence","community"}))</f>
        <v>0</v>
      </c>
      <c r="M32" s="94">
        <f>SUM(SUMIFS('caseload data'!O:O,'caseload data'!$D:$D,"PSO",'caseload data'!$C:$C,'community caseload'!$B$29,'caseload data'!$B:$B,{"licence","community"}))</f>
        <v>0</v>
      </c>
      <c r="N32" s="94">
        <f>SUM(SUMIFS('caseload data'!P:P,'caseload data'!$D:$D,"PSO",'caseload data'!$C:$C,'community caseload'!$B$29,'caseload data'!$B:$B,{"licence","community"}))</f>
        <v>0</v>
      </c>
      <c r="O32" s="94">
        <f>SUM(SUMIFS('caseload data'!Q:Q,'caseload data'!$D:$D,"PSO",'caseload data'!$C:$C,'community caseload'!$B$29,'caseload data'!$B:$B,{"licence","community"}))</f>
        <v>0</v>
      </c>
      <c r="P32" s="94">
        <f>SUM(SUMIFS('caseload data'!R:R,'caseload data'!$D:$D,"PSO",'caseload data'!$C:$C,'community caseload'!$B$29,'caseload data'!$B:$B,{"licence","community"}))</f>
        <v>0</v>
      </c>
      <c r="Q32" s="94">
        <f>SUM(SUMIFS('caseload data'!S:S,'caseload data'!$D:$D,"PSO",'caseload data'!$C:$C,'community caseload'!$B$29,'caseload data'!$B:$B,{"licence","community"}))</f>
        <v>0</v>
      </c>
      <c r="R32" s="94">
        <f>SUM(SUMIFS('caseload data'!T:T,'caseload data'!$D:$D,"PSO",'caseload data'!$C:$C,'community caseload'!$B$29,'caseload data'!$B:$B,{"licence","community"}))</f>
        <v>0</v>
      </c>
      <c r="S32" s="64"/>
      <c r="T32" s="97" t="s">
        <v>1002</v>
      </c>
      <c r="U32" s="94">
        <f>SUM(SUMIFS('caseload data'!E:E,'caseload data'!$D:$D,"PSO",'caseload data'!$C:$C,'community caseload'!$T$29,'caseload data'!$B:$B,{"licence","community"}))</f>
        <v>0</v>
      </c>
      <c r="V32" s="94">
        <f>SUM(SUMIFS('caseload data'!F:F,'caseload data'!$D:$D,"PSO",'caseload data'!$C:$C,'community caseload'!$T$29,'caseload data'!$B:$B,{"licence","community"}))</f>
        <v>0</v>
      </c>
      <c r="W32" s="94">
        <f>SUM(SUMIFS('caseload data'!G:G,'caseload data'!$D:$D,"PSO",'caseload data'!$C:$C,'community caseload'!$T$29,'caseload data'!$B:$B,{"licence","community"}))</f>
        <v>0</v>
      </c>
      <c r="X32" s="94">
        <f>SUM(SUMIFS('caseload data'!H:H,'caseload data'!$D:$D,"PSO",'caseload data'!$C:$C,'community caseload'!$T$29,'caseload data'!$B:$B,{"licence","community"}))</f>
        <v>0</v>
      </c>
      <c r="Y32" s="94">
        <f>SUM(SUMIFS('caseload data'!I:I,'caseload data'!$D:$D,"PSO",'caseload data'!$C:$C,'community caseload'!$T$29,'caseload data'!$B:$B,{"licence","community"}))</f>
        <v>0</v>
      </c>
      <c r="Z32" s="94">
        <f>SUM(SUMIFS('caseload data'!J:J,'caseload data'!$D:$D,"PSO",'caseload data'!$C:$C,'community caseload'!$T$29,'caseload data'!$B:$B,{"licence","community"}))</f>
        <v>0</v>
      </c>
      <c r="AA32" s="94">
        <f>SUM(SUMIFS('caseload data'!K:K,'caseload data'!$D:$D,"PSO",'caseload data'!$C:$C,'community caseload'!$T$29,'caseload data'!$B:$B,{"licence","community"}))</f>
        <v>0</v>
      </c>
      <c r="AB32" s="94">
        <f>SUM(SUMIFS('caseload data'!L:L,'caseload data'!$D:$D,"PSO",'caseload data'!$C:$C,'community caseload'!$T$29,'caseload data'!$B:$B,{"licence","community"}))</f>
        <v>0</v>
      </c>
      <c r="AC32" s="94">
        <f>SUM(SUMIFS('caseload data'!M:M,'caseload data'!$D:$D,"PSO",'caseload data'!$C:$C,'community caseload'!$T$29,'caseload data'!$B:$B,{"licence","community"}))</f>
        <v>0</v>
      </c>
      <c r="AD32" s="94">
        <f>SUM(SUMIFS('caseload data'!N:N,'caseload data'!$D:$D,"PSO",'caseload data'!$C:$C,'community caseload'!$T$29,'caseload data'!$B:$B,{"licence","community"}))</f>
        <v>0</v>
      </c>
      <c r="AE32" s="94">
        <f>SUM(SUMIFS('caseload data'!O:O,'caseload data'!$D:$D,"PSO",'caseload data'!$C:$C,'community caseload'!$T$29,'caseload data'!$B:$B,{"licence","community"}))</f>
        <v>0</v>
      </c>
      <c r="AF32" s="94">
        <f>SUM(SUMIFS('caseload data'!P:P,'caseload data'!$D:$D,"PSO",'caseload data'!$C:$C,'community caseload'!$T$29,'caseload data'!$B:$B,{"licence","community"}))</f>
        <v>0</v>
      </c>
      <c r="AG32" s="94">
        <f>SUM(SUMIFS('caseload data'!Q:Q,'caseload data'!$D:$D,"PSO",'caseload data'!$C:$C,'community caseload'!$T$29,'caseload data'!$B:$B,{"licence","community"}))</f>
        <v>0</v>
      </c>
      <c r="AH32" s="94">
        <f>SUM(SUMIFS('caseload data'!R:R,'caseload data'!$D:$D,"PSO",'caseload data'!$C:$C,'community caseload'!$T$29,'caseload data'!$B:$B,{"licence","community"}))</f>
        <v>0</v>
      </c>
      <c r="AI32" s="94">
        <f>SUM(SUMIFS('caseload data'!S:S,'caseload data'!$D:$D,"PSO",'caseload data'!$C:$C,'community caseload'!$T$29,'caseload data'!$B:$B,{"licence","community"}))</f>
        <v>0</v>
      </c>
      <c r="AJ32" s="94">
        <f>SUM(SUMIFS('caseload data'!T:T,'caseload data'!$D:$D,"PSO",'caseload data'!$C:$C,'community caseload'!$T$29,'caseload data'!$B:$B,{"licence","community"}))</f>
        <v>0</v>
      </c>
    </row>
    <row r="33" spans="2:36" x14ac:dyDescent="0.15">
      <c r="B33" s="97" t="s">
        <v>1003</v>
      </c>
      <c r="C33" s="94">
        <f>SUM(SUMIFS('caseload data'!E:E,'caseload data'!$D:$D,"TPO",'caseload data'!$C:$C,'community caseload'!$B$29,'caseload data'!$B:$B,{"licence","community"}))</f>
        <v>0</v>
      </c>
      <c r="D33" s="94">
        <f>SUM(SUMIFS('caseload data'!F:F,'caseload data'!$D:$D,"TPO",'caseload data'!$C:$C,'community caseload'!$B$29,'caseload data'!$B:$B,{"licence","community"}))</f>
        <v>0</v>
      </c>
      <c r="E33" s="94">
        <f>SUM(SUMIFS('caseload data'!G:G,'caseload data'!$D:$D,"TPO",'caseload data'!$C:$C,'community caseload'!$B$29,'caseload data'!$B:$B,{"licence","community"}))</f>
        <v>0</v>
      </c>
      <c r="F33" s="94">
        <f>SUM(SUMIFS('caseload data'!H:H,'caseload data'!$D:$D,"TPO",'caseload data'!$C:$C,'community caseload'!$B$29,'caseload data'!$B:$B,{"licence","community"}))</f>
        <v>0</v>
      </c>
      <c r="G33" s="94">
        <f>SUM(SUMIFS('caseload data'!I:I,'caseload data'!$D:$D,"TPO",'caseload data'!$C:$C,'community caseload'!$B$29,'caseload data'!$B:$B,{"licence","community"}))</f>
        <v>0</v>
      </c>
      <c r="H33" s="94">
        <f>SUM(SUMIFS('caseload data'!J:J,'caseload data'!$D:$D,"TPO",'caseload data'!$C:$C,'community caseload'!$B$29,'caseload data'!$B:$B,{"licence","community"}))</f>
        <v>0</v>
      </c>
      <c r="I33" s="94">
        <f>SUM(SUMIFS('caseload data'!K:K,'caseload data'!$D:$D,"TPO",'caseload data'!$C:$C,'community caseload'!$B$29,'caseload data'!$B:$B,{"licence","community"}))</f>
        <v>0</v>
      </c>
      <c r="J33" s="94">
        <f>SUM(SUMIFS('caseload data'!L:L,'caseload data'!$D:$D,"TPO",'caseload data'!$C:$C,'community caseload'!$B$29,'caseload data'!$B:$B,{"licence","community"}))</f>
        <v>0</v>
      </c>
      <c r="K33" s="94">
        <f>SUM(SUMIFS('caseload data'!M:M,'caseload data'!$D:$D,"TPO",'caseload data'!$C:$C,'community caseload'!$B$29,'caseload data'!$B:$B,{"licence","community"}))</f>
        <v>0</v>
      </c>
      <c r="L33" s="94">
        <f>SUM(SUMIFS('caseload data'!N:N,'caseload data'!$D:$D,"TPO",'caseload data'!$C:$C,'community caseload'!$B$29,'caseload data'!$B:$B,{"licence","community"}))</f>
        <v>0</v>
      </c>
      <c r="M33" s="94">
        <f>SUM(SUMIFS('caseload data'!O:O,'caseload data'!$D:$D,"TPO",'caseload data'!$C:$C,'community caseload'!$B$29,'caseload data'!$B:$B,{"licence","community"}))</f>
        <v>0</v>
      </c>
      <c r="N33" s="94">
        <f>SUM(SUMIFS('caseload data'!P:P,'caseload data'!$D:$D,"TPO",'caseload data'!$C:$C,'community caseload'!$B$29,'caseload data'!$B:$B,{"licence","community"}))</f>
        <v>0</v>
      </c>
      <c r="O33" s="94">
        <f>SUM(SUMIFS('caseload data'!Q:Q,'caseload data'!$D:$D,"TPO",'caseload data'!$C:$C,'community caseload'!$B$29,'caseload data'!$B:$B,{"licence","community"}))</f>
        <v>0</v>
      </c>
      <c r="P33" s="94">
        <f>SUM(SUMIFS('caseload data'!R:R,'caseload data'!$D:$D,"TPO",'caseload data'!$C:$C,'community caseload'!$B$29,'caseload data'!$B:$B,{"licence","community"}))</f>
        <v>0</v>
      </c>
      <c r="Q33" s="94">
        <f>SUM(SUMIFS('caseload data'!S:S,'caseload data'!$D:$D,"TPO",'caseload data'!$C:$C,'community caseload'!$B$29,'caseload data'!$B:$B,{"licence","community"}))</f>
        <v>0</v>
      </c>
      <c r="R33" s="94">
        <f>SUM(SUMIFS('caseload data'!T:T,'caseload data'!$D:$D,"TPO",'caseload data'!$C:$C,'community caseload'!$B$29,'caseload data'!$B:$B,{"licence","community"}))</f>
        <v>0</v>
      </c>
      <c r="S33" s="64"/>
      <c r="T33" s="97" t="s">
        <v>1003</v>
      </c>
      <c r="U33" s="94">
        <f>SUM(SUMIFS('caseload data'!E:E,'caseload data'!$D:$D,"TPO",'caseload data'!$C:$C,'community caseload'!$T$29,'caseload data'!$B:$B,{"licence","community"}))</f>
        <v>0</v>
      </c>
      <c r="V33" s="94">
        <f>SUM(SUMIFS('caseload data'!F:F,'caseload data'!$D:$D,"TPO",'caseload data'!$C:$C,'community caseload'!$T$29,'caseload data'!$B:$B,{"licence","community"}))</f>
        <v>0</v>
      </c>
      <c r="W33" s="94">
        <f>SUM(SUMIFS('caseload data'!G:G,'caseload data'!$D:$D,"TPO",'caseload data'!$C:$C,'community caseload'!$T$29,'caseload data'!$B:$B,{"licence","community"}))</f>
        <v>0</v>
      </c>
      <c r="X33" s="94">
        <f>SUM(SUMIFS('caseload data'!H:H,'caseload data'!$D:$D,"TPO",'caseload data'!$C:$C,'community caseload'!$T$29,'caseload data'!$B:$B,{"licence","community"}))</f>
        <v>0</v>
      </c>
      <c r="Y33" s="94">
        <f>SUM(SUMIFS('caseload data'!I:I,'caseload data'!$D:$D,"TPO",'caseload data'!$C:$C,'community caseload'!$T$29,'caseload data'!$B:$B,{"licence","community"}))</f>
        <v>0</v>
      </c>
      <c r="Z33" s="94">
        <f>SUM(SUMIFS('caseload data'!J:J,'caseload data'!$D:$D,"TPO",'caseload data'!$C:$C,'community caseload'!$T$29,'caseload data'!$B:$B,{"licence","community"}))</f>
        <v>0</v>
      </c>
      <c r="AA33" s="94">
        <f>SUM(SUMIFS('caseload data'!K:K,'caseload data'!$D:$D,"TPO",'caseload data'!$C:$C,'community caseload'!$T$29,'caseload data'!$B:$B,{"licence","community"}))</f>
        <v>0</v>
      </c>
      <c r="AB33" s="94">
        <f>SUM(SUMIFS('caseload data'!L:L,'caseload data'!$D:$D,"TPO",'caseload data'!$C:$C,'community caseload'!$T$29,'caseload data'!$B:$B,{"licence","community"}))</f>
        <v>0</v>
      </c>
      <c r="AC33" s="94">
        <f>SUM(SUMIFS('caseload data'!M:M,'caseload data'!$D:$D,"TPO",'caseload data'!$C:$C,'community caseload'!$T$29,'caseload data'!$B:$B,{"licence","community"}))</f>
        <v>0</v>
      </c>
      <c r="AD33" s="94">
        <f>SUM(SUMIFS('caseload data'!N:N,'caseload data'!$D:$D,"TPO",'caseload data'!$C:$C,'community caseload'!$T$29,'caseload data'!$B:$B,{"licence","community"}))</f>
        <v>0</v>
      </c>
      <c r="AE33" s="94">
        <f>SUM(SUMIFS('caseload data'!O:O,'caseload data'!$D:$D,"TPO",'caseload data'!$C:$C,'community caseload'!$T$29,'caseload data'!$B:$B,{"licence","community"}))</f>
        <v>0</v>
      </c>
      <c r="AF33" s="94">
        <f>SUM(SUMIFS('caseload data'!P:P,'caseload data'!$D:$D,"TPO",'caseload data'!$C:$C,'community caseload'!$T$29,'caseload data'!$B:$B,{"licence","community"}))</f>
        <v>0</v>
      </c>
      <c r="AG33" s="94">
        <f>SUM(SUMIFS('caseload data'!Q:Q,'caseload data'!$D:$D,"TPO",'caseload data'!$C:$C,'community caseload'!$T$29,'caseload data'!$B:$B,{"licence","community"}))</f>
        <v>0</v>
      </c>
      <c r="AH33" s="94">
        <f>SUM(SUMIFS('caseload data'!R:R,'caseload data'!$D:$D,"TPO",'caseload data'!$C:$C,'community caseload'!$T$29,'caseload data'!$B:$B,{"licence","community"}))</f>
        <v>0</v>
      </c>
      <c r="AI33" s="94">
        <f>SUM(SUMIFS('caseload data'!S:S,'caseload data'!$D:$D,"TPO",'caseload data'!$C:$C,'community caseload'!$T$29,'caseload data'!$B:$B,{"licence","community"}))</f>
        <v>0</v>
      </c>
      <c r="AJ33" s="94">
        <f>SUM(SUMIFS('caseload data'!T:T,'caseload data'!$D:$D,"TPO",'caseload data'!$C:$C,'community caseload'!$T$29,'caseload data'!$B:$B,{"licence","community"}))</f>
        <v>0</v>
      </c>
    </row>
    <row r="34" spans="2:36" x14ac:dyDescent="0.15">
      <c r="B34" s="98" t="s">
        <v>1004</v>
      </c>
      <c r="C34" s="94">
        <f>SUM(SUMIFS('caseload data'!E:E,'caseload data'!$D:$D,"SPO",'caseload data'!$C:$C,'community caseload'!$B$29,'caseload data'!$B:$B,{"licence","community"}))</f>
        <v>0</v>
      </c>
      <c r="D34" s="94">
        <f>SUM(SUMIFS('caseload data'!F:F,'caseload data'!$D:$D,"SPO",'caseload data'!$C:$C,'community caseload'!$B$29,'caseload data'!$B:$B,{"licence","community"}))</f>
        <v>0</v>
      </c>
      <c r="E34" s="94">
        <f>SUM(SUMIFS('caseload data'!G:G,'caseload data'!$D:$D,"SPO",'caseload data'!$C:$C,'community caseload'!$B$29,'caseload data'!$B:$B,{"licence","community"}))</f>
        <v>0</v>
      </c>
      <c r="F34" s="94">
        <f>SUM(SUMIFS('caseload data'!H:H,'caseload data'!$D:$D,"SPO",'caseload data'!$C:$C,'community caseload'!$B$29,'caseload data'!$B:$B,{"licence","community"}))</f>
        <v>0</v>
      </c>
      <c r="G34" s="94">
        <f>SUM(SUMIFS('caseload data'!I:I,'caseload data'!$D:$D,"SPO",'caseload data'!$C:$C,'community caseload'!$B$29,'caseload data'!$B:$B,{"licence","community"}))</f>
        <v>0</v>
      </c>
      <c r="H34" s="94">
        <f>SUM(SUMIFS('caseload data'!J:J,'caseload data'!$D:$D,"SPO",'caseload data'!$C:$C,'community caseload'!$B$29,'caseload data'!$B:$B,{"licence","community"}))</f>
        <v>0</v>
      </c>
      <c r="I34" s="94">
        <f>SUM(SUMIFS('caseload data'!K:K,'caseload data'!$D:$D,"SPO",'caseload data'!$C:$C,'community caseload'!$B$29,'caseload data'!$B:$B,{"licence","community"}))</f>
        <v>0</v>
      </c>
      <c r="J34" s="94">
        <f>SUM(SUMIFS('caseload data'!L:L,'caseload data'!$D:$D,"SPO",'caseload data'!$C:$C,'community caseload'!$B$29,'caseload data'!$B:$B,{"licence","community"}))</f>
        <v>0</v>
      </c>
      <c r="K34" s="94">
        <f>SUM(SUMIFS('caseload data'!M:M,'caseload data'!$D:$D,"SPO",'caseload data'!$C:$C,'community caseload'!$B$29,'caseload data'!$B:$B,{"licence","community"}))</f>
        <v>0</v>
      </c>
      <c r="L34" s="94">
        <f>SUM(SUMIFS('caseload data'!N:N,'caseload data'!$D:$D,"SPO",'caseload data'!$C:$C,'community caseload'!$B$29,'caseload data'!$B:$B,{"licence","community"}))</f>
        <v>0</v>
      </c>
      <c r="M34" s="94">
        <f>SUM(SUMIFS('caseload data'!O:O,'caseload data'!$D:$D,"SPO",'caseload data'!$C:$C,'community caseload'!$B$29,'caseload data'!$B:$B,{"licence","community"}))</f>
        <v>0</v>
      </c>
      <c r="N34" s="94">
        <f>SUM(SUMIFS('caseload data'!P:P,'caseload data'!$D:$D,"SPO",'caseload data'!$C:$C,'community caseload'!$B$29,'caseload data'!$B:$B,{"licence","community"}))</f>
        <v>0</v>
      </c>
      <c r="O34" s="94">
        <f>SUM(SUMIFS('caseload data'!Q:Q,'caseload data'!$D:$D,"SPO",'caseload data'!$C:$C,'community caseload'!$B$29,'caseload data'!$B:$B,{"licence","community"}))</f>
        <v>0</v>
      </c>
      <c r="P34" s="94">
        <f>SUM(SUMIFS('caseload data'!R:R,'caseload data'!$D:$D,"SPO",'caseload data'!$C:$C,'community caseload'!$B$29,'caseload data'!$B:$B,{"licence","community"}))</f>
        <v>0</v>
      </c>
      <c r="Q34" s="94">
        <f>SUM(SUMIFS('caseload data'!S:S,'caseload data'!$D:$D,"SPO",'caseload data'!$C:$C,'community caseload'!$B$29,'caseload data'!$B:$B,{"licence","community"}))</f>
        <v>0</v>
      </c>
      <c r="R34" s="94">
        <f>SUM(SUMIFS('caseload data'!T:T,'caseload data'!$D:$D,"SPO",'caseload data'!$C:$C,'community caseload'!$B$29,'caseload data'!$B:$B,{"licence","community"}))</f>
        <v>0</v>
      </c>
      <c r="S34" s="64"/>
      <c r="T34" s="98" t="s">
        <v>1004</v>
      </c>
      <c r="U34" s="94">
        <f>SUM(SUMIFS('caseload data'!E:E,'caseload data'!$D:$D,"SPO",'caseload data'!$C:$C,'community caseload'!$T$29,'caseload data'!$B:$B,{"licence","community"}))</f>
        <v>0</v>
      </c>
      <c r="V34" s="94">
        <f>SUM(SUMIFS('caseload data'!F:F,'caseload data'!$D:$D,"SPO",'caseload data'!$C:$C,'community caseload'!$T$29,'caseload data'!$B:$B,{"licence","community"}))</f>
        <v>0</v>
      </c>
      <c r="W34" s="94">
        <f>SUM(SUMIFS('caseload data'!G:G,'caseload data'!$D:$D,"SPO",'caseload data'!$C:$C,'community caseload'!$T$29,'caseload data'!$B:$B,{"licence","community"}))</f>
        <v>0</v>
      </c>
      <c r="X34" s="94">
        <f>SUM(SUMIFS('caseload data'!H:H,'caseload data'!$D:$D,"SPO",'caseload data'!$C:$C,'community caseload'!$T$29,'caseload data'!$B:$B,{"licence","community"}))</f>
        <v>0</v>
      </c>
      <c r="Y34" s="94">
        <f>SUM(SUMIFS('caseload data'!I:I,'caseload data'!$D:$D,"SPO",'caseload data'!$C:$C,'community caseload'!$T$29,'caseload data'!$B:$B,{"licence","community"}))</f>
        <v>0</v>
      </c>
      <c r="Z34" s="94">
        <f>SUM(SUMIFS('caseload data'!J:J,'caseload data'!$D:$D,"SPO",'caseload data'!$C:$C,'community caseload'!$T$29,'caseload data'!$B:$B,{"licence","community"}))</f>
        <v>0</v>
      </c>
      <c r="AA34" s="94">
        <f>SUM(SUMIFS('caseload data'!K:K,'caseload data'!$D:$D,"SPO",'caseload data'!$C:$C,'community caseload'!$T$29,'caseload data'!$B:$B,{"licence","community"}))</f>
        <v>0</v>
      </c>
      <c r="AB34" s="94">
        <f>SUM(SUMIFS('caseload data'!L:L,'caseload data'!$D:$D,"SPO",'caseload data'!$C:$C,'community caseload'!$T$29,'caseload data'!$B:$B,{"licence","community"}))</f>
        <v>0</v>
      </c>
      <c r="AC34" s="94">
        <f>SUM(SUMIFS('caseload data'!M:M,'caseload data'!$D:$D,"SPO",'caseload data'!$C:$C,'community caseload'!$T$29,'caseload data'!$B:$B,{"licence","community"}))</f>
        <v>0</v>
      </c>
      <c r="AD34" s="94">
        <f>SUM(SUMIFS('caseload data'!N:N,'caseload data'!$D:$D,"SPO",'caseload data'!$C:$C,'community caseload'!$T$29,'caseload data'!$B:$B,{"licence","community"}))</f>
        <v>0</v>
      </c>
      <c r="AE34" s="94">
        <f>SUM(SUMIFS('caseload data'!O:O,'caseload data'!$D:$D,"SPO",'caseload data'!$C:$C,'community caseload'!$T$29,'caseload data'!$B:$B,{"licence","community"}))</f>
        <v>0</v>
      </c>
      <c r="AF34" s="94">
        <f>SUM(SUMIFS('caseload data'!P:P,'caseload data'!$D:$D,"SPO",'caseload data'!$C:$C,'community caseload'!$T$29,'caseload data'!$B:$B,{"licence","community"}))</f>
        <v>0</v>
      </c>
      <c r="AG34" s="94">
        <f>SUM(SUMIFS('caseload data'!Q:Q,'caseload data'!$D:$D,"SPO",'caseload data'!$C:$C,'community caseload'!$T$29,'caseload data'!$B:$B,{"licence","community"}))</f>
        <v>0</v>
      </c>
      <c r="AH34" s="94">
        <f>SUM(SUMIFS('caseload data'!R:R,'caseload data'!$D:$D,"SPO",'caseload data'!$C:$C,'community caseload'!$T$29,'caseload data'!$B:$B,{"licence","community"}))</f>
        <v>0</v>
      </c>
      <c r="AI34" s="94">
        <f>SUM(SUMIFS('caseload data'!S:S,'caseload data'!$D:$D,"SPO",'caseload data'!$C:$C,'community caseload'!$T$29,'caseload data'!$B:$B,{"licence","community"}))</f>
        <v>0</v>
      </c>
      <c r="AJ34" s="94">
        <f>SUM(SUMIFS('caseload data'!T:T,'caseload data'!$D:$D,"SPO",'caseload data'!$C:$C,'community caseload'!$T$29,'caseload data'!$B:$B,{"licence","community"}))</f>
        <v>0</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2.25" customHeight="1" x14ac:dyDescent="0.15">
      <c r="B36" s="289">
        <f>HLOOKUP($B$5,Region_Table,10,0)</f>
        <v>0</v>
      </c>
      <c r="C36" s="509" t="s">
        <v>1131</v>
      </c>
      <c r="D36" s="510"/>
      <c r="E36" s="510"/>
      <c r="F36" s="510"/>
      <c r="G36" s="510"/>
      <c r="H36" s="510"/>
      <c r="I36" s="510"/>
      <c r="J36" s="510"/>
      <c r="K36" s="510"/>
      <c r="L36" s="510"/>
      <c r="M36" s="539"/>
      <c r="N36" s="539"/>
      <c r="O36" s="540"/>
      <c r="P36" s="512" cm="1">
        <f t="array" ref="P36">SUM(SUMIFS('caseload data'!V:V,'caseload data'!B:B,{"licence","community"},'caseload data'!$C:$C,'community caseload'!B36))</f>
        <v>0</v>
      </c>
      <c r="Q36" s="529"/>
      <c r="R36" s="530"/>
      <c r="S36" s="291"/>
      <c r="T36" s="289">
        <f>HLOOKUP($B$5,Region_Table,11,0)</f>
        <v>0</v>
      </c>
      <c r="U36" s="509" t="s">
        <v>1130</v>
      </c>
      <c r="V36" s="510"/>
      <c r="W36" s="510"/>
      <c r="X36" s="510"/>
      <c r="Y36" s="510"/>
      <c r="Z36" s="510"/>
      <c r="AA36" s="510"/>
      <c r="AB36" s="510"/>
      <c r="AC36" s="510"/>
      <c r="AD36" s="510"/>
      <c r="AE36" s="539"/>
      <c r="AF36" s="539"/>
      <c r="AG36" s="540"/>
      <c r="AH36" s="512" cm="1">
        <f t="array" ref="AH36">SUM(SUMIFS('caseload data'!V:V,'caseload data'!B:B,{"licence","community"},'caseload data'!$C:$C,'community caseload'!T36))</f>
        <v>0</v>
      </c>
      <c r="AI36" s="529"/>
      <c r="AJ36" s="530"/>
    </row>
    <row r="37" spans="2:36" x14ac:dyDescent="0.15">
      <c r="B37" s="95" t="s">
        <v>1000</v>
      </c>
      <c r="C37" s="38" t="s">
        <v>864</v>
      </c>
      <c r="D37" s="38" t="s">
        <v>865</v>
      </c>
      <c r="E37" s="38" t="s">
        <v>866</v>
      </c>
      <c r="F37" s="38" t="s">
        <v>867</v>
      </c>
      <c r="G37" s="38" t="s">
        <v>868</v>
      </c>
      <c r="H37" s="38" t="s">
        <v>869</v>
      </c>
      <c r="I37" s="38" t="s">
        <v>870</v>
      </c>
      <c r="J37" s="38" t="s">
        <v>871</v>
      </c>
      <c r="K37" s="38" t="s">
        <v>872</v>
      </c>
      <c r="L37" s="38" t="s">
        <v>873</v>
      </c>
      <c r="M37" s="38" t="s">
        <v>874</v>
      </c>
      <c r="N37" s="38" t="s">
        <v>875</v>
      </c>
      <c r="O37" s="38" t="s">
        <v>876</v>
      </c>
      <c r="P37" s="38" t="s">
        <v>877</v>
      </c>
      <c r="Q37" s="38" t="s">
        <v>878</v>
      </c>
      <c r="R37" s="38" t="s">
        <v>879</v>
      </c>
      <c r="S37" s="64"/>
      <c r="T37" s="95" t="s">
        <v>1000</v>
      </c>
      <c r="U37" s="38" t="s">
        <v>864</v>
      </c>
      <c r="V37" s="38" t="s">
        <v>865</v>
      </c>
      <c r="W37" s="38" t="s">
        <v>866</v>
      </c>
      <c r="X37" s="38" t="s">
        <v>867</v>
      </c>
      <c r="Y37" s="38" t="s">
        <v>868</v>
      </c>
      <c r="Z37" s="38" t="s">
        <v>869</v>
      </c>
      <c r="AA37" s="38" t="s">
        <v>870</v>
      </c>
      <c r="AB37" s="38" t="s">
        <v>871</v>
      </c>
      <c r="AC37" s="38" t="s">
        <v>872</v>
      </c>
      <c r="AD37" s="38" t="s">
        <v>873</v>
      </c>
      <c r="AE37" s="38" t="s">
        <v>874</v>
      </c>
      <c r="AF37" s="38" t="s">
        <v>875</v>
      </c>
      <c r="AG37" s="38" t="s">
        <v>876</v>
      </c>
      <c r="AH37" s="38" t="s">
        <v>877</v>
      </c>
      <c r="AI37" s="38" t="s">
        <v>878</v>
      </c>
      <c r="AJ37" s="38" t="s">
        <v>879</v>
      </c>
    </row>
    <row r="38" spans="2:36" x14ac:dyDescent="0.15">
      <c r="B38" s="96" t="s">
        <v>997</v>
      </c>
      <c r="C38" s="94">
        <f>SUM(SUMIFS('caseload data'!E:E,'caseload data'!$D:$D,"PO",'caseload data'!$C:$C,'community caseload'!$B$36,'caseload data'!$B:$B,{"licence","community"}))</f>
        <v>0</v>
      </c>
      <c r="D38" s="94">
        <f>SUM(SUMIFS('caseload data'!F:F,'caseload data'!$D:$D,"PO",'caseload data'!$C:$C,'community caseload'!$B$36,'caseload data'!$B:$B,{"licence","community"}))</f>
        <v>0</v>
      </c>
      <c r="E38" s="94">
        <f>SUM(SUMIFS('caseload data'!G:G,'caseload data'!$D:$D,"PO",'caseload data'!$C:$C,'community caseload'!$B$36,'caseload data'!$B:$B,{"licence","community"}))</f>
        <v>0</v>
      </c>
      <c r="F38" s="94">
        <f>SUM(SUMIFS('caseload data'!H:H,'caseload data'!$D:$D,"PO",'caseload data'!$C:$C,'community caseload'!$B$36,'caseload data'!$B:$B,{"licence","community"}))</f>
        <v>0</v>
      </c>
      <c r="G38" s="94">
        <f>SUM(SUMIFS('caseload data'!I:I,'caseload data'!$D:$D,"PO",'caseload data'!$C:$C,'community caseload'!$B$36,'caseload data'!$B:$B,{"licence","community"}))</f>
        <v>0</v>
      </c>
      <c r="H38" s="94">
        <f>SUM(SUMIFS('caseload data'!J:J,'caseload data'!$D:$D,"PO",'caseload data'!$C:$C,'community caseload'!$B$36,'caseload data'!$B:$B,{"licence","community"}))</f>
        <v>0</v>
      </c>
      <c r="I38" s="94">
        <f>SUM(SUMIFS('caseload data'!K:K,'caseload data'!$D:$D,"PO",'caseload data'!$C:$C,'community caseload'!$B$36,'caseload data'!$B:$B,{"licence","community"}))</f>
        <v>0</v>
      </c>
      <c r="J38" s="94">
        <f>SUM(SUMIFS('caseload data'!L:L,'caseload data'!$D:$D,"PO",'caseload data'!$C:$C,'community caseload'!$B$36,'caseload data'!$B:$B,{"licence","community"}))</f>
        <v>0</v>
      </c>
      <c r="K38" s="94">
        <f>SUM(SUMIFS('caseload data'!M:M,'caseload data'!$D:$D,"PO",'caseload data'!$C:$C,'community caseload'!$B$36,'caseload data'!$B:$B,{"licence","community"}))</f>
        <v>0</v>
      </c>
      <c r="L38" s="94">
        <f>SUM(SUMIFS('caseload data'!N:N,'caseload data'!$D:$D,"PO",'caseload data'!$C:$C,'community caseload'!$B$36,'caseload data'!$B:$B,{"licence","community"}))</f>
        <v>0</v>
      </c>
      <c r="M38" s="94">
        <f>SUM(SUMIFS('caseload data'!O:O,'caseload data'!$D:$D,"PO",'caseload data'!$C:$C,'community caseload'!$B$36,'caseload data'!$B:$B,{"licence","community"}))</f>
        <v>0</v>
      </c>
      <c r="N38" s="94">
        <f>SUM(SUMIFS('caseload data'!P:P,'caseload data'!$D:$D,"PO",'caseload data'!$C:$C,'community caseload'!$B$36,'caseload data'!$B:$B,{"licence","community"}))</f>
        <v>0</v>
      </c>
      <c r="O38" s="94">
        <f>SUM(SUMIFS('caseload data'!Q:Q,'caseload data'!$D:$D,"PO",'caseload data'!$C:$C,'community caseload'!$B$36,'caseload data'!$B:$B,{"licence","community"}))</f>
        <v>0</v>
      </c>
      <c r="P38" s="94">
        <f>SUM(SUMIFS('caseload data'!R:R,'caseload data'!$D:$D,"PO",'caseload data'!$C:$C,'community caseload'!$B$36,'caseload data'!$B:$B,{"licence","community"}))</f>
        <v>0</v>
      </c>
      <c r="Q38" s="94">
        <f>SUM(SUMIFS('caseload data'!S:S,'caseload data'!$D:$D,"PO",'caseload data'!$C:$C,'community caseload'!$B$36,'caseload data'!$B:$B,{"licence","community"}))</f>
        <v>0</v>
      </c>
      <c r="R38" s="94">
        <f>SUM(SUMIFS('caseload data'!T:T,'caseload data'!$D:$D,"PO",'caseload data'!$C:$C,'community caseload'!$B$36,'caseload data'!$B:$B,{"licence","community"}))</f>
        <v>0</v>
      </c>
      <c r="S38" s="64"/>
      <c r="T38" s="96" t="s">
        <v>997</v>
      </c>
      <c r="U38" s="94">
        <f>SUM(SUMIFS('caseload data'!E:E,'caseload data'!$D:$D,"PO",'caseload data'!$C:$C,'community caseload'!$T$36,'caseload data'!$B:$B,{"licence","community"}))</f>
        <v>0</v>
      </c>
      <c r="V38" s="94">
        <f>SUM(SUMIFS('caseload data'!F:F,'caseload data'!$D:$D,"PO",'caseload data'!$C:$C,'community caseload'!$T$36,'caseload data'!$B:$B,{"licence","community"}))</f>
        <v>0</v>
      </c>
      <c r="W38" s="94">
        <f>SUM(SUMIFS('caseload data'!G:G,'caseload data'!$D:$D,"PO",'caseload data'!$C:$C,'community caseload'!$T$36,'caseload data'!$B:$B,{"licence","community"}))</f>
        <v>0</v>
      </c>
      <c r="X38" s="94">
        <f>SUM(SUMIFS('caseload data'!H:H,'caseload data'!$D:$D,"PO",'caseload data'!$C:$C,'community caseload'!$T$36,'caseload data'!$B:$B,{"licence","community"}))</f>
        <v>0</v>
      </c>
      <c r="Y38" s="94">
        <f>SUM(SUMIFS('caseload data'!I:I,'caseload data'!$D:$D,"PO",'caseload data'!$C:$C,'community caseload'!$T$36,'caseload data'!$B:$B,{"licence","community"}))</f>
        <v>0</v>
      </c>
      <c r="Z38" s="94">
        <f>SUM(SUMIFS('caseload data'!J:J,'caseload data'!$D:$D,"PO",'caseload data'!$C:$C,'community caseload'!$T$36,'caseload data'!$B:$B,{"licence","community"}))</f>
        <v>0</v>
      </c>
      <c r="AA38" s="94">
        <f>SUM(SUMIFS('caseload data'!K:K,'caseload data'!$D:$D,"PO",'caseload data'!$C:$C,'community caseload'!$T$36,'caseload data'!$B:$B,{"licence","community"}))</f>
        <v>0</v>
      </c>
      <c r="AB38" s="94">
        <f>SUM(SUMIFS('caseload data'!L:L,'caseload data'!$D:$D,"PO",'caseload data'!$C:$C,'community caseload'!$T$36,'caseload data'!$B:$B,{"licence","community"}))</f>
        <v>0</v>
      </c>
      <c r="AC38" s="94">
        <f>SUM(SUMIFS('caseload data'!M:M,'caseload data'!$D:$D,"PO",'caseload data'!$C:$C,'community caseload'!$T$36,'caseload data'!$B:$B,{"licence","community"}))</f>
        <v>0</v>
      </c>
      <c r="AD38" s="94">
        <f>SUM(SUMIFS('caseload data'!N:N,'caseload data'!$D:$D,"PO",'caseload data'!$C:$C,'community caseload'!$T$36,'caseload data'!$B:$B,{"licence","community"}))</f>
        <v>0</v>
      </c>
      <c r="AE38" s="94">
        <f>SUM(SUMIFS('caseload data'!O:O,'caseload data'!$D:$D,"PO",'caseload data'!$C:$C,'community caseload'!$T$36,'caseload data'!$B:$B,{"licence","community"}))</f>
        <v>0</v>
      </c>
      <c r="AF38" s="94">
        <f>SUM(SUMIFS('caseload data'!P:P,'caseload data'!$D:$D,"PO",'caseload data'!$C:$C,'community caseload'!$T$36,'caseload data'!$B:$B,{"licence","community"}))</f>
        <v>0</v>
      </c>
      <c r="AG38" s="94">
        <f>SUM(SUMIFS('caseload data'!Q:Q,'caseload data'!$D:$D,"PO",'caseload data'!$C:$C,'community caseload'!$T$36,'caseload data'!$B:$B,{"licence","community"}))</f>
        <v>0</v>
      </c>
      <c r="AH38" s="94">
        <f>SUM(SUMIFS('caseload data'!R:R,'caseload data'!$D:$D,"PO",'caseload data'!$C:$C,'community caseload'!$T$36,'caseload data'!$B:$B,{"licence","community"}))</f>
        <v>0</v>
      </c>
      <c r="AI38" s="94">
        <f>SUM(SUMIFS('caseload data'!S:S,'caseload data'!$D:$D,"PO",'caseload data'!$C:$C,'community caseload'!$T$36,'caseload data'!$B:$B,{"licence","community"}))</f>
        <v>0</v>
      </c>
      <c r="AJ38" s="94">
        <f>SUM(SUMIFS('caseload data'!T:T,'caseload data'!$D:$D,"PO",'caseload data'!$C:$C,'community caseload'!$T$36,'caseload data'!$B:$B,{"licence","community"}))</f>
        <v>0</v>
      </c>
    </row>
    <row r="39" spans="2:36" x14ac:dyDescent="0.15">
      <c r="B39" s="97" t="s">
        <v>1002</v>
      </c>
      <c r="C39" s="94">
        <f>SUM(SUMIFS('caseload data'!E:E,'caseload data'!$D:$D,"PSO",'caseload data'!$C:$C,'community caseload'!$B$36,'caseload data'!$B:$B,{"licence","community"}))</f>
        <v>0</v>
      </c>
      <c r="D39" s="94">
        <f>SUM(SUMIFS('caseload data'!F:F,'caseload data'!$D:$D,"PSO",'caseload data'!$C:$C,'community caseload'!$B$36,'caseload data'!$B:$B,{"licence","community"}))</f>
        <v>0</v>
      </c>
      <c r="E39" s="94">
        <f>SUM(SUMIFS('caseload data'!G:G,'caseload data'!$D:$D,"PSO",'caseload data'!$C:$C,'community caseload'!$B$36,'caseload data'!$B:$B,{"licence","community"}))</f>
        <v>0</v>
      </c>
      <c r="F39" s="94">
        <f>SUM(SUMIFS('caseload data'!H:H,'caseload data'!$D:$D,"PSO",'caseload data'!$C:$C,'community caseload'!$B$36,'caseload data'!$B:$B,{"licence","community"}))</f>
        <v>0</v>
      </c>
      <c r="G39" s="94">
        <f>SUM(SUMIFS('caseload data'!I:I,'caseload data'!$D:$D,"PSO",'caseload data'!$C:$C,'community caseload'!$B$36,'caseload data'!$B:$B,{"licence","community"}))</f>
        <v>0</v>
      </c>
      <c r="H39" s="94">
        <f>SUM(SUMIFS('caseload data'!J:J,'caseload data'!$D:$D,"PSO",'caseload data'!$C:$C,'community caseload'!$B$36,'caseload data'!$B:$B,{"licence","community"}))</f>
        <v>0</v>
      </c>
      <c r="I39" s="94">
        <f>SUM(SUMIFS('caseload data'!K:K,'caseload data'!$D:$D,"PSO",'caseload data'!$C:$C,'community caseload'!$B$36,'caseload data'!$B:$B,{"licence","community"}))</f>
        <v>0</v>
      </c>
      <c r="J39" s="94">
        <f>SUM(SUMIFS('caseload data'!L:L,'caseload data'!$D:$D,"PSO",'caseload data'!$C:$C,'community caseload'!$B$36,'caseload data'!$B:$B,{"licence","community"}))</f>
        <v>0</v>
      </c>
      <c r="K39" s="94">
        <f>SUM(SUMIFS('caseload data'!M:M,'caseload data'!$D:$D,"PSO",'caseload data'!$C:$C,'community caseload'!$B$36,'caseload data'!$B:$B,{"licence","community"}))</f>
        <v>0</v>
      </c>
      <c r="L39" s="94">
        <f>SUM(SUMIFS('caseload data'!N:N,'caseload data'!$D:$D,"PSO",'caseload data'!$C:$C,'community caseload'!$B$36,'caseload data'!$B:$B,{"licence","community"}))</f>
        <v>0</v>
      </c>
      <c r="M39" s="94">
        <f>SUM(SUMIFS('caseload data'!O:O,'caseload data'!$D:$D,"PSO",'caseload data'!$C:$C,'community caseload'!$B$36,'caseload data'!$B:$B,{"licence","community"}))</f>
        <v>0</v>
      </c>
      <c r="N39" s="94">
        <f>SUM(SUMIFS('caseload data'!P:P,'caseload data'!$D:$D,"PSO",'caseload data'!$C:$C,'community caseload'!$B$36,'caseload data'!$B:$B,{"licence","community"}))</f>
        <v>0</v>
      </c>
      <c r="O39" s="94">
        <f>SUM(SUMIFS('caseload data'!Q:Q,'caseload data'!$D:$D,"PSO",'caseload data'!$C:$C,'community caseload'!$B$36,'caseload data'!$B:$B,{"licence","community"}))</f>
        <v>0</v>
      </c>
      <c r="P39" s="94">
        <f>SUM(SUMIFS('caseload data'!R:R,'caseload data'!$D:$D,"PSO",'caseload data'!$C:$C,'community caseload'!$B$36,'caseload data'!$B:$B,{"licence","community"}))</f>
        <v>0</v>
      </c>
      <c r="Q39" s="94">
        <f>SUM(SUMIFS('caseload data'!S:S,'caseload data'!$D:$D,"PSO",'caseload data'!$C:$C,'community caseload'!$B$36,'caseload data'!$B:$B,{"licence","community"}))</f>
        <v>0</v>
      </c>
      <c r="R39" s="94">
        <f>SUM(SUMIFS('caseload data'!T:T,'caseload data'!$D:$D,"PSO",'caseload data'!$C:$C,'community caseload'!$B$36,'caseload data'!$B:$B,{"licence","community"}))</f>
        <v>0</v>
      </c>
      <c r="S39" s="64"/>
      <c r="T39" s="97" t="s">
        <v>1002</v>
      </c>
      <c r="U39" s="94">
        <f>SUM(SUMIFS('caseload data'!E:E,'caseload data'!$D:$D,"PSO",'caseload data'!$C:$C,'community caseload'!$T$36,'caseload data'!$B:$B,{"licence","community"}))</f>
        <v>0</v>
      </c>
      <c r="V39" s="94">
        <f>SUM(SUMIFS('caseload data'!F:F,'caseload data'!$D:$D,"PSO",'caseload data'!$C:$C,'community caseload'!$T$36,'caseload data'!$B:$B,{"licence","community"}))</f>
        <v>0</v>
      </c>
      <c r="W39" s="94">
        <f>SUM(SUMIFS('caseload data'!G:G,'caseload data'!$D:$D,"PSO",'caseload data'!$C:$C,'community caseload'!$T$36,'caseload data'!$B:$B,{"licence","community"}))</f>
        <v>0</v>
      </c>
      <c r="X39" s="94">
        <f>SUM(SUMIFS('caseload data'!H:H,'caseload data'!$D:$D,"PSO",'caseload data'!$C:$C,'community caseload'!$T$36,'caseload data'!$B:$B,{"licence","community"}))</f>
        <v>0</v>
      </c>
      <c r="Y39" s="94">
        <f>SUM(SUMIFS('caseload data'!I:I,'caseload data'!$D:$D,"PSO",'caseload data'!$C:$C,'community caseload'!$T$36,'caseload data'!$B:$B,{"licence","community"}))</f>
        <v>0</v>
      </c>
      <c r="Z39" s="94">
        <f>SUM(SUMIFS('caseload data'!J:J,'caseload data'!$D:$D,"PSO",'caseload data'!$C:$C,'community caseload'!$T$36,'caseload data'!$B:$B,{"licence","community"}))</f>
        <v>0</v>
      </c>
      <c r="AA39" s="94">
        <f>SUM(SUMIFS('caseload data'!K:K,'caseload data'!$D:$D,"PSO",'caseload data'!$C:$C,'community caseload'!$T$36,'caseload data'!$B:$B,{"licence","community"}))</f>
        <v>0</v>
      </c>
      <c r="AB39" s="94">
        <f>SUM(SUMIFS('caseload data'!L:L,'caseload data'!$D:$D,"PSO",'caseload data'!$C:$C,'community caseload'!$T$36,'caseload data'!$B:$B,{"licence","community"}))</f>
        <v>0</v>
      </c>
      <c r="AC39" s="94">
        <f>SUM(SUMIFS('caseload data'!M:M,'caseload data'!$D:$D,"PSO",'caseload data'!$C:$C,'community caseload'!$T$36,'caseload data'!$B:$B,{"licence","community"}))</f>
        <v>0</v>
      </c>
      <c r="AD39" s="94">
        <f>SUM(SUMIFS('caseload data'!N:N,'caseload data'!$D:$D,"PSO",'caseload data'!$C:$C,'community caseload'!$T$36,'caseload data'!$B:$B,{"licence","community"}))</f>
        <v>0</v>
      </c>
      <c r="AE39" s="94">
        <f>SUM(SUMIFS('caseload data'!O:O,'caseload data'!$D:$D,"PSO",'caseload data'!$C:$C,'community caseload'!$T$36,'caseload data'!$B:$B,{"licence","community"}))</f>
        <v>0</v>
      </c>
      <c r="AF39" s="94">
        <f>SUM(SUMIFS('caseload data'!P:P,'caseload data'!$D:$D,"PSO",'caseload data'!$C:$C,'community caseload'!$T$36,'caseload data'!$B:$B,{"licence","community"}))</f>
        <v>0</v>
      </c>
      <c r="AG39" s="94">
        <f>SUM(SUMIFS('caseload data'!Q:Q,'caseload data'!$D:$D,"PSO",'caseload data'!$C:$C,'community caseload'!$T$36,'caseload data'!$B:$B,{"licence","community"}))</f>
        <v>0</v>
      </c>
      <c r="AH39" s="94">
        <f>SUM(SUMIFS('caseload data'!R:R,'caseload data'!$D:$D,"PSO",'caseload data'!$C:$C,'community caseload'!$T$36,'caseload data'!$B:$B,{"licence","community"}))</f>
        <v>0</v>
      </c>
      <c r="AI39" s="94">
        <f>SUM(SUMIFS('caseload data'!S:S,'caseload data'!$D:$D,"PSO",'caseload data'!$C:$C,'community caseload'!$T$36,'caseload data'!$B:$B,{"licence","community"}))</f>
        <v>0</v>
      </c>
      <c r="AJ39" s="94">
        <f>SUM(SUMIFS('caseload data'!T:T,'caseload data'!$D:$D,"PSO",'caseload data'!$C:$C,'community caseload'!$T$36,'caseload data'!$B:$B,{"licence","community"}))</f>
        <v>0</v>
      </c>
    </row>
    <row r="40" spans="2:36" x14ac:dyDescent="0.15">
      <c r="B40" s="97" t="s">
        <v>1003</v>
      </c>
      <c r="C40" s="94">
        <f>SUM(SUMIFS('caseload data'!E:E,'caseload data'!$D:$D,"TPO",'caseload data'!$C:$C,'community caseload'!$B$36,'caseload data'!$B:$B,{"licence","community"}))</f>
        <v>0</v>
      </c>
      <c r="D40" s="94">
        <f>SUM(SUMIFS('caseload data'!F:F,'caseload data'!$D:$D,"TPO",'caseload data'!$C:$C,'community caseload'!$B$36,'caseload data'!$B:$B,{"licence","community"}))</f>
        <v>0</v>
      </c>
      <c r="E40" s="94">
        <f>SUM(SUMIFS('caseload data'!G:G,'caseload data'!$D:$D,"TPO",'caseload data'!$C:$C,'community caseload'!$B$36,'caseload data'!$B:$B,{"licence","community"}))</f>
        <v>0</v>
      </c>
      <c r="F40" s="94">
        <f>SUM(SUMIFS('caseload data'!H:H,'caseload data'!$D:$D,"TPO",'caseload data'!$C:$C,'community caseload'!$B$36,'caseload data'!$B:$B,{"licence","community"}))</f>
        <v>0</v>
      </c>
      <c r="G40" s="94">
        <f>SUM(SUMIFS('caseload data'!I:I,'caseload data'!$D:$D,"TPO",'caseload data'!$C:$C,'community caseload'!$B$36,'caseload data'!$B:$B,{"licence","community"}))</f>
        <v>0</v>
      </c>
      <c r="H40" s="94">
        <f>SUM(SUMIFS('caseload data'!J:J,'caseload data'!$D:$D,"TPO",'caseload data'!$C:$C,'community caseload'!$B$36,'caseload data'!$B:$B,{"licence","community"}))</f>
        <v>0</v>
      </c>
      <c r="I40" s="94">
        <f>SUM(SUMIFS('caseload data'!K:K,'caseload data'!$D:$D,"TPO",'caseload data'!$C:$C,'community caseload'!$B$36,'caseload data'!$B:$B,{"licence","community"}))</f>
        <v>0</v>
      </c>
      <c r="J40" s="94">
        <f>SUM(SUMIFS('caseload data'!L:L,'caseload data'!$D:$D,"TPO",'caseload data'!$C:$C,'community caseload'!$B$36,'caseload data'!$B:$B,{"licence","community"}))</f>
        <v>0</v>
      </c>
      <c r="K40" s="94">
        <f>SUM(SUMIFS('caseload data'!M:M,'caseload data'!$D:$D,"TPO",'caseload data'!$C:$C,'community caseload'!$B$36,'caseload data'!$B:$B,{"licence","community"}))</f>
        <v>0</v>
      </c>
      <c r="L40" s="94">
        <f>SUM(SUMIFS('caseload data'!N:N,'caseload data'!$D:$D,"TPO",'caseload data'!$C:$C,'community caseload'!$B$36,'caseload data'!$B:$B,{"licence","community"}))</f>
        <v>0</v>
      </c>
      <c r="M40" s="94">
        <f>SUM(SUMIFS('caseload data'!O:O,'caseload data'!$D:$D,"TPO",'caseload data'!$C:$C,'community caseload'!$B$36,'caseload data'!$B:$B,{"licence","community"}))</f>
        <v>0</v>
      </c>
      <c r="N40" s="94">
        <f>SUM(SUMIFS('caseload data'!P:P,'caseload data'!$D:$D,"TPO",'caseload data'!$C:$C,'community caseload'!$B$36,'caseload data'!$B:$B,{"licence","community"}))</f>
        <v>0</v>
      </c>
      <c r="O40" s="94">
        <f>SUM(SUMIFS('caseload data'!Q:Q,'caseload data'!$D:$D,"TPO",'caseload data'!$C:$C,'community caseload'!$B$36,'caseload data'!$B:$B,{"licence","community"}))</f>
        <v>0</v>
      </c>
      <c r="P40" s="94">
        <f>SUM(SUMIFS('caseload data'!R:R,'caseload data'!$D:$D,"TPO",'caseload data'!$C:$C,'community caseload'!$B$36,'caseload data'!$B:$B,{"licence","community"}))</f>
        <v>0</v>
      </c>
      <c r="Q40" s="94">
        <f>SUM(SUMIFS('caseload data'!S:S,'caseload data'!$D:$D,"TPO",'caseload data'!$C:$C,'community caseload'!$B$36,'caseload data'!$B:$B,{"licence","community"}))</f>
        <v>0</v>
      </c>
      <c r="R40" s="94">
        <f>SUM(SUMIFS('caseload data'!T:T,'caseload data'!$D:$D,"TPO",'caseload data'!$C:$C,'community caseload'!$B$36,'caseload data'!$B:$B,{"licence","community"}))</f>
        <v>0</v>
      </c>
      <c r="S40" s="64"/>
      <c r="T40" s="97" t="s">
        <v>1003</v>
      </c>
      <c r="U40" s="94">
        <f>SUM(SUMIFS('caseload data'!E:E,'caseload data'!$D:$D,"TPO",'caseload data'!$C:$C,'community caseload'!$T$36,'caseload data'!$B:$B,{"licence","community"}))</f>
        <v>0</v>
      </c>
      <c r="V40" s="94">
        <f>SUM(SUMIFS('caseload data'!F:F,'caseload data'!$D:$D,"TPO",'caseload data'!$C:$C,'community caseload'!$T$36,'caseload data'!$B:$B,{"licence","community"}))</f>
        <v>0</v>
      </c>
      <c r="W40" s="94">
        <f>SUM(SUMIFS('caseload data'!G:G,'caseload data'!$D:$D,"TPO",'caseload data'!$C:$C,'community caseload'!$T$36,'caseload data'!$B:$B,{"licence","community"}))</f>
        <v>0</v>
      </c>
      <c r="X40" s="94">
        <f>SUM(SUMIFS('caseload data'!H:H,'caseload data'!$D:$D,"TPO",'caseload data'!$C:$C,'community caseload'!$T$36,'caseload data'!$B:$B,{"licence","community"}))</f>
        <v>0</v>
      </c>
      <c r="Y40" s="94">
        <f>SUM(SUMIFS('caseload data'!I:I,'caseload data'!$D:$D,"TPO",'caseload data'!$C:$C,'community caseload'!$T$36,'caseload data'!$B:$B,{"licence","community"}))</f>
        <v>0</v>
      </c>
      <c r="Z40" s="94">
        <f>SUM(SUMIFS('caseload data'!J:J,'caseload data'!$D:$D,"TPO",'caseload data'!$C:$C,'community caseload'!$T$36,'caseload data'!$B:$B,{"licence","community"}))</f>
        <v>0</v>
      </c>
      <c r="AA40" s="94">
        <f>SUM(SUMIFS('caseload data'!K:K,'caseload data'!$D:$D,"TPO",'caseload data'!$C:$C,'community caseload'!$T$36,'caseload data'!$B:$B,{"licence","community"}))</f>
        <v>0</v>
      </c>
      <c r="AB40" s="94">
        <f>SUM(SUMIFS('caseload data'!L:L,'caseload data'!$D:$D,"TPO",'caseload data'!$C:$C,'community caseload'!$T$36,'caseload data'!$B:$B,{"licence","community"}))</f>
        <v>0</v>
      </c>
      <c r="AC40" s="94">
        <f>SUM(SUMIFS('caseload data'!M:M,'caseload data'!$D:$D,"TPO",'caseload data'!$C:$C,'community caseload'!$T$36,'caseload data'!$B:$B,{"licence","community"}))</f>
        <v>0</v>
      </c>
      <c r="AD40" s="94">
        <f>SUM(SUMIFS('caseload data'!N:N,'caseload data'!$D:$D,"TPO",'caseload data'!$C:$C,'community caseload'!$T$36,'caseload data'!$B:$B,{"licence","community"}))</f>
        <v>0</v>
      </c>
      <c r="AE40" s="94">
        <f>SUM(SUMIFS('caseload data'!O:O,'caseload data'!$D:$D,"TPO",'caseload data'!$C:$C,'community caseload'!$T$36,'caseload data'!$B:$B,{"licence","community"}))</f>
        <v>0</v>
      </c>
      <c r="AF40" s="94">
        <f>SUM(SUMIFS('caseload data'!P:P,'caseload data'!$D:$D,"TPO",'caseload data'!$C:$C,'community caseload'!$T$36,'caseload data'!$B:$B,{"licence","community"}))</f>
        <v>0</v>
      </c>
      <c r="AG40" s="94">
        <f>SUM(SUMIFS('caseload data'!Q:Q,'caseload data'!$D:$D,"TPO",'caseload data'!$C:$C,'community caseload'!$T$36,'caseload data'!$B:$B,{"licence","community"}))</f>
        <v>0</v>
      </c>
      <c r="AH40" s="94">
        <f>SUM(SUMIFS('caseload data'!R:R,'caseload data'!$D:$D,"TPO",'caseload data'!$C:$C,'community caseload'!$T$36,'caseload data'!$B:$B,{"licence","community"}))</f>
        <v>0</v>
      </c>
      <c r="AI40" s="94">
        <f>SUM(SUMIFS('caseload data'!S:S,'caseload data'!$D:$D,"TPO",'caseload data'!$C:$C,'community caseload'!$T$36,'caseload data'!$B:$B,{"licence","community"}))</f>
        <v>0</v>
      </c>
      <c r="AJ40" s="94">
        <f>SUM(SUMIFS('caseload data'!T:T,'caseload data'!$D:$D,"TPO",'caseload data'!$C:$C,'community caseload'!$T$36,'caseload data'!$B:$B,{"licence","community"}))</f>
        <v>0</v>
      </c>
    </row>
    <row r="41" spans="2:36" x14ac:dyDescent="0.15">
      <c r="B41" s="98" t="s">
        <v>1004</v>
      </c>
      <c r="C41" s="94">
        <f>SUM(SUMIFS('caseload data'!E:E,'caseload data'!$D:$D,"SPO",'caseload data'!$C:$C,'community caseload'!$B$36,'caseload data'!$B:$B,{"licence","community"}))</f>
        <v>0</v>
      </c>
      <c r="D41" s="94">
        <f>SUM(SUMIFS('caseload data'!F:F,'caseload data'!$D:$D,"SPO",'caseload data'!$C:$C,'community caseload'!$B$36,'caseload data'!$B:$B,{"licence","community"}))</f>
        <v>0</v>
      </c>
      <c r="E41" s="94">
        <f>SUM(SUMIFS('caseload data'!G:G,'caseload data'!$D:$D,"SPO",'caseload data'!$C:$C,'community caseload'!$B$36,'caseload data'!$B:$B,{"licence","community"}))</f>
        <v>0</v>
      </c>
      <c r="F41" s="94">
        <f>SUM(SUMIFS('caseload data'!H:H,'caseload data'!$D:$D,"SPO",'caseload data'!$C:$C,'community caseload'!$B$36,'caseload data'!$B:$B,{"licence","community"}))</f>
        <v>0</v>
      </c>
      <c r="G41" s="94">
        <f>SUM(SUMIFS('caseload data'!I:I,'caseload data'!$D:$D,"SPO",'caseload data'!$C:$C,'community caseload'!$B$36,'caseload data'!$B:$B,{"licence","community"}))</f>
        <v>0</v>
      </c>
      <c r="H41" s="94">
        <f>SUM(SUMIFS('caseload data'!J:J,'caseload data'!$D:$D,"SPO",'caseload data'!$C:$C,'community caseload'!$B$36,'caseload data'!$B:$B,{"licence","community"}))</f>
        <v>0</v>
      </c>
      <c r="I41" s="94">
        <f>SUM(SUMIFS('caseload data'!K:K,'caseload data'!$D:$D,"SPO",'caseload data'!$C:$C,'community caseload'!$B$36,'caseload data'!$B:$B,{"licence","community"}))</f>
        <v>0</v>
      </c>
      <c r="J41" s="94">
        <f>SUM(SUMIFS('caseload data'!L:L,'caseload data'!$D:$D,"SPO",'caseload data'!$C:$C,'community caseload'!$B$36,'caseload data'!$B:$B,{"licence","community"}))</f>
        <v>0</v>
      </c>
      <c r="K41" s="94">
        <f>SUM(SUMIFS('caseload data'!M:M,'caseload data'!$D:$D,"SPO",'caseload data'!$C:$C,'community caseload'!$B$36,'caseload data'!$B:$B,{"licence","community"}))</f>
        <v>0</v>
      </c>
      <c r="L41" s="94">
        <f>SUM(SUMIFS('caseload data'!N:N,'caseload data'!$D:$D,"SPO",'caseload data'!$C:$C,'community caseload'!$B$36,'caseload data'!$B:$B,{"licence","community"}))</f>
        <v>0</v>
      </c>
      <c r="M41" s="94">
        <f>SUM(SUMIFS('caseload data'!O:O,'caseload data'!$D:$D,"SPO",'caseload data'!$C:$C,'community caseload'!$B$36,'caseload data'!$B:$B,{"licence","community"}))</f>
        <v>0</v>
      </c>
      <c r="N41" s="94">
        <f>SUM(SUMIFS('caseload data'!P:P,'caseload data'!$D:$D,"SPO",'caseload data'!$C:$C,'community caseload'!$B$36,'caseload data'!$B:$B,{"licence","community"}))</f>
        <v>0</v>
      </c>
      <c r="O41" s="94">
        <f>SUM(SUMIFS('caseload data'!Q:Q,'caseload data'!$D:$D,"SPO",'caseload data'!$C:$C,'community caseload'!$B$36,'caseload data'!$B:$B,{"licence","community"}))</f>
        <v>0</v>
      </c>
      <c r="P41" s="94">
        <f>SUM(SUMIFS('caseload data'!R:R,'caseload data'!$D:$D,"SPO",'caseload data'!$C:$C,'community caseload'!$B$36,'caseload data'!$B:$B,{"licence","community"}))</f>
        <v>0</v>
      </c>
      <c r="Q41" s="94">
        <f>SUM(SUMIFS('caseload data'!S:S,'caseload data'!$D:$D,"SPO",'caseload data'!$C:$C,'community caseload'!$B$36,'caseload data'!$B:$B,{"licence","community"}))</f>
        <v>0</v>
      </c>
      <c r="R41" s="94">
        <f>SUM(SUMIFS('caseload data'!T:T,'caseload data'!$D:$D,"SPO",'caseload data'!$C:$C,'community caseload'!$B$36,'caseload data'!$B:$B,{"licence","community"}))</f>
        <v>0</v>
      </c>
      <c r="S41" s="64"/>
      <c r="T41" s="98" t="s">
        <v>1004</v>
      </c>
      <c r="U41" s="94">
        <f>SUM(SUMIFS('caseload data'!E:E,'caseload data'!$D:$D,"SPO",'caseload data'!$C:$C,'community caseload'!$T$36,'caseload data'!$B:$B,{"licence","community"}))</f>
        <v>0</v>
      </c>
      <c r="V41" s="94">
        <f>SUM(SUMIFS('caseload data'!F:F,'caseload data'!$D:$D,"SPO",'caseload data'!$C:$C,'community caseload'!$T$36,'caseload data'!$B:$B,{"licence","community"}))</f>
        <v>0</v>
      </c>
      <c r="W41" s="94">
        <f>SUM(SUMIFS('caseload data'!G:G,'caseload data'!$D:$D,"SPO",'caseload data'!$C:$C,'community caseload'!$T$36,'caseload data'!$B:$B,{"licence","community"}))</f>
        <v>0</v>
      </c>
      <c r="X41" s="94">
        <f>SUM(SUMIFS('caseload data'!H:H,'caseload data'!$D:$D,"SPO",'caseload data'!$C:$C,'community caseload'!$T$36,'caseload data'!$B:$B,{"licence","community"}))</f>
        <v>0</v>
      </c>
      <c r="Y41" s="94">
        <f>SUM(SUMIFS('caseload data'!I:I,'caseload data'!$D:$D,"SPO",'caseload data'!$C:$C,'community caseload'!$T$36,'caseload data'!$B:$B,{"licence","community"}))</f>
        <v>0</v>
      </c>
      <c r="Z41" s="94">
        <f>SUM(SUMIFS('caseload data'!J:J,'caseload data'!$D:$D,"SPO",'caseload data'!$C:$C,'community caseload'!$T$36,'caseload data'!$B:$B,{"licence","community"}))</f>
        <v>0</v>
      </c>
      <c r="AA41" s="94">
        <f>SUM(SUMIFS('caseload data'!K:K,'caseload data'!$D:$D,"SPO",'caseload data'!$C:$C,'community caseload'!$T$36,'caseload data'!$B:$B,{"licence","community"}))</f>
        <v>0</v>
      </c>
      <c r="AB41" s="94">
        <f>SUM(SUMIFS('caseload data'!L:L,'caseload data'!$D:$D,"SPO",'caseload data'!$C:$C,'community caseload'!$T$36,'caseload data'!$B:$B,{"licence","community"}))</f>
        <v>0</v>
      </c>
      <c r="AC41" s="94">
        <f>SUM(SUMIFS('caseload data'!M:M,'caseload data'!$D:$D,"SPO",'caseload data'!$C:$C,'community caseload'!$T$36,'caseload data'!$B:$B,{"licence","community"}))</f>
        <v>0</v>
      </c>
      <c r="AD41" s="94">
        <f>SUM(SUMIFS('caseload data'!N:N,'caseload data'!$D:$D,"SPO",'caseload data'!$C:$C,'community caseload'!$T$36,'caseload data'!$B:$B,{"licence","community"}))</f>
        <v>0</v>
      </c>
      <c r="AE41" s="94">
        <f>SUM(SUMIFS('caseload data'!O:O,'caseload data'!$D:$D,"SPO",'caseload data'!$C:$C,'community caseload'!$T$36,'caseload data'!$B:$B,{"licence","community"}))</f>
        <v>0</v>
      </c>
      <c r="AF41" s="94">
        <f>SUM(SUMIFS('caseload data'!P:P,'caseload data'!$D:$D,"SPO",'caseload data'!$C:$C,'community caseload'!$T$36,'caseload data'!$B:$B,{"licence","community"}))</f>
        <v>0</v>
      </c>
      <c r="AG41" s="94">
        <f>SUM(SUMIFS('caseload data'!Q:Q,'caseload data'!$D:$D,"SPO",'caseload data'!$C:$C,'community caseload'!$T$36,'caseload data'!$B:$B,{"licence","community"}))</f>
        <v>0</v>
      </c>
      <c r="AH41" s="94">
        <f>SUM(SUMIFS('caseload data'!R:R,'caseload data'!$D:$D,"SPO",'caseload data'!$C:$C,'community caseload'!$T$36,'caseload data'!$B:$B,{"licence","community"}))</f>
        <v>0</v>
      </c>
      <c r="AI41" s="94">
        <f>SUM(SUMIFS('caseload data'!S:S,'caseload data'!$D:$D,"SPO",'caseload data'!$C:$C,'community caseload'!$T$36,'caseload data'!$B:$B,{"licence","community"}))</f>
        <v>0</v>
      </c>
      <c r="AJ41" s="94">
        <f>SUM(SUMIFS('caseload data'!T:T,'caseload data'!$D:$D,"SPO",'caseload data'!$C:$C,'community caseload'!$T$36,'caseload data'!$B:$B,{"licence","community"}))</f>
        <v>0</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9" customHeight="1" x14ac:dyDescent="0.15">
      <c r="B43" s="289">
        <f>HLOOKUP($B$5,Region_Table,12,0)</f>
        <v>0</v>
      </c>
      <c r="C43" s="509" t="s">
        <v>1130</v>
      </c>
      <c r="D43" s="510"/>
      <c r="E43" s="510"/>
      <c r="F43" s="510"/>
      <c r="G43" s="510"/>
      <c r="H43" s="510"/>
      <c r="I43" s="510"/>
      <c r="J43" s="510"/>
      <c r="K43" s="510"/>
      <c r="L43" s="510"/>
      <c r="M43" s="539"/>
      <c r="N43" s="539"/>
      <c r="O43" s="540"/>
      <c r="P43" s="512" cm="1">
        <f t="array" ref="P43">SUM(SUMIFS('caseload data'!V:V,'caseload data'!B:B,{"licence","community"},'caseload data'!$C:$C,'community caseload'!B43))</f>
        <v>0</v>
      </c>
      <c r="Q43" s="529"/>
      <c r="R43" s="530"/>
      <c r="S43" s="291"/>
      <c r="T43" s="289">
        <f>HLOOKUP($B$5,Region_Table,13,0)</f>
        <v>0</v>
      </c>
      <c r="U43" s="509" t="s">
        <v>1130</v>
      </c>
      <c r="V43" s="510"/>
      <c r="W43" s="510"/>
      <c r="X43" s="510"/>
      <c r="Y43" s="510"/>
      <c r="Z43" s="510"/>
      <c r="AA43" s="510"/>
      <c r="AB43" s="510"/>
      <c r="AC43" s="510"/>
      <c r="AD43" s="510"/>
      <c r="AE43" s="539"/>
      <c r="AF43" s="539"/>
      <c r="AG43" s="540"/>
      <c r="AH43" s="512" cm="1">
        <f t="array" ref="AH43">SUM(SUMIFS('caseload data'!V:V,'caseload data'!B:B,{"licence","community"},'caseload data'!$C:$C,'community caseload'!T43))</f>
        <v>0</v>
      </c>
      <c r="AI43" s="529"/>
      <c r="AJ43" s="530"/>
    </row>
    <row r="44" spans="2:36" x14ac:dyDescent="0.15">
      <c r="B44" s="95" t="s">
        <v>1000</v>
      </c>
      <c r="C44" s="38" t="s">
        <v>864</v>
      </c>
      <c r="D44" s="38" t="s">
        <v>865</v>
      </c>
      <c r="E44" s="38" t="s">
        <v>866</v>
      </c>
      <c r="F44" s="38" t="s">
        <v>867</v>
      </c>
      <c r="G44" s="38" t="s">
        <v>868</v>
      </c>
      <c r="H44" s="38" t="s">
        <v>869</v>
      </c>
      <c r="I44" s="38" t="s">
        <v>870</v>
      </c>
      <c r="J44" s="38" t="s">
        <v>871</v>
      </c>
      <c r="K44" s="38" t="s">
        <v>872</v>
      </c>
      <c r="L44" s="38" t="s">
        <v>873</v>
      </c>
      <c r="M44" s="38" t="s">
        <v>874</v>
      </c>
      <c r="N44" s="38" t="s">
        <v>875</v>
      </c>
      <c r="O44" s="38" t="s">
        <v>876</v>
      </c>
      <c r="P44" s="38" t="s">
        <v>877</v>
      </c>
      <c r="Q44" s="38" t="s">
        <v>878</v>
      </c>
      <c r="R44" s="38" t="s">
        <v>879</v>
      </c>
      <c r="S44" s="64"/>
      <c r="T44" s="95" t="s">
        <v>1000</v>
      </c>
      <c r="U44" s="38" t="s">
        <v>864</v>
      </c>
      <c r="V44" s="38" t="s">
        <v>865</v>
      </c>
      <c r="W44" s="38" t="s">
        <v>866</v>
      </c>
      <c r="X44" s="38" t="s">
        <v>867</v>
      </c>
      <c r="Y44" s="38" t="s">
        <v>868</v>
      </c>
      <c r="Z44" s="38" t="s">
        <v>869</v>
      </c>
      <c r="AA44" s="38" t="s">
        <v>870</v>
      </c>
      <c r="AB44" s="38" t="s">
        <v>871</v>
      </c>
      <c r="AC44" s="38" t="s">
        <v>872</v>
      </c>
      <c r="AD44" s="38" t="s">
        <v>873</v>
      </c>
      <c r="AE44" s="38" t="s">
        <v>874</v>
      </c>
      <c r="AF44" s="38" t="s">
        <v>875</v>
      </c>
      <c r="AG44" s="38" t="s">
        <v>876</v>
      </c>
      <c r="AH44" s="38" t="s">
        <v>877</v>
      </c>
      <c r="AI44" s="38" t="s">
        <v>878</v>
      </c>
      <c r="AJ44" s="38" t="s">
        <v>879</v>
      </c>
    </row>
    <row r="45" spans="2:36" x14ac:dyDescent="0.15">
      <c r="B45" s="96" t="s">
        <v>997</v>
      </c>
      <c r="C45" s="94">
        <f>SUM(SUMIFS('caseload data'!E:E,'caseload data'!$D:$D,"PO",'caseload data'!$C:$C,'community caseload'!$B$43,'caseload data'!$B:$B,{"licence","community"}))</f>
        <v>0</v>
      </c>
      <c r="D45" s="94">
        <f>SUM(SUMIFS('caseload data'!F:F,'caseload data'!$D:$D,"PO",'caseload data'!$C:$C,'community caseload'!$B$43,'caseload data'!$B:$B,{"licence","community"}))</f>
        <v>0</v>
      </c>
      <c r="E45" s="94">
        <f>SUM(SUMIFS('caseload data'!G:G,'caseload data'!$D:$D,"PO",'caseload data'!$C:$C,'community caseload'!$B$43,'caseload data'!$B:$B,{"licence","community"}))</f>
        <v>0</v>
      </c>
      <c r="F45" s="94">
        <f>SUM(SUMIFS('caseload data'!H:H,'caseload data'!$D:$D,"PO",'caseload data'!$C:$C,'community caseload'!$B$43,'caseload data'!$B:$B,{"licence","community"}))</f>
        <v>0</v>
      </c>
      <c r="G45" s="94">
        <f>SUM(SUMIFS('caseload data'!I:I,'caseload data'!$D:$D,"PO",'caseload data'!$C:$C,'community caseload'!$B$43,'caseload data'!$B:$B,{"licence","community"}))</f>
        <v>0</v>
      </c>
      <c r="H45" s="94">
        <f>SUM(SUMIFS('caseload data'!J:J,'caseload data'!$D:$D,"PO",'caseload data'!$C:$C,'community caseload'!$B$43,'caseload data'!$B:$B,{"licence","community"}))</f>
        <v>0</v>
      </c>
      <c r="I45" s="94">
        <f>SUM(SUMIFS('caseload data'!K:K,'caseload data'!$D:$D,"PO",'caseload data'!$C:$C,'community caseload'!$B$43,'caseload data'!$B:$B,{"licence","community"}))</f>
        <v>0</v>
      </c>
      <c r="J45" s="94">
        <f>SUM(SUMIFS('caseload data'!L:L,'caseload data'!$D:$D,"PO",'caseload data'!$C:$C,'community caseload'!$B$43,'caseload data'!$B:$B,{"licence","community"}))</f>
        <v>0</v>
      </c>
      <c r="K45" s="94">
        <f>SUM(SUMIFS('caseload data'!M:M,'caseload data'!$D:$D,"PO",'caseload data'!$C:$C,'community caseload'!$B$43,'caseload data'!$B:$B,{"licence","community"}))</f>
        <v>0</v>
      </c>
      <c r="L45" s="94">
        <f>SUM(SUMIFS('caseload data'!N:N,'caseload data'!$D:$D,"PO",'caseload data'!$C:$C,'community caseload'!$B$43,'caseload data'!$B:$B,{"licence","community"}))</f>
        <v>0</v>
      </c>
      <c r="M45" s="94">
        <f>SUM(SUMIFS('caseload data'!O:O,'caseload data'!$D:$D,"PO",'caseload data'!$C:$C,'community caseload'!$B$43,'caseload data'!$B:$B,{"licence","community"}))</f>
        <v>0</v>
      </c>
      <c r="N45" s="94">
        <f>SUM(SUMIFS('caseload data'!P:P,'caseload data'!$D:$D,"PO",'caseload data'!$C:$C,'community caseload'!$B$43,'caseload data'!$B:$B,{"licence","community"}))</f>
        <v>0</v>
      </c>
      <c r="O45" s="94">
        <f>SUM(SUMIFS('caseload data'!Q:Q,'caseload data'!$D:$D,"PO",'caseload data'!$C:$C,'community caseload'!$B$43,'caseload data'!$B:$B,{"licence","community"}))</f>
        <v>0</v>
      </c>
      <c r="P45" s="94">
        <f>SUM(SUMIFS('caseload data'!R:R,'caseload data'!$D:$D,"PO",'caseload data'!$C:$C,'community caseload'!$B$43,'caseload data'!$B:$B,{"licence","community"}))</f>
        <v>0</v>
      </c>
      <c r="Q45" s="94">
        <f>SUM(SUMIFS('caseload data'!S:S,'caseload data'!$D:$D,"PO",'caseload data'!$C:$C,'community caseload'!$B$43,'caseload data'!$B:$B,{"licence","community"}))</f>
        <v>0</v>
      </c>
      <c r="R45" s="94">
        <f>SUM(SUMIFS('caseload data'!T:T,'caseload data'!$D:$D,"PO",'caseload data'!$C:$C,'community caseload'!$B$43,'caseload data'!$B:$B,{"licence","community"}))</f>
        <v>0</v>
      </c>
      <c r="S45" s="64"/>
      <c r="T45" s="96" t="s">
        <v>997</v>
      </c>
      <c r="U45" s="94">
        <f>SUM(SUMIFS('caseload data'!E:E,'caseload data'!$D:$D,"PO",'caseload data'!$C:$C,'community caseload'!$T$43,'caseload data'!$B:$B,{"licence","community"}))</f>
        <v>0</v>
      </c>
      <c r="V45" s="94">
        <f>SUM(SUMIFS('caseload data'!F:F,'caseload data'!$D:$D,"PO",'caseload data'!$C:$C,'community caseload'!$T$43,'caseload data'!$B:$B,{"licence","community"}))</f>
        <v>0</v>
      </c>
      <c r="W45" s="94">
        <f>SUM(SUMIFS('caseload data'!G:G,'caseload data'!$D:$D,"PO",'caseload data'!$C:$C,'community caseload'!$T$43,'caseload data'!$B:$B,{"licence","community"}))</f>
        <v>0</v>
      </c>
      <c r="X45" s="94">
        <f>SUM(SUMIFS('caseload data'!H:H,'caseload data'!$D:$D,"PO",'caseload data'!$C:$C,'community caseload'!$T$43,'caseload data'!$B:$B,{"licence","community"}))</f>
        <v>0</v>
      </c>
      <c r="Y45" s="94">
        <f>SUM(SUMIFS('caseload data'!I:I,'caseload data'!$D:$D,"PO",'caseload data'!$C:$C,'community caseload'!$T$43,'caseload data'!$B:$B,{"licence","community"}))</f>
        <v>0</v>
      </c>
      <c r="Z45" s="94">
        <f>SUM(SUMIFS('caseload data'!J:J,'caseload data'!$D:$D,"PO",'caseload data'!$C:$C,'community caseload'!$T$43,'caseload data'!$B:$B,{"licence","community"}))</f>
        <v>0</v>
      </c>
      <c r="AA45" s="94">
        <f>SUM(SUMIFS('caseload data'!K:K,'caseload data'!$D:$D,"PO",'caseload data'!$C:$C,'community caseload'!$T$43,'caseload data'!$B:$B,{"licence","community"}))</f>
        <v>0</v>
      </c>
      <c r="AB45" s="94">
        <f>SUM(SUMIFS('caseload data'!L:L,'caseload data'!$D:$D,"PO",'caseload data'!$C:$C,'community caseload'!$T$43,'caseload data'!$B:$B,{"licence","community"}))</f>
        <v>0</v>
      </c>
      <c r="AC45" s="94">
        <f>SUM(SUMIFS('caseload data'!M:M,'caseload data'!$D:$D,"PO",'caseload data'!$C:$C,'community caseload'!$T$43,'caseload data'!$B:$B,{"licence","community"}))</f>
        <v>0</v>
      </c>
      <c r="AD45" s="94">
        <f>SUM(SUMIFS('caseload data'!N:N,'caseload data'!$D:$D,"PO",'caseload data'!$C:$C,'community caseload'!$T$43,'caseload data'!$B:$B,{"licence","community"}))</f>
        <v>0</v>
      </c>
      <c r="AE45" s="94">
        <f>SUM(SUMIFS('caseload data'!O:O,'caseload data'!$D:$D,"PO",'caseload data'!$C:$C,'community caseload'!$T$43,'caseload data'!$B:$B,{"licence","community"}))</f>
        <v>0</v>
      </c>
      <c r="AF45" s="94">
        <f>SUM(SUMIFS('caseload data'!P:P,'caseload data'!$D:$D,"PO",'caseload data'!$C:$C,'community caseload'!$T$43,'caseload data'!$B:$B,{"licence","community"}))</f>
        <v>0</v>
      </c>
      <c r="AG45" s="94">
        <f>SUM(SUMIFS('caseload data'!Q:Q,'caseload data'!$D:$D,"PO",'caseload data'!$C:$C,'community caseload'!$T$43,'caseload data'!$B:$B,{"licence","community"}))</f>
        <v>0</v>
      </c>
      <c r="AH45" s="94">
        <f>SUM(SUMIFS('caseload data'!R:R,'caseload data'!$D:$D,"PO",'caseload data'!$C:$C,'community caseload'!$T$43,'caseload data'!$B:$B,{"licence","community"}))</f>
        <v>0</v>
      </c>
      <c r="AI45" s="94">
        <f>SUM(SUMIFS('caseload data'!S:S,'caseload data'!$D:$D,"PO",'caseload data'!$C:$C,'community caseload'!$T$43,'caseload data'!$B:$B,{"licence","community"}))</f>
        <v>0</v>
      </c>
      <c r="AJ45" s="94">
        <f>SUM(SUMIFS('caseload data'!T:T,'caseload data'!$D:$D,"PO",'caseload data'!$C:$C,'community caseload'!$T$43,'caseload data'!$B:$B,{"licence","community"}))</f>
        <v>0</v>
      </c>
    </row>
    <row r="46" spans="2:36" x14ac:dyDescent="0.15">
      <c r="B46" s="97" t="s">
        <v>1002</v>
      </c>
      <c r="C46" s="94">
        <f>SUM(SUMIFS('caseload data'!E:E,'caseload data'!$D:$D,"PSO",'caseload data'!$C:$C,'community caseload'!$B$43,'caseload data'!$B:$B,{"licence","community"}))</f>
        <v>0</v>
      </c>
      <c r="D46" s="94">
        <f>SUM(SUMIFS('caseload data'!F:F,'caseload data'!$D:$D,"PSO",'caseload data'!$C:$C,'community caseload'!$B$43,'caseload data'!$B:$B,{"licence","community"}))</f>
        <v>0</v>
      </c>
      <c r="E46" s="94">
        <f>SUM(SUMIFS('caseload data'!G:G,'caseload data'!$D:$D,"PSO",'caseload data'!$C:$C,'community caseload'!$B$43,'caseload data'!$B:$B,{"licence","community"}))</f>
        <v>0</v>
      </c>
      <c r="F46" s="94">
        <f>SUM(SUMIFS('caseload data'!H:H,'caseload data'!$D:$D,"PSO",'caseload data'!$C:$C,'community caseload'!$B$43,'caseload data'!$B:$B,{"licence","community"}))</f>
        <v>0</v>
      </c>
      <c r="G46" s="94">
        <f>SUM(SUMIFS('caseload data'!I:I,'caseload data'!$D:$D,"PSO",'caseload data'!$C:$C,'community caseload'!$B$43,'caseload data'!$B:$B,{"licence","community"}))</f>
        <v>0</v>
      </c>
      <c r="H46" s="94">
        <f>SUM(SUMIFS('caseload data'!J:J,'caseload data'!$D:$D,"PSO",'caseload data'!$C:$C,'community caseload'!$B$43,'caseload data'!$B:$B,{"licence","community"}))</f>
        <v>0</v>
      </c>
      <c r="I46" s="94">
        <f>SUM(SUMIFS('caseload data'!K:K,'caseload data'!$D:$D,"PSO",'caseload data'!$C:$C,'community caseload'!$B$43,'caseload data'!$B:$B,{"licence","community"}))</f>
        <v>0</v>
      </c>
      <c r="J46" s="94">
        <f>SUM(SUMIFS('caseload data'!L:L,'caseload data'!$D:$D,"PSO",'caseload data'!$C:$C,'community caseload'!$B$43,'caseload data'!$B:$B,{"licence","community"}))</f>
        <v>0</v>
      </c>
      <c r="K46" s="94">
        <f>SUM(SUMIFS('caseload data'!M:M,'caseload data'!$D:$D,"PSO",'caseload data'!$C:$C,'community caseload'!$B$43,'caseload data'!$B:$B,{"licence","community"}))</f>
        <v>0</v>
      </c>
      <c r="L46" s="94">
        <f>SUM(SUMIFS('caseload data'!N:N,'caseload data'!$D:$D,"PSO",'caseload data'!$C:$C,'community caseload'!$B$43,'caseload data'!$B:$B,{"licence","community"}))</f>
        <v>0</v>
      </c>
      <c r="M46" s="94">
        <f>SUM(SUMIFS('caseload data'!O:O,'caseload data'!$D:$D,"PSO",'caseload data'!$C:$C,'community caseload'!$B$43,'caseload data'!$B:$B,{"licence","community"}))</f>
        <v>0</v>
      </c>
      <c r="N46" s="94">
        <f>SUM(SUMIFS('caseload data'!P:P,'caseload data'!$D:$D,"PSO",'caseload data'!$C:$C,'community caseload'!$B$43,'caseload data'!$B:$B,{"licence","community"}))</f>
        <v>0</v>
      </c>
      <c r="O46" s="94">
        <f>SUM(SUMIFS('caseload data'!Q:Q,'caseload data'!$D:$D,"PSO",'caseload data'!$C:$C,'community caseload'!$B$43,'caseload data'!$B:$B,{"licence","community"}))</f>
        <v>0</v>
      </c>
      <c r="P46" s="94">
        <f>SUM(SUMIFS('caseload data'!R:R,'caseload data'!$D:$D,"PSO",'caseload data'!$C:$C,'community caseload'!$B$43,'caseload data'!$B:$B,{"licence","community"}))</f>
        <v>0</v>
      </c>
      <c r="Q46" s="94">
        <f>SUM(SUMIFS('caseload data'!S:S,'caseload data'!$D:$D,"PSO",'caseload data'!$C:$C,'community caseload'!$B$43,'caseload data'!$B:$B,{"licence","community"}))</f>
        <v>0</v>
      </c>
      <c r="R46" s="94">
        <f>SUM(SUMIFS('caseload data'!T:T,'caseload data'!$D:$D,"PSO",'caseload data'!$C:$C,'community caseload'!$B$43,'caseload data'!$B:$B,{"licence","community"}))</f>
        <v>0</v>
      </c>
      <c r="S46" s="64"/>
      <c r="T46" s="97" t="s">
        <v>1002</v>
      </c>
      <c r="U46" s="94">
        <f>SUM(SUMIFS('caseload data'!E:E,'caseload data'!$D:$D,"PSO",'caseload data'!$C:$C,'community caseload'!$T$43,'caseload data'!$B:$B,{"licence","community"}))</f>
        <v>0</v>
      </c>
      <c r="V46" s="94">
        <f>SUM(SUMIFS('caseload data'!F:F,'caseload data'!$D:$D,"PSO",'caseload data'!$C:$C,'community caseload'!$T$43,'caseload data'!$B:$B,{"licence","community"}))</f>
        <v>0</v>
      </c>
      <c r="W46" s="94">
        <f>SUM(SUMIFS('caseload data'!G:G,'caseload data'!$D:$D,"PSO",'caseload data'!$C:$C,'community caseload'!$T$43,'caseload data'!$B:$B,{"licence","community"}))</f>
        <v>0</v>
      </c>
      <c r="X46" s="94">
        <f>SUM(SUMIFS('caseload data'!H:H,'caseload data'!$D:$D,"PSO",'caseload data'!$C:$C,'community caseload'!$T$43,'caseload data'!$B:$B,{"licence","community"}))</f>
        <v>0</v>
      </c>
      <c r="Y46" s="94">
        <f>SUM(SUMIFS('caseload data'!I:I,'caseload data'!$D:$D,"PSO",'caseload data'!$C:$C,'community caseload'!$T$43,'caseload data'!$B:$B,{"licence","community"}))</f>
        <v>0</v>
      </c>
      <c r="Z46" s="94">
        <f>SUM(SUMIFS('caseload data'!J:J,'caseload data'!$D:$D,"PSO",'caseload data'!$C:$C,'community caseload'!$T$43,'caseload data'!$B:$B,{"licence","community"}))</f>
        <v>0</v>
      </c>
      <c r="AA46" s="94">
        <f>SUM(SUMIFS('caseload data'!K:K,'caseload data'!$D:$D,"PSO",'caseload data'!$C:$C,'community caseload'!$T$43,'caseload data'!$B:$B,{"licence","community"}))</f>
        <v>0</v>
      </c>
      <c r="AB46" s="94">
        <f>SUM(SUMIFS('caseload data'!L:L,'caseload data'!$D:$D,"PSO",'caseload data'!$C:$C,'community caseload'!$T$43,'caseload data'!$B:$B,{"licence","community"}))</f>
        <v>0</v>
      </c>
      <c r="AC46" s="94">
        <f>SUM(SUMIFS('caseload data'!M:M,'caseload data'!$D:$D,"PSO",'caseload data'!$C:$C,'community caseload'!$T$43,'caseload data'!$B:$B,{"licence","community"}))</f>
        <v>0</v>
      </c>
      <c r="AD46" s="94">
        <f>SUM(SUMIFS('caseload data'!N:N,'caseload data'!$D:$D,"PSO",'caseload data'!$C:$C,'community caseload'!$T$43,'caseload data'!$B:$B,{"licence","community"}))</f>
        <v>0</v>
      </c>
      <c r="AE46" s="94">
        <f>SUM(SUMIFS('caseload data'!O:O,'caseload data'!$D:$D,"PSO",'caseload data'!$C:$C,'community caseload'!$T$43,'caseload data'!$B:$B,{"licence","community"}))</f>
        <v>0</v>
      </c>
      <c r="AF46" s="94">
        <f>SUM(SUMIFS('caseload data'!P:P,'caseload data'!$D:$D,"PSO",'caseload data'!$C:$C,'community caseload'!$T$43,'caseload data'!$B:$B,{"licence","community"}))</f>
        <v>0</v>
      </c>
      <c r="AG46" s="94">
        <f>SUM(SUMIFS('caseload data'!Q:Q,'caseload data'!$D:$D,"PSO",'caseload data'!$C:$C,'community caseload'!$T$43,'caseload data'!$B:$B,{"licence","community"}))</f>
        <v>0</v>
      </c>
      <c r="AH46" s="94">
        <f>SUM(SUMIFS('caseload data'!R:R,'caseload data'!$D:$D,"PSO",'caseload data'!$C:$C,'community caseload'!$T$43,'caseload data'!$B:$B,{"licence","community"}))</f>
        <v>0</v>
      </c>
      <c r="AI46" s="94">
        <f>SUM(SUMIFS('caseload data'!S:S,'caseload data'!$D:$D,"PSO",'caseload data'!$C:$C,'community caseload'!$T$43,'caseload data'!$B:$B,{"licence","community"}))</f>
        <v>0</v>
      </c>
      <c r="AJ46" s="94">
        <f>SUM(SUMIFS('caseload data'!T:T,'caseload data'!$D:$D,"PSO",'caseload data'!$C:$C,'community caseload'!$T$43,'caseload data'!$B:$B,{"licence","community"}))</f>
        <v>0</v>
      </c>
    </row>
    <row r="47" spans="2:36" x14ac:dyDescent="0.15">
      <c r="B47" s="97" t="s">
        <v>1003</v>
      </c>
      <c r="C47" s="94">
        <f>SUM(SUMIFS('caseload data'!E:E,'caseload data'!$D:$D,"TPO",'caseload data'!$C:$C,'community caseload'!$B$43,'caseload data'!$B:$B,{"licence","community"}))</f>
        <v>0</v>
      </c>
      <c r="D47" s="94">
        <f>SUM(SUMIFS('caseload data'!F:F,'caseload data'!$D:$D,"TPO",'caseload data'!$C:$C,'community caseload'!$B$43,'caseload data'!$B:$B,{"licence","community"}))</f>
        <v>0</v>
      </c>
      <c r="E47" s="94">
        <f>SUM(SUMIFS('caseload data'!G:G,'caseload data'!$D:$D,"TPO",'caseload data'!$C:$C,'community caseload'!$B$43,'caseload data'!$B:$B,{"licence","community"}))</f>
        <v>0</v>
      </c>
      <c r="F47" s="94">
        <f>SUM(SUMIFS('caseload data'!H:H,'caseload data'!$D:$D,"TPO",'caseload data'!$C:$C,'community caseload'!$B$43,'caseload data'!$B:$B,{"licence","community"}))</f>
        <v>0</v>
      </c>
      <c r="G47" s="94">
        <f>SUM(SUMIFS('caseload data'!I:I,'caseload data'!$D:$D,"TPO",'caseload data'!$C:$C,'community caseload'!$B$43,'caseload data'!$B:$B,{"licence","community"}))</f>
        <v>0</v>
      </c>
      <c r="H47" s="94">
        <f>SUM(SUMIFS('caseload data'!J:J,'caseload data'!$D:$D,"TPO",'caseload data'!$C:$C,'community caseload'!$B$43,'caseload data'!$B:$B,{"licence","community"}))</f>
        <v>0</v>
      </c>
      <c r="I47" s="94">
        <f>SUM(SUMIFS('caseload data'!K:K,'caseload data'!$D:$D,"TPO",'caseload data'!$C:$C,'community caseload'!$B$43,'caseload data'!$B:$B,{"licence","community"}))</f>
        <v>0</v>
      </c>
      <c r="J47" s="94">
        <f>SUM(SUMIFS('caseload data'!L:L,'caseload data'!$D:$D,"TPO",'caseload data'!$C:$C,'community caseload'!$B$43,'caseload data'!$B:$B,{"licence","community"}))</f>
        <v>0</v>
      </c>
      <c r="K47" s="94">
        <f>SUM(SUMIFS('caseload data'!M:M,'caseload data'!$D:$D,"TPO",'caseload data'!$C:$C,'community caseload'!$B$43,'caseload data'!$B:$B,{"licence","community"}))</f>
        <v>0</v>
      </c>
      <c r="L47" s="94">
        <f>SUM(SUMIFS('caseload data'!N:N,'caseload data'!$D:$D,"TPO",'caseload data'!$C:$C,'community caseload'!$B$43,'caseload data'!$B:$B,{"licence","community"}))</f>
        <v>0</v>
      </c>
      <c r="M47" s="94">
        <f>SUM(SUMIFS('caseload data'!O:O,'caseload data'!$D:$D,"TPO",'caseload data'!$C:$C,'community caseload'!$B$43,'caseload data'!$B:$B,{"licence","community"}))</f>
        <v>0</v>
      </c>
      <c r="N47" s="94">
        <f>SUM(SUMIFS('caseload data'!P:P,'caseload data'!$D:$D,"TPO",'caseload data'!$C:$C,'community caseload'!$B$43,'caseload data'!$B:$B,{"licence","community"}))</f>
        <v>0</v>
      </c>
      <c r="O47" s="94">
        <f>SUM(SUMIFS('caseload data'!Q:Q,'caseload data'!$D:$D,"TPO",'caseload data'!$C:$C,'community caseload'!$B$43,'caseload data'!$B:$B,{"licence","community"}))</f>
        <v>0</v>
      </c>
      <c r="P47" s="94">
        <f>SUM(SUMIFS('caseload data'!R:R,'caseload data'!$D:$D,"TPO",'caseload data'!$C:$C,'community caseload'!$B$43,'caseload data'!$B:$B,{"licence","community"}))</f>
        <v>0</v>
      </c>
      <c r="Q47" s="94">
        <f>SUM(SUMIFS('caseload data'!S:S,'caseload data'!$D:$D,"TPO",'caseload data'!$C:$C,'community caseload'!$B$43,'caseload data'!$B:$B,{"licence","community"}))</f>
        <v>0</v>
      </c>
      <c r="R47" s="94">
        <f>SUM(SUMIFS('caseload data'!T:T,'caseload data'!$D:$D,"TPO",'caseload data'!$C:$C,'community caseload'!$B$43,'caseload data'!$B:$B,{"licence","community"}))</f>
        <v>0</v>
      </c>
      <c r="S47" s="64"/>
      <c r="T47" s="97" t="s">
        <v>1003</v>
      </c>
      <c r="U47" s="94">
        <f>SUM(SUMIFS('caseload data'!E:E,'caseload data'!$D:$D,"TPO",'caseload data'!$C:$C,'community caseload'!$T$43,'caseload data'!$B:$B,{"licence","community"}))</f>
        <v>0</v>
      </c>
      <c r="V47" s="94">
        <f>SUM(SUMIFS('caseload data'!F:F,'caseload data'!$D:$D,"TPO",'caseload data'!$C:$C,'community caseload'!$T$43,'caseload data'!$B:$B,{"licence","community"}))</f>
        <v>0</v>
      </c>
      <c r="W47" s="94">
        <f>SUM(SUMIFS('caseload data'!G:G,'caseload data'!$D:$D,"TPO",'caseload data'!$C:$C,'community caseload'!$T$43,'caseload data'!$B:$B,{"licence","community"}))</f>
        <v>0</v>
      </c>
      <c r="X47" s="94">
        <f>SUM(SUMIFS('caseload data'!H:H,'caseload data'!$D:$D,"TPO",'caseload data'!$C:$C,'community caseload'!$T$43,'caseload data'!$B:$B,{"licence","community"}))</f>
        <v>0</v>
      </c>
      <c r="Y47" s="94">
        <f>SUM(SUMIFS('caseload data'!I:I,'caseload data'!$D:$D,"TPO",'caseload data'!$C:$C,'community caseload'!$T$43,'caseload data'!$B:$B,{"licence","community"}))</f>
        <v>0</v>
      </c>
      <c r="Z47" s="94">
        <f>SUM(SUMIFS('caseload data'!J:J,'caseload data'!$D:$D,"TPO",'caseload data'!$C:$C,'community caseload'!$T$43,'caseload data'!$B:$B,{"licence","community"}))</f>
        <v>0</v>
      </c>
      <c r="AA47" s="94">
        <f>SUM(SUMIFS('caseload data'!K:K,'caseload data'!$D:$D,"TPO",'caseload data'!$C:$C,'community caseload'!$T$43,'caseload data'!$B:$B,{"licence","community"}))</f>
        <v>0</v>
      </c>
      <c r="AB47" s="94">
        <f>SUM(SUMIFS('caseload data'!L:L,'caseload data'!$D:$D,"TPO",'caseload data'!$C:$C,'community caseload'!$T$43,'caseload data'!$B:$B,{"licence","community"}))</f>
        <v>0</v>
      </c>
      <c r="AC47" s="94">
        <f>SUM(SUMIFS('caseload data'!M:M,'caseload data'!$D:$D,"TPO",'caseload data'!$C:$C,'community caseload'!$T$43,'caseload data'!$B:$B,{"licence","community"}))</f>
        <v>0</v>
      </c>
      <c r="AD47" s="94">
        <f>SUM(SUMIFS('caseload data'!N:N,'caseload data'!$D:$D,"TPO",'caseload data'!$C:$C,'community caseload'!$T$43,'caseload data'!$B:$B,{"licence","community"}))</f>
        <v>0</v>
      </c>
      <c r="AE47" s="94">
        <f>SUM(SUMIFS('caseload data'!O:O,'caseload data'!$D:$D,"TPO",'caseload data'!$C:$C,'community caseload'!$T$43,'caseload data'!$B:$B,{"licence","community"}))</f>
        <v>0</v>
      </c>
      <c r="AF47" s="94">
        <f>SUM(SUMIFS('caseload data'!P:P,'caseload data'!$D:$D,"TPO",'caseload data'!$C:$C,'community caseload'!$T$43,'caseload data'!$B:$B,{"licence","community"}))</f>
        <v>0</v>
      </c>
      <c r="AG47" s="94">
        <f>SUM(SUMIFS('caseload data'!Q:Q,'caseload data'!$D:$D,"TPO",'caseload data'!$C:$C,'community caseload'!$T$43,'caseload data'!$B:$B,{"licence","community"}))</f>
        <v>0</v>
      </c>
      <c r="AH47" s="94">
        <f>SUM(SUMIFS('caseload data'!R:R,'caseload data'!$D:$D,"TPO",'caseload data'!$C:$C,'community caseload'!$T$43,'caseload data'!$B:$B,{"licence","community"}))</f>
        <v>0</v>
      </c>
      <c r="AI47" s="94">
        <f>SUM(SUMIFS('caseload data'!S:S,'caseload data'!$D:$D,"TPO",'caseload data'!$C:$C,'community caseload'!$T$43,'caseload data'!$B:$B,{"licence","community"}))</f>
        <v>0</v>
      </c>
      <c r="AJ47" s="94">
        <f>SUM(SUMIFS('caseload data'!T:T,'caseload data'!$D:$D,"TPO",'caseload data'!$C:$C,'community caseload'!$T$43,'caseload data'!$B:$B,{"licence","community"}))</f>
        <v>0</v>
      </c>
    </row>
    <row r="48" spans="2:36" x14ac:dyDescent="0.15">
      <c r="B48" s="98" t="s">
        <v>1004</v>
      </c>
      <c r="C48" s="94">
        <f>SUM(SUMIFS('caseload data'!E:E,'caseload data'!$D:$D,"SPO",'caseload data'!$C:$C,'community caseload'!$B$43,'caseload data'!$B:$B,{"licence","community"}))</f>
        <v>0</v>
      </c>
      <c r="D48" s="94">
        <f>SUM(SUMIFS('caseload data'!F:F,'caseload data'!$D:$D,"SPO",'caseload data'!$C:$C,'community caseload'!$B$43,'caseload data'!$B:$B,{"licence","community"}))</f>
        <v>0</v>
      </c>
      <c r="E48" s="94">
        <f>SUM(SUMIFS('caseload data'!G:G,'caseload data'!$D:$D,"SPO",'caseload data'!$C:$C,'community caseload'!$B$43,'caseload data'!$B:$B,{"licence","community"}))</f>
        <v>0</v>
      </c>
      <c r="F48" s="94">
        <f>SUM(SUMIFS('caseload data'!H:H,'caseload data'!$D:$D,"SPO",'caseload data'!$C:$C,'community caseload'!$B$43,'caseload data'!$B:$B,{"licence","community"}))</f>
        <v>0</v>
      </c>
      <c r="G48" s="94">
        <f>SUM(SUMIFS('caseload data'!I:I,'caseload data'!$D:$D,"SPO",'caseload data'!$C:$C,'community caseload'!$B$43,'caseload data'!$B:$B,{"licence","community"}))</f>
        <v>0</v>
      </c>
      <c r="H48" s="94">
        <f>SUM(SUMIFS('caseload data'!J:J,'caseload data'!$D:$D,"SPO",'caseload data'!$C:$C,'community caseload'!$B$43,'caseload data'!$B:$B,{"licence","community"}))</f>
        <v>0</v>
      </c>
      <c r="I48" s="94">
        <f>SUM(SUMIFS('caseload data'!K:K,'caseload data'!$D:$D,"SPO",'caseload data'!$C:$C,'community caseload'!$B$43,'caseload data'!$B:$B,{"licence","community"}))</f>
        <v>0</v>
      </c>
      <c r="J48" s="94">
        <f>SUM(SUMIFS('caseload data'!L:L,'caseload data'!$D:$D,"SPO",'caseload data'!$C:$C,'community caseload'!$B$43,'caseload data'!$B:$B,{"licence","community"}))</f>
        <v>0</v>
      </c>
      <c r="K48" s="94">
        <f>SUM(SUMIFS('caseload data'!M:M,'caseload data'!$D:$D,"SPO",'caseload data'!$C:$C,'community caseload'!$B$43,'caseload data'!$B:$B,{"licence","community"}))</f>
        <v>0</v>
      </c>
      <c r="L48" s="94">
        <f>SUM(SUMIFS('caseload data'!N:N,'caseload data'!$D:$D,"SPO",'caseload data'!$C:$C,'community caseload'!$B$43,'caseload data'!$B:$B,{"licence","community"}))</f>
        <v>0</v>
      </c>
      <c r="M48" s="94">
        <f>SUM(SUMIFS('caseload data'!O:O,'caseload data'!$D:$D,"SPO",'caseload data'!$C:$C,'community caseload'!$B$43,'caseload data'!$B:$B,{"licence","community"}))</f>
        <v>0</v>
      </c>
      <c r="N48" s="94">
        <f>SUM(SUMIFS('caseload data'!P:P,'caseload data'!$D:$D,"SPO",'caseload data'!$C:$C,'community caseload'!$B$43,'caseload data'!$B:$B,{"licence","community"}))</f>
        <v>0</v>
      </c>
      <c r="O48" s="94">
        <f>SUM(SUMIFS('caseload data'!Q:Q,'caseload data'!$D:$D,"SPO",'caseload data'!$C:$C,'community caseload'!$B$43,'caseload data'!$B:$B,{"licence","community"}))</f>
        <v>0</v>
      </c>
      <c r="P48" s="94">
        <f>SUM(SUMIFS('caseload data'!R:R,'caseload data'!$D:$D,"SPO",'caseload data'!$C:$C,'community caseload'!$B$43,'caseload data'!$B:$B,{"licence","community"}))</f>
        <v>0</v>
      </c>
      <c r="Q48" s="94">
        <f>SUM(SUMIFS('caseload data'!S:S,'caseload data'!$D:$D,"SPO",'caseload data'!$C:$C,'community caseload'!$B$43,'caseload data'!$B:$B,{"licence","community"}))</f>
        <v>0</v>
      </c>
      <c r="R48" s="94">
        <f>SUM(SUMIFS('caseload data'!T:T,'caseload data'!$D:$D,"SPO",'caseload data'!$C:$C,'community caseload'!$B$43,'caseload data'!$B:$B,{"licence","community"}))</f>
        <v>0</v>
      </c>
      <c r="S48" s="64"/>
      <c r="T48" s="98" t="s">
        <v>1004</v>
      </c>
      <c r="U48" s="94">
        <f>SUM(SUMIFS('caseload data'!E:E,'caseload data'!$D:$D,"SPO",'caseload data'!$C:$C,'community caseload'!$T$43,'caseload data'!$B:$B,{"licence","community"}))</f>
        <v>0</v>
      </c>
      <c r="V48" s="94">
        <f>SUM(SUMIFS('caseload data'!F:F,'caseload data'!$D:$D,"SPO",'caseload data'!$C:$C,'community caseload'!$T$43,'caseload data'!$B:$B,{"licence","community"}))</f>
        <v>0</v>
      </c>
      <c r="W48" s="94">
        <f>SUM(SUMIFS('caseload data'!G:G,'caseload data'!$D:$D,"SPO",'caseload data'!$C:$C,'community caseload'!$T$43,'caseload data'!$B:$B,{"licence","community"}))</f>
        <v>0</v>
      </c>
      <c r="X48" s="94">
        <f>SUM(SUMIFS('caseload data'!H:H,'caseload data'!$D:$D,"SPO",'caseload data'!$C:$C,'community caseload'!$T$43,'caseload data'!$B:$B,{"licence","community"}))</f>
        <v>0</v>
      </c>
      <c r="Y48" s="94">
        <f>SUM(SUMIFS('caseload data'!I:I,'caseload data'!$D:$D,"SPO",'caseload data'!$C:$C,'community caseload'!$T$43,'caseload data'!$B:$B,{"licence","community"}))</f>
        <v>0</v>
      </c>
      <c r="Z48" s="94">
        <f>SUM(SUMIFS('caseload data'!J:J,'caseload data'!$D:$D,"SPO",'caseload data'!$C:$C,'community caseload'!$T$43,'caseload data'!$B:$B,{"licence","community"}))</f>
        <v>0</v>
      </c>
      <c r="AA48" s="94">
        <f>SUM(SUMIFS('caseload data'!K:K,'caseload data'!$D:$D,"SPO",'caseload data'!$C:$C,'community caseload'!$T$43,'caseload data'!$B:$B,{"licence","community"}))</f>
        <v>0</v>
      </c>
      <c r="AB48" s="94">
        <f>SUM(SUMIFS('caseload data'!L:L,'caseload data'!$D:$D,"SPO",'caseload data'!$C:$C,'community caseload'!$T$43,'caseload data'!$B:$B,{"licence","community"}))</f>
        <v>0</v>
      </c>
      <c r="AC48" s="94">
        <f>SUM(SUMIFS('caseload data'!M:M,'caseload data'!$D:$D,"SPO",'caseload data'!$C:$C,'community caseload'!$T$43,'caseload data'!$B:$B,{"licence","community"}))</f>
        <v>0</v>
      </c>
      <c r="AD48" s="94">
        <f>SUM(SUMIFS('caseload data'!N:N,'caseload data'!$D:$D,"SPO",'caseload data'!$C:$C,'community caseload'!$T$43,'caseload data'!$B:$B,{"licence","community"}))</f>
        <v>0</v>
      </c>
      <c r="AE48" s="94">
        <f>SUM(SUMIFS('caseload data'!O:O,'caseload data'!$D:$D,"SPO",'caseload data'!$C:$C,'community caseload'!$T$43,'caseload data'!$B:$B,{"licence","community"}))</f>
        <v>0</v>
      </c>
      <c r="AF48" s="94">
        <f>SUM(SUMIFS('caseload data'!P:P,'caseload data'!$D:$D,"SPO",'caseload data'!$C:$C,'community caseload'!$T$43,'caseload data'!$B:$B,{"licence","community"}))</f>
        <v>0</v>
      </c>
      <c r="AG48" s="94">
        <f>SUM(SUMIFS('caseload data'!Q:Q,'caseload data'!$D:$D,"SPO",'caseload data'!$C:$C,'community caseload'!$T$43,'caseload data'!$B:$B,{"licence","community"}))</f>
        <v>0</v>
      </c>
      <c r="AH48" s="94">
        <f>SUM(SUMIFS('caseload data'!R:R,'caseload data'!$D:$D,"SPO",'caseload data'!$C:$C,'community caseload'!$T$43,'caseload data'!$B:$B,{"licence","community"}))</f>
        <v>0</v>
      </c>
      <c r="AI48" s="94">
        <f>SUM(SUMIFS('caseload data'!S:S,'caseload data'!$D:$D,"SPO",'caseload data'!$C:$C,'community caseload'!$T$43,'caseload data'!$B:$B,{"licence","community"}))</f>
        <v>0</v>
      </c>
      <c r="AJ48" s="94">
        <f>SUM(SUMIFS('caseload data'!T:T,'caseload data'!$D:$D,"SPO",'caseload data'!$C:$C,'community caseload'!$T$43,'caseload data'!$B:$B,{"licence","community"}))</f>
        <v>0</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7" customHeight="1" x14ac:dyDescent="0.15">
      <c r="B50" s="289">
        <f>HLOOKUP($B$5,Region_Table,14,0)</f>
        <v>0</v>
      </c>
      <c r="C50" s="509" t="s">
        <v>1130</v>
      </c>
      <c r="D50" s="510"/>
      <c r="E50" s="510"/>
      <c r="F50" s="510"/>
      <c r="G50" s="510"/>
      <c r="H50" s="510"/>
      <c r="I50" s="510"/>
      <c r="J50" s="510"/>
      <c r="K50" s="510"/>
      <c r="L50" s="510"/>
      <c r="M50" s="539"/>
      <c r="N50" s="539"/>
      <c r="O50" s="540"/>
      <c r="P50" s="512" cm="1">
        <f t="array" ref="P50">SUM(SUMIFS('caseload data'!V:V,'caseload data'!B:B,{"licence","community"},'caseload data'!$C:$C,'community caseload'!B50))</f>
        <v>0</v>
      </c>
      <c r="Q50" s="529"/>
      <c r="R50" s="530"/>
      <c r="S50" s="291"/>
      <c r="T50" s="289">
        <f>HLOOKUP($B$5,Region_Table,15,0)</f>
        <v>0</v>
      </c>
      <c r="U50" s="509" t="s">
        <v>1130</v>
      </c>
      <c r="V50" s="510"/>
      <c r="W50" s="510"/>
      <c r="X50" s="510"/>
      <c r="Y50" s="510"/>
      <c r="Z50" s="510"/>
      <c r="AA50" s="510"/>
      <c r="AB50" s="510"/>
      <c r="AC50" s="510"/>
      <c r="AD50" s="510"/>
      <c r="AE50" s="539"/>
      <c r="AF50" s="539"/>
      <c r="AG50" s="540"/>
      <c r="AH50" s="512" cm="1">
        <f t="array" ref="AH50">SUM(SUMIFS('caseload data'!V:V,'caseload data'!B:B,{"licence","community"},'caseload data'!$C:$C,'community caseload'!T50))</f>
        <v>0</v>
      </c>
      <c r="AI50" s="529"/>
      <c r="AJ50" s="530"/>
    </row>
    <row r="51" spans="2:36" x14ac:dyDescent="0.15">
      <c r="B51" s="95" t="s">
        <v>1000</v>
      </c>
      <c r="C51" s="38" t="s">
        <v>864</v>
      </c>
      <c r="D51" s="38" t="s">
        <v>865</v>
      </c>
      <c r="E51" s="38" t="s">
        <v>866</v>
      </c>
      <c r="F51" s="38" t="s">
        <v>867</v>
      </c>
      <c r="G51" s="38" t="s">
        <v>868</v>
      </c>
      <c r="H51" s="38" t="s">
        <v>869</v>
      </c>
      <c r="I51" s="38" t="s">
        <v>870</v>
      </c>
      <c r="J51" s="38" t="s">
        <v>871</v>
      </c>
      <c r="K51" s="38" t="s">
        <v>872</v>
      </c>
      <c r="L51" s="38" t="s">
        <v>873</v>
      </c>
      <c r="M51" s="38" t="s">
        <v>874</v>
      </c>
      <c r="N51" s="38" t="s">
        <v>875</v>
      </c>
      <c r="O51" s="38" t="s">
        <v>876</v>
      </c>
      <c r="P51" s="38" t="s">
        <v>877</v>
      </c>
      <c r="Q51" s="38" t="s">
        <v>878</v>
      </c>
      <c r="R51" s="38" t="s">
        <v>879</v>
      </c>
      <c r="S51" s="64"/>
      <c r="T51" s="95" t="s">
        <v>1000</v>
      </c>
      <c r="U51" s="38" t="s">
        <v>864</v>
      </c>
      <c r="V51" s="38" t="s">
        <v>865</v>
      </c>
      <c r="W51" s="38" t="s">
        <v>866</v>
      </c>
      <c r="X51" s="38" t="s">
        <v>867</v>
      </c>
      <c r="Y51" s="38" t="s">
        <v>868</v>
      </c>
      <c r="Z51" s="38" t="s">
        <v>869</v>
      </c>
      <c r="AA51" s="38" t="s">
        <v>870</v>
      </c>
      <c r="AB51" s="38" t="s">
        <v>871</v>
      </c>
      <c r="AC51" s="38" t="s">
        <v>872</v>
      </c>
      <c r="AD51" s="38" t="s">
        <v>873</v>
      </c>
      <c r="AE51" s="38" t="s">
        <v>874</v>
      </c>
      <c r="AF51" s="38" t="s">
        <v>875</v>
      </c>
      <c r="AG51" s="38" t="s">
        <v>876</v>
      </c>
      <c r="AH51" s="38" t="s">
        <v>877</v>
      </c>
      <c r="AI51" s="38" t="s">
        <v>878</v>
      </c>
      <c r="AJ51" s="38" t="s">
        <v>879</v>
      </c>
    </row>
    <row r="52" spans="2:36" x14ac:dyDescent="0.15">
      <c r="B52" s="96" t="s">
        <v>997</v>
      </c>
      <c r="C52" s="94">
        <f>SUM(SUMIFS('caseload data'!E:E,'caseload data'!$D:$D,"PO",'caseload data'!$C:$C,'community caseload'!$B$50,'caseload data'!$B:$B,{"licence","community"}))</f>
        <v>0</v>
      </c>
      <c r="D52" s="94">
        <f>SUM(SUMIFS('caseload data'!F:F,'caseload data'!$D:$D,"PO",'caseload data'!$C:$C,'community caseload'!$B$50,'caseload data'!$B:$B,{"licence","community"}))</f>
        <v>0</v>
      </c>
      <c r="E52" s="94">
        <f>SUM(SUMIFS('caseload data'!G:G,'caseload data'!$D:$D,"PO",'caseload data'!$C:$C,'community caseload'!$B$50,'caseload data'!$B:$B,{"licence","community"}))</f>
        <v>0</v>
      </c>
      <c r="F52" s="94">
        <f>SUM(SUMIFS('caseload data'!H:H,'caseload data'!$D:$D,"PO",'caseload data'!$C:$C,'community caseload'!$B$50,'caseload data'!$B:$B,{"licence","community"}))</f>
        <v>0</v>
      </c>
      <c r="G52" s="94">
        <f>SUM(SUMIFS('caseload data'!I:I,'caseload data'!$D:$D,"PO",'caseload data'!$C:$C,'community caseload'!$B$50,'caseload data'!$B:$B,{"licence","community"}))</f>
        <v>0</v>
      </c>
      <c r="H52" s="94">
        <f>SUM(SUMIFS('caseload data'!J:J,'caseload data'!$D:$D,"PO",'caseload data'!$C:$C,'community caseload'!$B$50,'caseload data'!$B:$B,{"licence","community"}))</f>
        <v>0</v>
      </c>
      <c r="I52" s="94">
        <f>SUM(SUMIFS('caseload data'!K:K,'caseload data'!$D:$D,"PO",'caseload data'!$C:$C,'community caseload'!$B$50,'caseload data'!$B:$B,{"licence","community"}))</f>
        <v>0</v>
      </c>
      <c r="J52" s="94">
        <f>SUM(SUMIFS('caseload data'!L:L,'caseload data'!$D:$D,"PO",'caseload data'!$C:$C,'community caseload'!$B$50,'caseload data'!$B:$B,{"licence","community"}))</f>
        <v>0</v>
      </c>
      <c r="K52" s="94">
        <f>SUM(SUMIFS('caseload data'!M:M,'caseload data'!$D:$D,"PO",'caseload data'!$C:$C,'community caseload'!$B$50,'caseload data'!$B:$B,{"licence","community"}))</f>
        <v>0</v>
      </c>
      <c r="L52" s="94">
        <f>SUM(SUMIFS('caseload data'!N:N,'caseload data'!$D:$D,"PO",'caseload data'!$C:$C,'community caseload'!$B$50,'caseload data'!$B:$B,{"licence","community"}))</f>
        <v>0</v>
      </c>
      <c r="M52" s="94">
        <f>SUM(SUMIFS('caseload data'!O:O,'caseload data'!$D:$D,"PO",'caseload data'!$C:$C,'community caseload'!$B$50,'caseload data'!$B:$B,{"licence","community"}))</f>
        <v>0</v>
      </c>
      <c r="N52" s="94">
        <f>SUM(SUMIFS('caseload data'!P:P,'caseload data'!$D:$D,"PO",'caseload data'!$C:$C,'community caseload'!$B$50,'caseload data'!$B:$B,{"licence","community"}))</f>
        <v>0</v>
      </c>
      <c r="O52" s="94">
        <f>SUM(SUMIFS('caseload data'!Q:Q,'caseload data'!$D:$D,"PO",'caseload data'!$C:$C,'community caseload'!$B$50,'caseload data'!$B:$B,{"licence","community"}))</f>
        <v>0</v>
      </c>
      <c r="P52" s="94">
        <f>SUM(SUMIFS('caseload data'!R:R,'caseload data'!$D:$D,"PO",'caseload data'!$C:$C,'community caseload'!$B$50,'caseload data'!$B:$B,{"licence","community"}))</f>
        <v>0</v>
      </c>
      <c r="Q52" s="94">
        <f>SUM(SUMIFS('caseload data'!S:S,'caseload data'!$D:$D,"PO",'caseload data'!$C:$C,'community caseload'!$B$50,'caseload data'!$B:$B,{"licence","community"}))</f>
        <v>0</v>
      </c>
      <c r="R52" s="94">
        <f>SUM(SUMIFS('caseload data'!T:T,'caseload data'!$D:$D,"PO",'caseload data'!$C:$C,'community caseload'!$B$50,'caseload data'!$B:$B,{"licence","community"}))</f>
        <v>0</v>
      </c>
      <c r="S52" s="64"/>
      <c r="T52" s="96" t="s">
        <v>997</v>
      </c>
      <c r="U52" s="94">
        <f>SUM(SUMIFS('caseload data'!E:E,'caseload data'!$D:$D,"PO",'caseload data'!$C:$C,'community caseload'!$T$50,'caseload data'!$B:$B,{"licence","community"}))</f>
        <v>0</v>
      </c>
      <c r="V52" s="94">
        <f>SUM(SUMIFS('caseload data'!F:F,'caseload data'!$D:$D,"PO",'caseload data'!$C:$C,'community caseload'!$T$50,'caseload data'!$B:$B,{"licence","community"}))</f>
        <v>0</v>
      </c>
      <c r="W52" s="94">
        <f>SUM(SUMIFS('caseload data'!G:G,'caseload data'!$D:$D,"PO",'caseload data'!$C:$C,'community caseload'!$T$50,'caseload data'!$B:$B,{"licence","community"}))</f>
        <v>0</v>
      </c>
      <c r="X52" s="94">
        <f>SUM(SUMIFS('caseload data'!H:H,'caseload data'!$D:$D,"PO",'caseload data'!$C:$C,'community caseload'!$T$50,'caseload data'!$B:$B,{"licence","community"}))</f>
        <v>0</v>
      </c>
      <c r="Y52" s="94">
        <f>SUM(SUMIFS('caseload data'!I:I,'caseload data'!$D:$D,"PO",'caseload data'!$C:$C,'community caseload'!$T$50,'caseload data'!$B:$B,{"licence","community"}))</f>
        <v>0</v>
      </c>
      <c r="Z52" s="94">
        <f>SUM(SUMIFS('caseload data'!J:J,'caseload data'!$D:$D,"PO",'caseload data'!$C:$C,'community caseload'!$T$50,'caseload data'!$B:$B,{"licence","community"}))</f>
        <v>0</v>
      </c>
      <c r="AA52" s="94">
        <f>SUM(SUMIFS('caseload data'!K:K,'caseload data'!$D:$D,"PO",'caseload data'!$C:$C,'community caseload'!$T$50,'caseload data'!$B:$B,{"licence","community"}))</f>
        <v>0</v>
      </c>
      <c r="AB52" s="94">
        <f>SUM(SUMIFS('caseload data'!L:L,'caseload data'!$D:$D,"PO",'caseload data'!$C:$C,'community caseload'!$T$50,'caseload data'!$B:$B,{"licence","community"}))</f>
        <v>0</v>
      </c>
      <c r="AC52" s="94">
        <f>SUM(SUMIFS('caseload data'!M:M,'caseload data'!$D:$D,"PO",'caseload data'!$C:$C,'community caseload'!$T$50,'caseload data'!$B:$B,{"licence","community"}))</f>
        <v>0</v>
      </c>
      <c r="AD52" s="94">
        <f>SUM(SUMIFS('caseload data'!N:N,'caseload data'!$D:$D,"PO",'caseload data'!$C:$C,'community caseload'!$T$50,'caseload data'!$B:$B,{"licence","community"}))</f>
        <v>0</v>
      </c>
      <c r="AE52" s="94">
        <f>SUM(SUMIFS('caseload data'!O:O,'caseload data'!$D:$D,"PO",'caseload data'!$C:$C,'community caseload'!$T$50,'caseload data'!$B:$B,{"licence","community"}))</f>
        <v>0</v>
      </c>
      <c r="AF52" s="94">
        <f>SUM(SUMIFS('caseload data'!P:P,'caseload data'!$D:$D,"PO",'caseload data'!$C:$C,'community caseload'!$T$50,'caseload data'!$B:$B,{"licence","community"}))</f>
        <v>0</v>
      </c>
      <c r="AG52" s="94">
        <f>SUM(SUMIFS('caseload data'!Q:Q,'caseload data'!$D:$D,"PO",'caseload data'!$C:$C,'community caseload'!$T$50,'caseload data'!$B:$B,{"licence","community"}))</f>
        <v>0</v>
      </c>
      <c r="AH52" s="94">
        <f>SUM(SUMIFS('caseload data'!R:R,'caseload data'!$D:$D,"PO",'caseload data'!$C:$C,'community caseload'!$T$50,'caseload data'!$B:$B,{"licence","community"}))</f>
        <v>0</v>
      </c>
      <c r="AI52" s="94">
        <f>SUM(SUMIFS('caseload data'!S:S,'caseload data'!$D:$D,"PO",'caseload data'!$C:$C,'community caseload'!$T$50,'caseload data'!$B:$B,{"licence","community"}))</f>
        <v>0</v>
      </c>
      <c r="AJ52" s="94">
        <f>SUM(SUMIFS('caseload data'!T:T,'caseload data'!$D:$D,"PO",'caseload data'!$C:$C,'community caseload'!$T$50,'caseload data'!$B:$B,{"licence","community"}))</f>
        <v>0</v>
      </c>
    </row>
    <row r="53" spans="2:36" x14ac:dyDescent="0.15">
      <c r="B53" s="97" t="s">
        <v>1002</v>
      </c>
      <c r="C53" s="94">
        <f>SUM(SUMIFS('caseload data'!E:E,'caseload data'!$D:$D,"PSO",'caseload data'!$C:$C,'community caseload'!$B$50,'caseload data'!$B:$B,{"licence","community"}))</f>
        <v>0</v>
      </c>
      <c r="D53" s="94">
        <f>SUM(SUMIFS('caseload data'!F:F,'caseload data'!$D:$D,"PSO",'caseload data'!$C:$C,'community caseload'!$B$50,'caseload data'!$B:$B,{"licence","community"}))</f>
        <v>0</v>
      </c>
      <c r="E53" s="94">
        <f>SUM(SUMIFS('caseload data'!G:G,'caseload data'!$D:$D,"PSO",'caseload data'!$C:$C,'community caseload'!$B$50,'caseload data'!$B:$B,{"licence","community"}))</f>
        <v>0</v>
      </c>
      <c r="F53" s="94">
        <f>SUM(SUMIFS('caseload data'!H:H,'caseload data'!$D:$D,"PSO",'caseload data'!$C:$C,'community caseload'!$B$50,'caseload data'!$B:$B,{"licence","community"}))</f>
        <v>0</v>
      </c>
      <c r="G53" s="94">
        <f>SUM(SUMIFS('caseload data'!I:I,'caseload data'!$D:$D,"PSO",'caseload data'!$C:$C,'community caseload'!$B$50,'caseload data'!$B:$B,{"licence","community"}))</f>
        <v>0</v>
      </c>
      <c r="H53" s="94">
        <f>SUM(SUMIFS('caseload data'!J:J,'caseload data'!$D:$D,"PSO",'caseload data'!$C:$C,'community caseload'!$B$50,'caseload data'!$B:$B,{"licence","community"}))</f>
        <v>0</v>
      </c>
      <c r="I53" s="94">
        <f>SUM(SUMIFS('caseload data'!K:K,'caseload data'!$D:$D,"PSO",'caseload data'!$C:$C,'community caseload'!$B$50,'caseload data'!$B:$B,{"licence","community"}))</f>
        <v>0</v>
      </c>
      <c r="J53" s="94">
        <f>SUM(SUMIFS('caseload data'!L:L,'caseload data'!$D:$D,"PSO",'caseload data'!$C:$C,'community caseload'!$B$50,'caseload data'!$B:$B,{"licence","community"}))</f>
        <v>0</v>
      </c>
      <c r="K53" s="94">
        <f>SUM(SUMIFS('caseload data'!M:M,'caseload data'!$D:$D,"PSO",'caseload data'!$C:$C,'community caseload'!$B$50,'caseload data'!$B:$B,{"licence","community"}))</f>
        <v>0</v>
      </c>
      <c r="L53" s="94">
        <f>SUM(SUMIFS('caseload data'!N:N,'caseload data'!$D:$D,"PSO",'caseload data'!$C:$C,'community caseload'!$B$50,'caseload data'!$B:$B,{"licence","community"}))</f>
        <v>0</v>
      </c>
      <c r="M53" s="94">
        <f>SUM(SUMIFS('caseload data'!O:O,'caseload data'!$D:$D,"PSO",'caseload data'!$C:$C,'community caseload'!$B$50,'caseload data'!$B:$B,{"licence","community"}))</f>
        <v>0</v>
      </c>
      <c r="N53" s="94">
        <f>SUM(SUMIFS('caseload data'!P:P,'caseload data'!$D:$D,"PSO",'caseload data'!$C:$C,'community caseload'!$B$50,'caseload data'!$B:$B,{"licence","community"}))</f>
        <v>0</v>
      </c>
      <c r="O53" s="94">
        <f>SUM(SUMIFS('caseload data'!Q:Q,'caseload data'!$D:$D,"PSO",'caseload data'!$C:$C,'community caseload'!$B$50,'caseload data'!$B:$B,{"licence","community"}))</f>
        <v>0</v>
      </c>
      <c r="P53" s="94">
        <f>SUM(SUMIFS('caseload data'!R:R,'caseload data'!$D:$D,"PSO",'caseload data'!$C:$C,'community caseload'!$B$50,'caseload data'!$B:$B,{"licence","community"}))</f>
        <v>0</v>
      </c>
      <c r="Q53" s="94">
        <f>SUM(SUMIFS('caseload data'!S:S,'caseload data'!$D:$D,"PSO",'caseload data'!$C:$C,'community caseload'!$B$50,'caseload data'!$B:$B,{"licence","community"}))</f>
        <v>0</v>
      </c>
      <c r="R53" s="94">
        <f>SUM(SUMIFS('caseload data'!T:T,'caseload data'!$D:$D,"PSO",'caseload data'!$C:$C,'community caseload'!$B$50,'caseload data'!$B:$B,{"licence","community"}))</f>
        <v>0</v>
      </c>
      <c r="S53" s="64"/>
      <c r="T53" s="97" t="s">
        <v>1002</v>
      </c>
      <c r="U53" s="94">
        <f>SUM(SUMIFS('caseload data'!E:E,'caseload data'!$D:$D,"PSO",'caseload data'!$C:$C,'community caseload'!$T$50,'caseload data'!$B:$B,{"licence","community"}))</f>
        <v>0</v>
      </c>
      <c r="V53" s="94">
        <f>SUM(SUMIFS('caseload data'!F:F,'caseload data'!$D:$D,"PSO",'caseload data'!$C:$C,'community caseload'!$T$50,'caseload data'!$B:$B,{"licence","community"}))</f>
        <v>0</v>
      </c>
      <c r="W53" s="94">
        <f>SUM(SUMIFS('caseload data'!G:G,'caseload data'!$D:$D,"PSO",'caseload data'!$C:$C,'community caseload'!$T$50,'caseload data'!$B:$B,{"licence","community"}))</f>
        <v>0</v>
      </c>
      <c r="X53" s="94">
        <f>SUM(SUMIFS('caseload data'!H:H,'caseload data'!$D:$D,"PSO",'caseload data'!$C:$C,'community caseload'!$T$50,'caseload data'!$B:$B,{"licence","community"}))</f>
        <v>0</v>
      </c>
      <c r="Y53" s="94">
        <f>SUM(SUMIFS('caseload data'!I:I,'caseload data'!$D:$D,"PSO",'caseload data'!$C:$C,'community caseload'!$T$50,'caseload data'!$B:$B,{"licence","community"}))</f>
        <v>0</v>
      </c>
      <c r="Z53" s="94">
        <f>SUM(SUMIFS('caseload data'!J:J,'caseload data'!$D:$D,"PSO",'caseload data'!$C:$C,'community caseload'!$T$50,'caseload data'!$B:$B,{"licence","community"}))</f>
        <v>0</v>
      </c>
      <c r="AA53" s="94">
        <f>SUM(SUMIFS('caseload data'!K:K,'caseload data'!$D:$D,"PSO",'caseload data'!$C:$C,'community caseload'!$T$50,'caseload data'!$B:$B,{"licence","community"}))</f>
        <v>0</v>
      </c>
      <c r="AB53" s="94">
        <f>SUM(SUMIFS('caseload data'!L:L,'caseload data'!$D:$D,"PSO",'caseload data'!$C:$C,'community caseload'!$T$50,'caseload data'!$B:$B,{"licence","community"}))</f>
        <v>0</v>
      </c>
      <c r="AC53" s="94">
        <f>SUM(SUMIFS('caseload data'!M:M,'caseload data'!$D:$D,"PSO",'caseload data'!$C:$C,'community caseload'!$T$50,'caseload data'!$B:$B,{"licence","community"}))</f>
        <v>0</v>
      </c>
      <c r="AD53" s="94">
        <f>SUM(SUMIFS('caseload data'!N:N,'caseload data'!$D:$D,"PSO",'caseload data'!$C:$C,'community caseload'!$T$50,'caseload data'!$B:$B,{"licence","community"}))</f>
        <v>0</v>
      </c>
      <c r="AE53" s="94">
        <f>SUM(SUMIFS('caseload data'!O:O,'caseload data'!$D:$D,"PSO",'caseload data'!$C:$C,'community caseload'!$T$50,'caseload data'!$B:$B,{"licence","community"}))</f>
        <v>0</v>
      </c>
      <c r="AF53" s="94">
        <f>SUM(SUMIFS('caseload data'!P:P,'caseload data'!$D:$D,"PSO",'caseload data'!$C:$C,'community caseload'!$T$50,'caseload data'!$B:$B,{"licence","community"}))</f>
        <v>0</v>
      </c>
      <c r="AG53" s="94">
        <f>SUM(SUMIFS('caseload data'!Q:Q,'caseload data'!$D:$D,"PSO",'caseload data'!$C:$C,'community caseload'!$T$50,'caseload data'!$B:$B,{"licence","community"}))</f>
        <v>0</v>
      </c>
      <c r="AH53" s="94">
        <f>SUM(SUMIFS('caseload data'!R:R,'caseload data'!$D:$D,"PSO",'caseload data'!$C:$C,'community caseload'!$T$50,'caseload data'!$B:$B,{"licence","community"}))</f>
        <v>0</v>
      </c>
      <c r="AI53" s="94">
        <f>SUM(SUMIFS('caseload data'!S:S,'caseload data'!$D:$D,"PSO",'caseload data'!$C:$C,'community caseload'!$T$50,'caseload data'!$B:$B,{"licence","community"}))</f>
        <v>0</v>
      </c>
      <c r="AJ53" s="94">
        <f>SUM(SUMIFS('caseload data'!T:T,'caseload data'!$D:$D,"PSO",'caseload data'!$C:$C,'community caseload'!$T$50,'caseload data'!$B:$B,{"licence","community"}))</f>
        <v>0</v>
      </c>
    </row>
    <row r="54" spans="2:36" x14ac:dyDescent="0.15">
      <c r="B54" s="97" t="s">
        <v>1003</v>
      </c>
      <c r="C54" s="94">
        <f>SUM(SUMIFS('caseload data'!E:E,'caseload data'!$D:$D,"TPO",'caseload data'!$C:$C,'community caseload'!$B$50,'caseload data'!$B:$B,{"licence","community"}))</f>
        <v>0</v>
      </c>
      <c r="D54" s="94">
        <f>SUM(SUMIFS('caseload data'!F:F,'caseload data'!$D:$D,"TPO",'caseload data'!$C:$C,'community caseload'!$B$50,'caseload data'!$B:$B,{"licence","community"}))</f>
        <v>0</v>
      </c>
      <c r="E54" s="94">
        <f>SUM(SUMIFS('caseload data'!G:G,'caseload data'!$D:$D,"TPO",'caseload data'!$C:$C,'community caseload'!$B$50,'caseload data'!$B:$B,{"licence","community"}))</f>
        <v>0</v>
      </c>
      <c r="F54" s="94">
        <f>SUM(SUMIFS('caseload data'!H:H,'caseload data'!$D:$D,"TPO",'caseload data'!$C:$C,'community caseload'!$B$50,'caseload data'!$B:$B,{"licence","community"}))</f>
        <v>0</v>
      </c>
      <c r="G54" s="94">
        <f>SUM(SUMIFS('caseload data'!I:I,'caseload data'!$D:$D,"TPO",'caseload data'!$C:$C,'community caseload'!$B$50,'caseload data'!$B:$B,{"licence","community"}))</f>
        <v>0</v>
      </c>
      <c r="H54" s="94">
        <f>SUM(SUMIFS('caseload data'!J:J,'caseload data'!$D:$D,"TPO",'caseload data'!$C:$C,'community caseload'!$B$50,'caseload data'!$B:$B,{"licence","community"}))</f>
        <v>0</v>
      </c>
      <c r="I54" s="94">
        <f>SUM(SUMIFS('caseload data'!K:K,'caseload data'!$D:$D,"TPO",'caseload data'!$C:$C,'community caseload'!$B$50,'caseload data'!$B:$B,{"licence","community"}))</f>
        <v>0</v>
      </c>
      <c r="J54" s="94">
        <f>SUM(SUMIFS('caseload data'!L:L,'caseload data'!$D:$D,"TPO",'caseload data'!$C:$C,'community caseload'!$B$50,'caseload data'!$B:$B,{"licence","community"}))</f>
        <v>0</v>
      </c>
      <c r="K54" s="94">
        <f>SUM(SUMIFS('caseload data'!M:M,'caseload data'!$D:$D,"TPO",'caseload data'!$C:$C,'community caseload'!$B$50,'caseload data'!$B:$B,{"licence","community"}))</f>
        <v>0</v>
      </c>
      <c r="L54" s="94">
        <f>SUM(SUMIFS('caseload data'!N:N,'caseload data'!$D:$D,"TPO",'caseload data'!$C:$C,'community caseload'!$B$50,'caseload data'!$B:$B,{"licence","community"}))</f>
        <v>0</v>
      </c>
      <c r="M54" s="94">
        <f>SUM(SUMIFS('caseload data'!O:O,'caseload data'!$D:$D,"TPO",'caseload data'!$C:$C,'community caseload'!$B$50,'caseload data'!$B:$B,{"licence","community"}))</f>
        <v>0</v>
      </c>
      <c r="N54" s="94">
        <f>SUM(SUMIFS('caseload data'!P:P,'caseload data'!$D:$D,"TPO",'caseload data'!$C:$C,'community caseload'!$B$50,'caseload data'!$B:$B,{"licence","community"}))</f>
        <v>0</v>
      </c>
      <c r="O54" s="94">
        <f>SUM(SUMIFS('caseload data'!Q:Q,'caseload data'!$D:$D,"TPO",'caseload data'!$C:$C,'community caseload'!$B$50,'caseload data'!$B:$B,{"licence","community"}))</f>
        <v>0</v>
      </c>
      <c r="P54" s="94">
        <f>SUM(SUMIFS('caseload data'!R:R,'caseload data'!$D:$D,"TPO",'caseload data'!$C:$C,'community caseload'!$B$50,'caseload data'!$B:$B,{"licence","community"}))</f>
        <v>0</v>
      </c>
      <c r="Q54" s="94">
        <f>SUM(SUMIFS('caseload data'!S:S,'caseload data'!$D:$D,"TPO",'caseload data'!$C:$C,'community caseload'!$B$50,'caseload data'!$B:$B,{"licence","community"}))</f>
        <v>0</v>
      </c>
      <c r="R54" s="94">
        <f>SUM(SUMIFS('caseload data'!T:T,'caseload data'!$D:$D,"TPO",'caseload data'!$C:$C,'community caseload'!$B$50,'caseload data'!$B:$B,{"licence","community"}))</f>
        <v>0</v>
      </c>
      <c r="S54" s="64"/>
      <c r="T54" s="97" t="s">
        <v>1003</v>
      </c>
      <c r="U54" s="94">
        <f>SUM(SUMIFS('caseload data'!E:E,'caseload data'!$D:$D,"TPO",'caseload data'!$C:$C,'community caseload'!$T$50,'caseload data'!$B:$B,{"licence","community"}))</f>
        <v>0</v>
      </c>
      <c r="V54" s="94">
        <f>SUM(SUMIFS('caseload data'!F:F,'caseload data'!$D:$D,"TPO",'caseload data'!$C:$C,'community caseload'!$T$50,'caseload data'!$B:$B,{"licence","community"}))</f>
        <v>0</v>
      </c>
      <c r="W54" s="94">
        <f>SUM(SUMIFS('caseload data'!G:G,'caseload data'!$D:$D,"TPO",'caseload data'!$C:$C,'community caseload'!$T$50,'caseload data'!$B:$B,{"licence","community"}))</f>
        <v>0</v>
      </c>
      <c r="X54" s="94">
        <f>SUM(SUMIFS('caseload data'!H:H,'caseload data'!$D:$D,"TPO",'caseload data'!$C:$C,'community caseload'!$T$50,'caseload data'!$B:$B,{"licence","community"}))</f>
        <v>0</v>
      </c>
      <c r="Y54" s="94">
        <f>SUM(SUMIFS('caseload data'!I:I,'caseload data'!$D:$D,"TPO",'caseload data'!$C:$C,'community caseload'!$T$50,'caseload data'!$B:$B,{"licence","community"}))</f>
        <v>0</v>
      </c>
      <c r="Z54" s="94">
        <f>SUM(SUMIFS('caseload data'!J:J,'caseload data'!$D:$D,"TPO",'caseload data'!$C:$C,'community caseload'!$T$50,'caseload data'!$B:$B,{"licence","community"}))</f>
        <v>0</v>
      </c>
      <c r="AA54" s="94">
        <f>SUM(SUMIFS('caseload data'!K:K,'caseload data'!$D:$D,"TPO",'caseload data'!$C:$C,'community caseload'!$T$50,'caseload data'!$B:$B,{"licence","community"}))</f>
        <v>0</v>
      </c>
      <c r="AB54" s="94">
        <f>SUM(SUMIFS('caseload data'!L:L,'caseload data'!$D:$D,"TPO",'caseload data'!$C:$C,'community caseload'!$T$50,'caseload data'!$B:$B,{"licence","community"}))</f>
        <v>0</v>
      </c>
      <c r="AC54" s="94">
        <f>SUM(SUMIFS('caseload data'!M:M,'caseload data'!$D:$D,"TPO",'caseload data'!$C:$C,'community caseload'!$T$50,'caseload data'!$B:$B,{"licence","community"}))</f>
        <v>0</v>
      </c>
      <c r="AD54" s="94">
        <f>SUM(SUMIFS('caseload data'!N:N,'caseload data'!$D:$D,"TPO",'caseload data'!$C:$C,'community caseload'!$T$50,'caseload data'!$B:$B,{"licence","community"}))</f>
        <v>0</v>
      </c>
      <c r="AE54" s="94">
        <f>SUM(SUMIFS('caseload data'!O:O,'caseload data'!$D:$D,"TPO",'caseload data'!$C:$C,'community caseload'!$T$50,'caseload data'!$B:$B,{"licence","community"}))</f>
        <v>0</v>
      </c>
      <c r="AF54" s="94">
        <f>SUM(SUMIFS('caseload data'!P:P,'caseload data'!$D:$D,"TPO",'caseload data'!$C:$C,'community caseload'!$T$50,'caseload data'!$B:$B,{"licence","community"}))</f>
        <v>0</v>
      </c>
      <c r="AG54" s="94">
        <f>SUM(SUMIFS('caseload data'!Q:Q,'caseload data'!$D:$D,"TPO",'caseload data'!$C:$C,'community caseload'!$T$50,'caseload data'!$B:$B,{"licence","community"}))</f>
        <v>0</v>
      </c>
      <c r="AH54" s="94">
        <f>SUM(SUMIFS('caseload data'!R:R,'caseload data'!$D:$D,"TPO",'caseload data'!$C:$C,'community caseload'!$T$50,'caseload data'!$B:$B,{"licence","community"}))</f>
        <v>0</v>
      </c>
      <c r="AI54" s="94">
        <f>SUM(SUMIFS('caseload data'!S:S,'caseload data'!$D:$D,"TPO",'caseload data'!$C:$C,'community caseload'!$T$50,'caseload data'!$B:$B,{"licence","community"}))</f>
        <v>0</v>
      </c>
      <c r="AJ54" s="94">
        <f>SUM(SUMIFS('caseload data'!T:T,'caseload data'!$D:$D,"TPO",'caseload data'!$C:$C,'community caseload'!$T$50,'caseload data'!$B:$B,{"licence","community"}))</f>
        <v>0</v>
      </c>
    </row>
    <row r="55" spans="2:36" x14ac:dyDescent="0.15">
      <c r="B55" s="98" t="s">
        <v>1004</v>
      </c>
      <c r="C55" s="94">
        <f>SUM(SUMIFS('caseload data'!E:E,'caseload data'!$D:$D,"SPO",'caseload data'!$C:$C,'community caseload'!$B$50,'caseload data'!$B:$B,{"licence","community"}))</f>
        <v>0</v>
      </c>
      <c r="D55" s="94">
        <f>SUM(SUMIFS('caseload data'!F:F,'caseload data'!$D:$D,"SPO",'caseload data'!$C:$C,'community caseload'!$B$50,'caseload data'!$B:$B,{"licence","community"}))</f>
        <v>0</v>
      </c>
      <c r="E55" s="94">
        <f>SUM(SUMIFS('caseload data'!G:G,'caseload data'!$D:$D,"SPO",'caseload data'!$C:$C,'community caseload'!$B$50,'caseload data'!$B:$B,{"licence","community"}))</f>
        <v>0</v>
      </c>
      <c r="F55" s="94">
        <f>SUM(SUMIFS('caseload data'!H:H,'caseload data'!$D:$D,"SPO",'caseload data'!$C:$C,'community caseload'!$B$50,'caseload data'!$B:$B,{"licence","community"}))</f>
        <v>0</v>
      </c>
      <c r="G55" s="94">
        <f>SUM(SUMIFS('caseload data'!I:I,'caseload data'!$D:$D,"SPO",'caseload data'!$C:$C,'community caseload'!$B$50,'caseload data'!$B:$B,{"licence","community"}))</f>
        <v>0</v>
      </c>
      <c r="H55" s="94">
        <f>SUM(SUMIFS('caseload data'!J:J,'caseload data'!$D:$D,"SPO",'caseload data'!$C:$C,'community caseload'!$B$50,'caseload data'!$B:$B,{"licence","community"}))</f>
        <v>0</v>
      </c>
      <c r="I55" s="94">
        <f>SUM(SUMIFS('caseload data'!K:K,'caseload data'!$D:$D,"SPO",'caseload data'!$C:$C,'community caseload'!$B$50,'caseload data'!$B:$B,{"licence","community"}))</f>
        <v>0</v>
      </c>
      <c r="J55" s="94">
        <f>SUM(SUMIFS('caseload data'!L:L,'caseload data'!$D:$D,"SPO",'caseload data'!$C:$C,'community caseload'!$B$50,'caseload data'!$B:$B,{"licence","community"}))</f>
        <v>0</v>
      </c>
      <c r="K55" s="94">
        <f>SUM(SUMIFS('caseload data'!M:M,'caseload data'!$D:$D,"SPO",'caseload data'!$C:$C,'community caseload'!$B$50,'caseload data'!$B:$B,{"licence","community"}))</f>
        <v>0</v>
      </c>
      <c r="L55" s="94">
        <f>SUM(SUMIFS('caseload data'!N:N,'caseload data'!$D:$D,"SPO",'caseload data'!$C:$C,'community caseload'!$B$50,'caseload data'!$B:$B,{"licence","community"}))</f>
        <v>0</v>
      </c>
      <c r="M55" s="94">
        <f>SUM(SUMIFS('caseload data'!O:O,'caseload data'!$D:$D,"SPO",'caseload data'!$C:$C,'community caseload'!$B$50,'caseload data'!$B:$B,{"licence","community"}))</f>
        <v>0</v>
      </c>
      <c r="N55" s="94">
        <f>SUM(SUMIFS('caseload data'!P:P,'caseload data'!$D:$D,"SPO",'caseload data'!$C:$C,'community caseload'!$B$50,'caseload data'!$B:$B,{"licence","community"}))</f>
        <v>0</v>
      </c>
      <c r="O55" s="94">
        <f>SUM(SUMIFS('caseload data'!Q:Q,'caseload data'!$D:$D,"SPO",'caseload data'!$C:$C,'community caseload'!$B$50,'caseload data'!$B:$B,{"licence","community"}))</f>
        <v>0</v>
      </c>
      <c r="P55" s="94">
        <f>SUM(SUMIFS('caseload data'!R:R,'caseload data'!$D:$D,"SPO",'caseload data'!$C:$C,'community caseload'!$B$50,'caseload data'!$B:$B,{"licence","community"}))</f>
        <v>0</v>
      </c>
      <c r="Q55" s="94">
        <f>SUM(SUMIFS('caseload data'!S:S,'caseload data'!$D:$D,"SPO",'caseload data'!$C:$C,'community caseload'!$B$50,'caseload data'!$B:$B,{"licence","community"}))</f>
        <v>0</v>
      </c>
      <c r="R55" s="94">
        <f>SUM(SUMIFS('caseload data'!T:T,'caseload data'!$D:$D,"SPO",'caseload data'!$C:$C,'community caseload'!$B$50,'caseload data'!$B:$B,{"licence","community"}))</f>
        <v>0</v>
      </c>
      <c r="S55" s="64"/>
      <c r="T55" s="98" t="s">
        <v>1004</v>
      </c>
      <c r="U55" s="94">
        <f>SUM(SUMIFS('caseload data'!E:E,'caseload data'!$D:$D,"SPO",'caseload data'!$C:$C,'community caseload'!$T$50,'caseload data'!$B:$B,{"licence","community"}))</f>
        <v>0</v>
      </c>
      <c r="V55" s="94">
        <f>SUM(SUMIFS('caseload data'!F:F,'caseload data'!$D:$D,"SPO",'caseload data'!$C:$C,'community caseload'!$T$50,'caseload data'!$B:$B,{"licence","community"}))</f>
        <v>0</v>
      </c>
      <c r="W55" s="94">
        <f>SUM(SUMIFS('caseload data'!G:G,'caseload data'!$D:$D,"SPO",'caseload data'!$C:$C,'community caseload'!$T$50,'caseload data'!$B:$B,{"licence","community"}))</f>
        <v>0</v>
      </c>
      <c r="X55" s="94">
        <f>SUM(SUMIFS('caseload data'!H:H,'caseload data'!$D:$D,"SPO",'caseload data'!$C:$C,'community caseload'!$T$50,'caseload data'!$B:$B,{"licence","community"}))</f>
        <v>0</v>
      </c>
      <c r="Y55" s="94">
        <f>SUM(SUMIFS('caseload data'!I:I,'caseload data'!$D:$D,"SPO",'caseload data'!$C:$C,'community caseload'!$T$50,'caseload data'!$B:$B,{"licence","community"}))</f>
        <v>0</v>
      </c>
      <c r="Z55" s="94">
        <f>SUM(SUMIFS('caseload data'!J:J,'caseload data'!$D:$D,"SPO",'caseload data'!$C:$C,'community caseload'!$T$50,'caseload data'!$B:$B,{"licence","community"}))</f>
        <v>0</v>
      </c>
      <c r="AA55" s="94">
        <f>SUM(SUMIFS('caseload data'!K:K,'caseload data'!$D:$D,"SPO",'caseload data'!$C:$C,'community caseload'!$T$50,'caseload data'!$B:$B,{"licence","community"}))</f>
        <v>0</v>
      </c>
      <c r="AB55" s="94">
        <f>SUM(SUMIFS('caseload data'!L:L,'caseload data'!$D:$D,"SPO",'caseload data'!$C:$C,'community caseload'!$T$50,'caseload data'!$B:$B,{"licence","community"}))</f>
        <v>0</v>
      </c>
      <c r="AC55" s="94">
        <f>SUM(SUMIFS('caseload data'!M:M,'caseload data'!$D:$D,"SPO",'caseload data'!$C:$C,'community caseload'!$T$50,'caseload data'!$B:$B,{"licence","community"}))</f>
        <v>0</v>
      </c>
      <c r="AD55" s="94">
        <f>SUM(SUMIFS('caseload data'!N:N,'caseload data'!$D:$D,"SPO",'caseload data'!$C:$C,'community caseload'!$T$50,'caseload data'!$B:$B,{"licence","community"}))</f>
        <v>0</v>
      </c>
      <c r="AE55" s="94">
        <f>SUM(SUMIFS('caseload data'!O:O,'caseload data'!$D:$D,"SPO",'caseload data'!$C:$C,'community caseload'!$T$50,'caseload data'!$B:$B,{"licence","community"}))</f>
        <v>0</v>
      </c>
      <c r="AF55" s="94">
        <f>SUM(SUMIFS('caseload data'!P:P,'caseload data'!$D:$D,"SPO",'caseload data'!$C:$C,'community caseload'!$T$50,'caseload data'!$B:$B,{"licence","community"}))</f>
        <v>0</v>
      </c>
      <c r="AG55" s="94">
        <f>SUM(SUMIFS('caseload data'!Q:Q,'caseload data'!$D:$D,"SPO",'caseload data'!$C:$C,'community caseload'!$T$50,'caseload data'!$B:$B,{"licence","community"}))</f>
        <v>0</v>
      </c>
      <c r="AH55" s="94">
        <f>SUM(SUMIFS('caseload data'!R:R,'caseload data'!$D:$D,"SPO",'caseload data'!$C:$C,'community caseload'!$T$50,'caseload data'!$B:$B,{"licence","community"}))</f>
        <v>0</v>
      </c>
      <c r="AI55" s="94">
        <f>SUM(SUMIFS('caseload data'!S:S,'caseload data'!$D:$D,"SPO",'caseload data'!$C:$C,'community caseload'!$T$50,'caseload data'!$B:$B,{"licence","community"}))</f>
        <v>0</v>
      </c>
      <c r="AJ55" s="94">
        <f>SUM(SUMIFS('caseload data'!T:T,'caseload data'!$D:$D,"SPO",'caseload data'!$C:$C,'community caseload'!$T$50,'caseload data'!$B:$B,{"licence","community"}))</f>
        <v>0</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31.5" customHeight="1" x14ac:dyDescent="0.15">
      <c r="B57" s="289">
        <f>HLOOKUP($B$5,Region_Table,16,0)</f>
        <v>0</v>
      </c>
      <c r="C57" s="509" t="s">
        <v>1130</v>
      </c>
      <c r="D57" s="510"/>
      <c r="E57" s="510"/>
      <c r="F57" s="510"/>
      <c r="G57" s="510"/>
      <c r="H57" s="510"/>
      <c r="I57" s="510"/>
      <c r="J57" s="510"/>
      <c r="K57" s="510"/>
      <c r="L57" s="510"/>
      <c r="M57" s="539"/>
      <c r="N57" s="539"/>
      <c r="O57" s="540"/>
      <c r="P57" s="512" cm="1">
        <f t="array" ref="P57">SUM(SUMIFS('caseload data'!V:V,'caseload data'!B:B,{"licence","community"},'caseload data'!$C:$C,'community caseload'!B57))</f>
        <v>0</v>
      </c>
      <c r="Q57" s="529"/>
      <c r="R57" s="530"/>
      <c r="S57" s="291"/>
      <c r="T57" s="289">
        <f>HLOOKUP($B$5,Region_Table,17,0)</f>
        <v>0</v>
      </c>
      <c r="U57" s="509" t="s">
        <v>1130</v>
      </c>
      <c r="V57" s="510"/>
      <c r="W57" s="510"/>
      <c r="X57" s="510"/>
      <c r="Y57" s="510"/>
      <c r="Z57" s="510"/>
      <c r="AA57" s="510"/>
      <c r="AB57" s="510"/>
      <c r="AC57" s="510"/>
      <c r="AD57" s="510"/>
      <c r="AE57" s="539"/>
      <c r="AF57" s="539"/>
      <c r="AG57" s="540"/>
      <c r="AH57" s="512" cm="1">
        <f t="array" ref="AH57">SUM(SUMIFS('caseload data'!V:V,'caseload data'!B:B,{"licence","community"},'caseload data'!$C:$C,'community caseload'!T57))</f>
        <v>0</v>
      </c>
      <c r="AI57" s="529"/>
      <c r="AJ57" s="530"/>
    </row>
    <row r="58" spans="2:36" x14ac:dyDescent="0.15">
      <c r="B58" s="95" t="s">
        <v>1000</v>
      </c>
      <c r="C58" s="38" t="s">
        <v>864</v>
      </c>
      <c r="D58" s="38" t="s">
        <v>865</v>
      </c>
      <c r="E58" s="38" t="s">
        <v>866</v>
      </c>
      <c r="F58" s="38" t="s">
        <v>867</v>
      </c>
      <c r="G58" s="38" t="s">
        <v>868</v>
      </c>
      <c r="H58" s="38" t="s">
        <v>869</v>
      </c>
      <c r="I58" s="38" t="s">
        <v>870</v>
      </c>
      <c r="J58" s="38" t="s">
        <v>871</v>
      </c>
      <c r="K58" s="38" t="s">
        <v>872</v>
      </c>
      <c r="L58" s="38" t="s">
        <v>873</v>
      </c>
      <c r="M58" s="38" t="s">
        <v>874</v>
      </c>
      <c r="N58" s="38" t="s">
        <v>875</v>
      </c>
      <c r="O58" s="38" t="s">
        <v>876</v>
      </c>
      <c r="P58" s="38" t="s">
        <v>877</v>
      </c>
      <c r="Q58" s="38" t="s">
        <v>878</v>
      </c>
      <c r="R58" s="38" t="s">
        <v>879</v>
      </c>
      <c r="S58" s="64"/>
      <c r="T58" s="95" t="s">
        <v>1000</v>
      </c>
      <c r="U58" s="38" t="s">
        <v>864</v>
      </c>
      <c r="V58" s="38" t="s">
        <v>865</v>
      </c>
      <c r="W58" s="38" t="s">
        <v>866</v>
      </c>
      <c r="X58" s="38" t="s">
        <v>867</v>
      </c>
      <c r="Y58" s="38" t="s">
        <v>868</v>
      </c>
      <c r="Z58" s="38" t="s">
        <v>869</v>
      </c>
      <c r="AA58" s="38" t="s">
        <v>870</v>
      </c>
      <c r="AB58" s="38" t="s">
        <v>871</v>
      </c>
      <c r="AC58" s="38" t="s">
        <v>872</v>
      </c>
      <c r="AD58" s="38" t="s">
        <v>873</v>
      </c>
      <c r="AE58" s="38" t="s">
        <v>874</v>
      </c>
      <c r="AF58" s="38" t="s">
        <v>875</v>
      </c>
      <c r="AG58" s="38" t="s">
        <v>876</v>
      </c>
      <c r="AH58" s="38" t="s">
        <v>877</v>
      </c>
      <c r="AI58" s="38" t="s">
        <v>878</v>
      </c>
      <c r="AJ58" s="38" t="s">
        <v>879</v>
      </c>
    </row>
    <row r="59" spans="2:36" x14ac:dyDescent="0.15">
      <c r="B59" s="96" t="s">
        <v>997</v>
      </c>
      <c r="C59" s="94">
        <f>SUM(SUMIFS('caseload data'!E:E,'caseload data'!$D:$D,"PO",'caseload data'!$C:$C,'community caseload'!$B$57,'caseload data'!$B:$B,{"licence","community"}))</f>
        <v>0</v>
      </c>
      <c r="D59" s="94">
        <f>SUM(SUMIFS('caseload data'!F:F,'caseload data'!$D:$D,"PO",'caseload data'!$C:$C,'community caseload'!$B$57,'caseload data'!$B:$B,{"licence","community"}))</f>
        <v>0</v>
      </c>
      <c r="E59" s="94">
        <f>SUM(SUMIFS('caseload data'!G:G,'caseload data'!$D:$D,"PO",'caseload data'!$C:$C,'community caseload'!$B$57,'caseload data'!$B:$B,{"licence","community"}))</f>
        <v>0</v>
      </c>
      <c r="F59" s="94">
        <f>SUM(SUMIFS('caseload data'!H:H,'caseload data'!$D:$D,"PO",'caseload data'!$C:$C,'community caseload'!$B$57,'caseload data'!$B:$B,{"licence","community"}))</f>
        <v>0</v>
      </c>
      <c r="G59" s="94">
        <f>SUM(SUMIFS('caseload data'!I:I,'caseload data'!$D:$D,"PO",'caseload data'!$C:$C,'community caseload'!$B$57,'caseload data'!$B:$B,{"licence","community"}))</f>
        <v>0</v>
      </c>
      <c r="H59" s="94">
        <f>SUM(SUMIFS('caseload data'!J:J,'caseload data'!$D:$D,"PO",'caseload data'!$C:$C,'community caseload'!$B$57,'caseload data'!$B:$B,{"licence","community"}))</f>
        <v>0</v>
      </c>
      <c r="I59" s="94">
        <f>SUM(SUMIFS('caseload data'!K:K,'caseload data'!$D:$D,"PO",'caseload data'!$C:$C,'community caseload'!$B$57,'caseload data'!$B:$B,{"licence","community"}))</f>
        <v>0</v>
      </c>
      <c r="J59" s="94">
        <f>SUM(SUMIFS('caseload data'!L:L,'caseload data'!$D:$D,"PO",'caseload data'!$C:$C,'community caseload'!$B$57,'caseload data'!$B:$B,{"licence","community"}))</f>
        <v>0</v>
      </c>
      <c r="K59" s="94">
        <f>SUM(SUMIFS('caseload data'!M:M,'caseload data'!$D:$D,"PO",'caseload data'!$C:$C,'community caseload'!$B$57,'caseload data'!$B:$B,{"licence","community"}))</f>
        <v>0</v>
      </c>
      <c r="L59" s="94">
        <f>SUM(SUMIFS('caseload data'!N:N,'caseload data'!$D:$D,"PO",'caseload data'!$C:$C,'community caseload'!$B$57,'caseload data'!$B:$B,{"licence","community"}))</f>
        <v>0</v>
      </c>
      <c r="M59" s="94">
        <f>SUM(SUMIFS('caseload data'!O:O,'caseload data'!$D:$D,"PO",'caseload data'!$C:$C,'community caseload'!$B$57,'caseload data'!$B:$B,{"licence","community"}))</f>
        <v>0</v>
      </c>
      <c r="N59" s="94">
        <f>SUM(SUMIFS('caseload data'!P:P,'caseload data'!$D:$D,"PO",'caseload data'!$C:$C,'community caseload'!$B$57,'caseload data'!$B:$B,{"licence","community"}))</f>
        <v>0</v>
      </c>
      <c r="O59" s="94">
        <f>SUM(SUMIFS('caseload data'!Q:Q,'caseload data'!$D:$D,"PO",'caseload data'!$C:$C,'community caseload'!$B$57,'caseload data'!$B:$B,{"licence","community"}))</f>
        <v>0</v>
      </c>
      <c r="P59" s="94">
        <f>SUM(SUMIFS('caseload data'!R:R,'caseload data'!$D:$D,"PO",'caseload data'!$C:$C,'community caseload'!$B$57,'caseload data'!$B:$B,{"licence","community"}))</f>
        <v>0</v>
      </c>
      <c r="Q59" s="94">
        <f>SUM(SUMIFS('caseload data'!S:S,'caseload data'!$D:$D,"PO",'caseload data'!$C:$C,'community caseload'!$B$57,'caseload data'!$B:$B,{"licence","community"}))</f>
        <v>0</v>
      </c>
      <c r="R59" s="94">
        <f>SUM(SUMIFS('caseload data'!T:T,'caseload data'!$D:$D,"PO",'caseload data'!$C:$C,'community caseload'!$B$57,'caseload data'!$B:$B,{"licence","community"}))</f>
        <v>0</v>
      </c>
      <c r="S59" s="64"/>
      <c r="T59" s="96" t="s">
        <v>997</v>
      </c>
      <c r="U59" s="94">
        <f>SUM(SUMIFS('caseload data'!E:E,'caseload data'!$D:$D,"PO",'caseload data'!$C:$C,'community caseload'!$T$57,'caseload data'!$B:$B,{"licence","community"}))</f>
        <v>0</v>
      </c>
      <c r="V59" s="94">
        <f>SUM(SUMIFS('caseload data'!F:F,'caseload data'!$D:$D,"PO",'caseload data'!$C:$C,'community caseload'!$T$57,'caseload data'!$B:$B,{"licence","community"}))</f>
        <v>0</v>
      </c>
      <c r="W59" s="94">
        <f>SUM(SUMIFS('caseload data'!G:G,'caseload data'!$D:$D,"PO",'caseload data'!$C:$C,'community caseload'!$T$57,'caseload data'!$B:$B,{"licence","community"}))</f>
        <v>0</v>
      </c>
      <c r="X59" s="94">
        <f>SUM(SUMIFS('caseload data'!H:H,'caseload data'!$D:$D,"PO",'caseload data'!$C:$C,'community caseload'!$T$57,'caseload data'!$B:$B,{"licence","community"}))</f>
        <v>0</v>
      </c>
      <c r="Y59" s="94">
        <f>SUM(SUMIFS('caseload data'!I:I,'caseload data'!$D:$D,"PO",'caseload data'!$C:$C,'community caseload'!$T$57,'caseload data'!$B:$B,{"licence","community"}))</f>
        <v>0</v>
      </c>
      <c r="Z59" s="94">
        <f>SUM(SUMIFS('caseload data'!J:J,'caseload data'!$D:$D,"PO",'caseload data'!$C:$C,'community caseload'!$T$57,'caseload data'!$B:$B,{"licence","community"}))</f>
        <v>0</v>
      </c>
      <c r="AA59" s="94">
        <f>SUM(SUMIFS('caseload data'!K:K,'caseload data'!$D:$D,"PO",'caseload data'!$C:$C,'community caseload'!$T$57,'caseload data'!$B:$B,{"licence","community"}))</f>
        <v>0</v>
      </c>
      <c r="AB59" s="94">
        <f>SUM(SUMIFS('caseload data'!L:L,'caseload data'!$D:$D,"PO",'caseload data'!$C:$C,'community caseload'!$T$57,'caseload data'!$B:$B,{"licence","community"}))</f>
        <v>0</v>
      </c>
      <c r="AC59" s="94">
        <f>SUM(SUMIFS('caseload data'!M:M,'caseload data'!$D:$D,"PO",'caseload data'!$C:$C,'community caseload'!$T$57,'caseload data'!$B:$B,{"licence","community"}))</f>
        <v>0</v>
      </c>
      <c r="AD59" s="94">
        <f>SUM(SUMIFS('caseload data'!N:N,'caseload data'!$D:$D,"PO",'caseload data'!$C:$C,'community caseload'!$T$57,'caseload data'!$B:$B,{"licence","community"}))</f>
        <v>0</v>
      </c>
      <c r="AE59" s="94">
        <f>SUM(SUMIFS('caseload data'!O:O,'caseload data'!$D:$D,"PO",'caseload data'!$C:$C,'community caseload'!$T$57,'caseload data'!$B:$B,{"licence","community"}))</f>
        <v>0</v>
      </c>
      <c r="AF59" s="94">
        <f>SUM(SUMIFS('caseload data'!P:P,'caseload data'!$D:$D,"PO",'caseload data'!$C:$C,'community caseload'!$T$57,'caseload data'!$B:$B,{"licence","community"}))</f>
        <v>0</v>
      </c>
      <c r="AG59" s="94">
        <f>SUM(SUMIFS('caseload data'!Q:Q,'caseload data'!$D:$D,"PO",'caseload data'!$C:$C,'community caseload'!$T$57,'caseload data'!$B:$B,{"licence","community"}))</f>
        <v>0</v>
      </c>
      <c r="AH59" s="94">
        <f>SUM(SUMIFS('caseload data'!R:R,'caseload data'!$D:$D,"PO",'caseload data'!$C:$C,'community caseload'!$T$57,'caseload data'!$B:$B,{"licence","community"}))</f>
        <v>0</v>
      </c>
      <c r="AI59" s="94">
        <f>SUM(SUMIFS('caseload data'!S:S,'caseload data'!$D:$D,"PO",'caseload data'!$C:$C,'community caseload'!$T$57,'caseload data'!$B:$B,{"licence","community"}))</f>
        <v>0</v>
      </c>
      <c r="AJ59" s="94">
        <f>SUM(SUMIFS('caseload data'!T:T,'caseload data'!$D:$D,"PO",'caseload data'!$C:$C,'community caseload'!$T$57,'caseload data'!$B:$B,{"licence","community"}))</f>
        <v>0</v>
      </c>
    </row>
    <row r="60" spans="2:36" x14ac:dyDescent="0.15">
      <c r="B60" s="97" t="s">
        <v>1002</v>
      </c>
      <c r="C60" s="94">
        <f>SUM(SUMIFS('caseload data'!E:E,'caseload data'!$D:$D,"PSO",'caseload data'!$C:$C,'community caseload'!$B$57,'caseload data'!$B:$B,{"licence","community"}))</f>
        <v>0</v>
      </c>
      <c r="D60" s="94">
        <f>SUM(SUMIFS('caseload data'!F:F,'caseload data'!$D:$D,"PSO",'caseload data'!$C:$C,'community caseload'!$B$57,'caseload data'!$B:$B,{"licence","community"}))</f>
        <v>0</v>
      </c>
      <c r="E60" s="94">
        <f>SUM(SUMIFS('caseload data'!G:G,'caseload data'!$D:$D,"PSO",'caseload data'!$C:$C,'community caseload'!$B$57,'caseload data'!$B:$B,{"licence","community"}))</f>
        <v>0</v>
      </c>
      <c r="F60" s="94">
        <f>SUM(SUMIFS('caseload data'!H:H,'caseload data'!$D:$D,"PSO",'caseload data'!$C:$C,'community caseload'!$B$57,'caseload data'!$B:$B,{"licence","community"}))</f>
        <v>0</v>
      </c>
      <c r="G60" s="94">
        <f>SUM(SUMIFS('caseload data'!I:I,'caseload data'!$D:$D,"PSO",'caseload data'!$C:$C,'community caseload'!$B$57,'caseload data'!$B:$B,{"licence","community"}))</f>
        <v>0</v>
      </c>
      <c r="H60" s="94">
        <f>SUM(SUMIFS('caseload data'!J:J,'caseload data'!$D:$D,"PSO",'caseload data'!$C:$C,'community caseload'!$B$57,'caseload data'!$B:$B,{"licence","community"}))</f>
        <v>0</v>
      </c>
      <c r="I60" s="94">
        <f>SUM(SUMIFS('caseload data'!K:K,'caseload data'!$D:$D,"PSO",'caseload data'!$C:$C,'community caseload'!$B$57,'caseload data'!$B:$B,{"licence","community"}))</f>
        <v>0</v>
      </c>
      <c r="J60" s="94">
        <f>SUM(SUMIFS('caseload data'!L:L,'caseload data'!$D:$D,"PSO",'caseload data'!$C:$C,'community caseload'!$B$57,'caseload data'!$B:$B,{"licence","community"}))</f>
        <v>0</v>
      </c>
      <c r="K60" s="94">
        <f>SUM(SUMIFS('caseload data'!M:M,'caseload data'!$D:$D,"PSO",'caseload data'!$C:$C,'community caseload'!$B$57,'caseload data'!$B:$B,{"licence","community"}))</f>
        <v>0</v>
      </c>
      <c r="L60" s="94">
        <f>SUM(SUMIFS('caseload data'!N:N,'caseload data'!$D:$D,"PSO",'caseload data'!$C:$C,'community caseload'!$B$57,'caseload data'!$B:$B,{"licence","community"}))</f>
        <v>0</v>
      </c>
      <c r="M60" s="94">
        <f>SUM(SUMIFS('caseload data'!O:O,'caseload data'!$D:$D,"PSO",'caseload data'!$C:$C,'community caseload'!$B$57,'caseload data'!$B:$B,{"licence","community"}))</f>
        <v>0</v>
      </c>
      <c r="N60" s="94">
        <f>SUM(SUMIFS('caseload data'!P:P,'caseload data'!$D:$D,"PSO",'caseload data'!$C:$C,'community caseload'!$B$57,'caseload data'!$B:$B,{"licence","community"}))</f>
        <v>0</v>
      </c>
      <c r="O60" s="94">
        <f>SUM(SUMIFS('caseload data'!Q:Q,'caseload data'!$D:$D,"PSO",'caseload data'!$C:$C,'community caseload'!$B$57,'caseload data'!$B:$B,{"licence","community"}))</f>
        <v>0</v>
      </c>
      <c r="P60" s="94">
        <f>SUM(SUMIFS('caseload data'!R:R,'caseload data'!$D:$D,"PSO",'caseload data'!$C:$C,'community caseload'!$B$57,'caseload data'!$B:$B,{"licence","community"}))</f>
        <v>0</v>
      </c>
      <c r="Q60" s="94">
        <f>SUM(SUMIFS('caseload data'!S:S,'caseload data'!$D:$D,"PSO",'caseload data'!$C:$C,'community caseload'!$B$57,'caseload data'!$B:$B,{"licence","community"}))</f>
        <v>0</v>
      </c>
      <c r="R60" s="94">
        <f>SUM(SUMIFS('caseload data'!T:T,'caseload data'!$D:$D,"PSO",'caseload data'!$C:$C,'community caseload'!$B$57,'caseload data'!$B:$B,{"licence","community"}))</f>
        <v>0</v>
      </c>
      <c r="S60" s="64"/>
      <c r="T60" s="97" t="s">
        <v>1002</v>
      </c>
      <c r="U60" s="94">
        <f>SUM(SUMIFS('caseload data'!E:E,'caseload data'!$D:$D,"PSO",'caseload data'!$C:$C,'community caseload'!$T$57,'caseload data'!$B:$B,{"licence","community"}))</f>
        <v>0</v>
      </c>
      <c r="V60" s="94">
        <f>SUM(SUMIFS('caseload data'!F:F,'caseload data'!$D:$D,"PSO",'caseload data'!$C:$C,'community caseload'!$T$57,'caseload data'!$B:$B,{"licence","community"}))</f>
        <v>0</v>
      </c>
      <c r="W60" s="94">
        <f>SUM(SUMIFS('caseload data'!G:G,'caseload data'!$D:$D,"PSO",'caseload data'!$C:$C,'community caseload'!$T$57,'caseload data'!$B:$B,{"licence","community"}))</f>
        <v>0</v>
      </c>
      <c r="X60" s="94">
        <f>SUM(SUMIFS('caseload data'!H:H,'caseload data'!$D:$D,"PSO",'caseload data'!$C:$C,'community caseload'!$T$57,'caseload data'!$B:$B,{"licence","community"}))</f>
        <v>0</v>
      </c>
      <c r="Y60" s="94">
        <f>SUM(SUMIFS('caseload data'!I:I,'caseload data'!$D:$D,"PSO",'caseload data'!$C:$C,'community caseload'!$T$57,'caseload data'!$B:$B,{"licence","community"}))</f>
        <v>0</v>
      </c>
      <c r="Z60" s="94">
        <f>SUM(SUMIFS('caseload data'!J:J,'caseload data'!$D:$D,"PSO",'caseload data'!$C:$C,'community caseload'!$T$57,'caseload data'!$B:$B,{"licence","community"}))</f>
        <v>0</v>
      </c>
      <c r="AA60" s="94">
        <f>SUM(SUMIFS('caseload data'!K:K,'caseload data'!$D:$D,"PSO",'caseload data'!$C:$C,'community caseload'!$T$57,'caseload data'!$B:$B,{"licence","community"}))</f>
        <v>0</v>
      </c>
      <c r="AB60" s="94">
        <f>SUM(SUMIFS('caseload data'!L:L,'caseload data'!$D:$D,"PSO",'caseload data'!$C:$C,'community caseload'!$T$57,'caseload data'!$B:$B,{"licence","community"}))</f>
        <v>0</v>
      </c>
      <c r="AC60" s="94">
        <f>SUM(SUMIFS('caseload data'!M:M,'caseload data'!$D:$D,"PSO",'caseload data'!$C:$C,'community caseload'!$T$57,'caseload data'!$B:$B,{"licence","community"}))</f>
        <v>0</v>
      </c>
      <c r="AD60" s="94">
        <f>SUM(SUMIFS('caseload data'!N:N,'caseload data'!$D:$D,"PSO",'caseload data'!$C:$C,'community caseload'!$T$57,'caseload data'!$B:$B,{"licence","community"}))</f>
        <v>0</v>
      </c>
      <c r="AE60" s="94">
        <f>SUM(SUMIFS('caseload data'!O:O,'caseload data'!$D:$D,"PSO",'caseload data'!$C:$C,'community caseload'!$T$57,'caseload data'!$B:$B,{"licence","community"}))</f>
        <v>0</v>
      </c>
      <c r="AF60" s="94">
        <f>SUM(SUMIFS('caseload data'!P:P,'caseload data'!$D:$D,"PSO",'caseload data'!$C:$C,'community caseload'!$T$57,'caseload data'!$B:$B,{"licence","community"}))</f>
        <v>0</v>
      </c>
      <c r="AG60" s="94">
        <f>SUM(SUMIFS('caseload data'!Q:Q,'caseload data'!$D:$D,"PSO",'caseload data'!$C:$C,'community caseload'!$T$57,'caseload data'!$B:$B,{"licence","community"}))</f>
        <v>0</v>
      </c>
      <c r="AH60" s="94">
        <f>SUM(SUMIFS('caseload data'!R:R,'caseload data'!$D:$D,"PSO",'caseload data'!$C:$C,'community caseload'!$T$57,'caseload data'!$B:$B,{"licence","community"}))</f>
        <v>0</v>
      </c>
      <c r="AI60" s="94">
        <f>SUM(SUMIFS('caseload data'!S:S,'caseload data'!$D:$D,"PSO",'caseload data'!$C:$C,'community caseload'!$T$57,'caseload data'!$B:$B,{"licence","community"}))</f>
        <v>0</v>
      </c>
      <c r="AJ60" s="94">
        <f>SUM(SUMIFS('caseload data'!T:T,'caseload data'!$D:$D,"PSO",'caseload data'!$C:$C,'community caseload'!$T$57,'caseload data'!$B:$B,{"licence","community"}))</f>
        <v>0</v>
      </c>
    </row>
    <row r="61" spans="2:36" x14ac:dyDescent="0.15">
      <c r="B61" s="97" t="s">
        <v>1003</v>
      </c>
      <c r="C61" s="94">
        <f>SUM(SUMIFS('caseload data'!E:E,'caseload data'!$D:$D,"TPO",'caseload data'!$C:$C,'community caseload'!$B$57,'caseload data'!$B:$B,{"licence","community"}))</f>
        <v>0</v>
      </c>
      <c r="D61" s="94">
        <f>SUM(SUMIFS('caseload data'!F:F,'caseload data'!$D:$D,"TPO",'caseload data'!$C:$C,'community caseload'!$B$57,'caseload data'!$B:$B,{"licence","community"}))</f>
        <v>0</v>
      </c>
      <c r="E61" s="94">
        <f>SUM(SUMIFS('caseload data'!G:G,'caseload data'!$D:$D,"TPO",'caseload data'!$C:$C,'community caseload'!$B$57,'caseload data'!$B:$B,{"licence","community"}))</f>
        <v>0</v>
      </c>
      <c r="F61" s="94">
        <f>SUM(SUMIFS('caseload data'!H:H,'caseload data'!$D:$D,"TPO",'caseload data'!$C:$C,'community caseload'!$B$57,'caseload data'!$B:$B,{"licence","community"}))</f>
        <v>0</v>
      </c>
      <c r="G61" s="94">
        <f>SUM(SUMIFS('caseload data'!I:I,'caseload data'!$D:$D,"TPO",'caseload data'!$C:$C,'community caseload'!$B$57,'caseload data'!$B:$B,{"licence","community"}))</f>
        <v>0</v>
      </c>
      <c r="H61" s="94">
        <f>SUM(SUMIFS('caseload data'!J:J,'caseload data'!$D:$D,"TPO",'caseload data'!$C:$C,'community caseload'!$B$57,'caseload data'!$B:$B,{"licence","community"}))</f>
        <v>0</v>
      </c>
      <c r="I61" s="94">
        <f>SUM(SUMIFS('caseload data'!K:K,'caseload data'!$D:$D,"TPO",'caseload data'!$C:$C,'community caseload'!$B$57,'caseload data'!$B:$B,{"licence","community"}))</f>
        <v>0</v>
      </c>
      <c r="J61" s="94">
        <f>SUM(SUMIFS('caseload data'!L:L,'caseload data'!$D:$D,"TPO",'caseload data'!$C:$C,'community caseload'!$B$57,'caseload data'!$B:$B,{"licence","community"}))</f>
        <v>0</v>
      </c>
      <c r="K61" s="94">
        <f>SUM(SUMIFS('caseload data'!M:M,'caseload data'!$D:$D,"TPO",'caseload data'!$C:$C,'community caseload'!$B$57,'caseload data'!$B:$B,{"licence","community"}))</f>
        <v>0</v>
      </c>
      <c r="L61" s="94">
        <f>SUM(SUMIFS('caseload data'!N:N,'caseload data'!$D:$D,"TPO",'caseload data'!$C:$C,'community caseload'!$B$57,'caseload data'!$B:$B,{"licence","community"}))</f>
        <v>0</v>
      </c>
      <c r="M61" s="94">
        <f>SUM(SUMIFS('caseload data'!O:O,'caseload data'!$D:$D,"TPO",'caseload data'!$C:$C,'community caseload'!$B$57,'caseload data'!$B:$B,{"licence","community"}))</f>
        <v>0</v>
      </c>
      <c r="N61" s="94">
        <f>SUM(SUMIFS('caseload data'!P:P,'caseload data'!$D:$D,"TPO",'caseload data'!$C:$C,'community caseload'!$B$57,'caseload data'!$B:$B,{"licence","community"}))</f>
        <v>0</v>
      </c>
      <c r="O61" s="94">
        <f>SUM(SUMIFS('caseload data'!Q:Q,'caseload data'!$D:$D,"TPO",'caseload data'!$C:$C,'community caseload'!$B$57,'caseload data'!$B:$B,{"licence","community"}))</f>
        <v>0</v>
      </c>
      <c r="P61" s="94">
        <f>SUM(SUMIFS('caseload data'!R:R,'caseload data'!$D:$D,"TPO",'caseload data'!$C:$C,'community caseload'!$B$57,'caseload data'!$B:$B,{"licence","community"}))</f>
        <v>0</v>
      </c>
      <c r="Q61" s="94">
        <f>SUM(SUMIFS('caseload data'!S:S,'caseload data'!$D:$D,"TPO",'caseload data'!$C:$C,'community caseload'!$B$57,'caseload data'!$B:$B,{"licence","community"}))</f>
        <v>0</v>
      </c>
      <c r="R61" s="94">
        <f>SUM(SUMIFS('caseload data'!T:T,'caseload data'!$D:$D,"TPO",'caseload data'!$C:$C,'community caseload'!$B$57,'caseload data'!$B:$B,{"licence","community"}))</f>
        <v>0</v>
      </c>
      <c r="S61" s="64"/>
      <c r="T61" s="97" t="s">
        <v>1003</v>
      </c>
      <c r="U61" s="94">
        <f>SUM(SUMIFS('caseload data'!E:E,'caseload data'!$D:$D,"TPO",'caseload data'!$C:$C,'community caseload'!$T$57,'caseload data'!$B:$B,{"licence","community"}))</f>
        <v>0</v>
      </c>
      <c r="V61" s="94">
        <f>SUM(SUMIFS('caseload data'!F:F,'caseload data'!$D:$D,"TPO",'caseload data'!$C:$C,'community caseload'!$T$57,'caseload data'!$B:$B,{"licence","community"}))</f>
        <v>0</v>
      </c>
      <c r="W61" s="94">
        <f>SUM(SUMIFS('caseload data'!G:G,'caseload data'!$D:$D,"TPO",'caseload data'!$C:$C,'community caseload'!$T$57,'caseload data'!$B:$B,{"licence","community"}))</f>
        <v>0</v>
      </c>
      <c r="X61" s="94">
        <f>SUM(SUMIFS('caseload data'!H:H,'caseload data'!$D:$D,"TPO",'caseload data'!$C:$C,'community caseload'!$T$57,'caseload data'!$B:$B,{"licence","community"}))</f>
        <v>0</v>
      </c>
      <c r="Y61" s="94">
        <f>SUM(SUMIFS('caseload data'!I:I,'caseload data'!$D:$D,"TPO",'caseload data'!$C:$C,'community caseload'!$T$57,'caseload data'!$B:$B,{"licence","community"}))</f>
        <v>0</v>
      </c>
      <c r="Z61" s="94">
        <f>SUM(SUMIFS('caseload data'!J:J,'caseload data'!$D:$D,"TPO",'caseload data'!$C:$C,'community caseload'!$T$57,'caseload data'!$B:$B,{"licence","community"}))</f>
        <v>0</v>
      </c>
      <c r="AA61" s="94">
        <f>SUM(SUMIFS('caseload data'!K:K,'caseload data'!$D:$D,"TPO",'caseload data'!$C:$C,'community caseload'!$T$57,'caseload data'!$B:$B,{"licence","community"}))</f>
        <v>0</v>
      </c>
      <c r="AB61" s="94">
        <f>SUM(SUMIFS('caseload data'!L:L,'caseload data'!$D:$D,"TPO",'caseload data'!$C:$C,'community caseload'!$T$57,'caseload data'!$B:$B,{"licence","community"}))</f>
        <v>0</v>
      </c>
      <c r="AC61" s="94">
        <f>SUM(SUMIFS('caseload data'!M:M,'caseload data'!$D:$D,"TPO",'caseload data'!$C:$C,'community caseload'!$T$57,'caseload data'!$B:$B,{"licence","community"}))</f>
        <v>0</v>
      </c>
      <c r="AD61" s="94">
        <f>SUM(SUMIFS('caseload data'!N:N,'caseload data'!$D:$D,"TPO",'caseload data'!$C:$C,'community caseload'!$T$57,'caseload data'!$B:$B,{"licence","community"}))</f>
        <v>0</v>
      </c>
      <c r="AE61" s="94">
        <f>SUM(SUMIFS('caseload data'!O:O,'caseload data'!$D:$D,"TPO",'caseload data'!$C:$C,'community caseload'!$T$57,'caseload data'!$B:$B,{"licence","community"}))</f>
        <v>0</v>
      </c>
      <c r="AF61" s="94">
        <f>SUM(SUMIFS('caseload data'!P:P,'caseload data'!$D:$D,"TPO",'caseload data'!$C:$C,'community caseload'!$T$57,'caseload data'!$B:$B,{"licence","community"}))</f>
        <v>0</v>
      </c>
      <c r="AG61" s="94">
        <f>SUM(SUMIFS('caseload data'!Q:Q,'caseload data'!$D:$D,"TPO",'caseload data'!$C:$C,'community caseload'!$T$57,'caseload data'!$B:$B,{"licence","community"}))</f>
        <v>0</v>
      </c>
      <c r="AH61" s="94">
        <f>SUM(SUMIFS('caseload data'!R:R,'caseload data'!$D:$D,"TPO",'caseload data'!$C:$C,'community caseload'!$T$57,'caseload data'!$B:$B,{"licence","community"}))</f>
        <v>0</v>
      </c>
      <c r="AI61" s="94">
        <f>SUM(SUMIFS('caseload data'!S:S,'caseload data'!$D:$D,"TPO",'caseload data'!$C:$C,'community caseload'!$T$57,'caseload data'!$B:$B,{"licence","community"}))</f>
        <v>0</v>
      </c>
      <c r="AJ61" s="94">
        <f>SUM(SUMIFS('caseload data'!T:T,'caseload data'!$D:$D,"TPO",'caseload data'!$C:$C,'community caseload'!$T$57,'caseload data'!$B:$B,{"licence","community"}))</f>
        <v>0</v>
      </c>
    </row>
    <row r="62" spans="2:36" x14ac:dyDescent="0.15">
      <c r="B62" s="98" t="s">
        <v>1004</v>
      </c>
      <c r="C62" s="94">
        <f>SUM(SUMIFS('caseload data'!E:E,'caseload data'!$D:$D,"SPO",'caseload data'!$C:$C,'community caseload'!$B$57,'caseload data'!$B:$B,{"licence","community"}))</f>
        <v>0</v>
      </c>
      <c r="D62" s="94">
        <f>SUM(SUMIFS('caseload data'!F:F,'caseload data'!$D:$D,"SPO",'caseload data'!$C:$C,'community caseload'!$B$57,'caseload data'!$B:$B,{"licence","community"}))</f>
        <v>0</v>
      </c>
      <c r="E62" s="94">
        <f>SUM(SUMIFS('caseload data'!G:G,'caseload data'!$D:$D,"SPO",'caseload data'!$C:$C,'community caseload'!$B$57,'caseload data'!$B:$B,{"licence","community"}))</f>
        <v>0</v>
      </c>
      <c r="F62" s="94">
        <f>SUM(SUMIFS('caseload data'!H:H,'caseload data'!$D:$D,"SPO",'caseload data'!$C:$C,'community caseload'!$B$57,'caseload data'!$B:$B,{"licence","community"}))</f>
        <v>0</v>
      </c>
      <c r="G62" s="94">
        <f>SUM(SUMIFS('caseload data'!I:I,'caseload data'!$D:$D,"SPO",'caseload data'!$C:$C,'community caseload'!$B$57,'caseload data'!$B:$B,{"licence","community"}))</f>
        <v>0</v>
      </c>
      <c r="H62" s="94">
        <f>SUM(SUMIFS('caseload data'!J:J,'caseload data'!$D:$D,"SPO",'caseload data'!$C:$C,'community caseload'!$B$57,'caseload data'!$B:$B,{"licence","community"}))</f>
        <v>0</v>
      </c>
      <c r="I62" s="94">
        <f>SUM(SUMIFS('caseload data'!K:K,'caseload data'!$D:$D,"SPO",'caseload data'!$C:$C,'community caseload'!$B$57,'caseload data'!$B:$B,{"licence","community"}))</f>
        <v>0</v>
      </c>
      <c r="J62" s="94">
        <f>SUM(SUMIFS('caseload data'!L:L,'caseload data'!$D:$D,"SPO",'caseload data'!$C:$C,'community caseload'!$B$57,'caseload data'!$B:$B,{"licence","community"}))</f>
        <v>0</v>
      </c>
      <c r="K62" s="94">
        <f>SUM(SUMIFS('caseload data'!M:M,'caseload data'!$D:$D,"SPO",'caseload data'!$C:$C,'community caseload'!$B$57,'caseload data'!$B:$B,{"licence","community"}))</f>
        <v>0</v>
      </c>
      <c r="L62" s="94">
        <f>SUM(SUMIFS('caseload data'!N:N,'caseload data'!$D:$D,"SPO",'caseload data'!$C:$C,'community caseload'!$B$57,'caseload data'!$B:$B,{"licence","community"}))</f>
        <v>0</v>
      </c>
      <c r="M62" s="94">
        <f>SUM(SUMIFS('caseload data'!O:O,'caseload data'!$D:$D,"SPO",'caseload data'!$C:$C,'community caseload'!$B$57,'caseload data'!$B:$B,{"licence","community"}))</f>
        <v>0</v>
      </c>
      <c r="N62" s="94">
        <f>SUM(SUMIFS('caseload data'!P:P,'caseload data'!$D:$D,"SPO",'caseload data'!$C:$C,'community caseload'!$B$57,'caseload data'!$B:$B,{"licence","community"}))</f>
        <v>0</v>
      </c>
      <c r="O62" s="94">
        <f>SUM(SUMIFS('caseload data'!Q:Q,'caseload data'!$D:$D,"SPO",'caseload data'!$C:$C,'community caseload'!$B$57,'caseload data'!$B:$B,{"licence","community"}))</f>
        <v>0</v>
      </c>
      <c r="P62" s="94">
        <f>SUM(SUMIFS('caseload data'!R:R,'caseload data'!$D:$D,"SPO",'caseload data'!$C:$C,'community caseload'!$B$57,'caseload data'!$B:$B,{"licence","community"}))</f>
        <v>0</v>
      </c>
      <c r="Q62" s="94">
        <f>SUM(SUMIFS('caseload data'!S:S,'caseload data'!$D:$D,"SPO",'caseload data'!$C:$C,'community caseload'!$B$57,'caseload data'!$B:$B,{"licence","community"}))</f>
        <v>0</v>
      </c>
      <c r="R62" s="94">
        <f>SUM(SUMIFS('caseload data'!T:T,'caseload data'!$D:$D,"SPO",'caseload data'!$C:$C,'community caseload'!$B$57,'caseload data'!$B:$B,{"licence","community"}))</f>
        <v>0</v>
      </c>
      <c r="S62" s="64"/>
      <c r="T62" s="98" t="s">
        <v>1004</v>
      </c>
      <c r="U62" s="94">
        <f>SUM(SUMIFS('caseload data'!E:E,'caseload data'!$D:$D,"SPO",'caseload data'!$C:$C,'community caseload'!$T$57,'caseload data'!$B:$B,{"licence","community"}))</f>
        <v>0</v>
      </c>
      <c r="V62" s="94">
        <f>SUM(SUMIFS('caseload data'!F:F,'caseload data'!$D:$D,"SPO",'caseload data'!$C:$C,'community caseload'!$T$57,'caseload data'!$B:$B,{"licence","community"}))</f>
        <v>0</v>
      </c>
      <c r="W62" s="94">
        <f>SUM(SUMIFS('caseload data'!G:G,'caseload data'!$D:$D,"SPO",'caseload data'!$C:$C,'community caseload'!$T$57,'caseload data'!$B:$B,{"licence","community"}))</f>
        <v>0</v>
      </c>
      <c r="X62" s="94">
        <f>SUM(SUMIFS('caseload data'!H:H,'caseload data'!$D:$D,"SPO",'caseload data'!$C:$C,'community caseload'!$T$57,'caseload data'!$B:$B,{"licence","community"}))</f>
        <v>0</v>
      </c>
      <c r="Y62" s="94">
        <f>SUM(SUMIFS('caseload data'!I:I,'caseload data'!$D:$D,"SPO",'caseload data'!$C:$C,'community caseload'!$T$57,'caseload data'!$B:$B,{"licence","community"}))</f>
        <v>0</v>
      </c>
      <c r="Z62" s="94">
        <f>SUM(SUMIFS('caseload data'!J:J,'caseload data'!$D:$D,"SPO",'caseload data'!$C:$C,'community caseload'!$T$57,'caseload data'!$B:$B,{"licence","community"}))</f>
        <v>0</v>
      </c>
      <c r="AA62" s="94">
        <f>SUM(SUMIFS('caseload data'!K:K,'caseload data'!$D:$D,"SPO",'caseload data'!$C:$C,'community caseload'!$T$57,'caseload data'!$B:$B,{"licence","community"}))</f>
        <v>0</v>
      </c>
      <c r="AB62" s="94">
        <f>SUM(SUMIFS('caseload data'!L:L,'caseload data'!$D:$D,"SPO",'caseload data'!$C:$C,'community caseload'!$T$57,'caseload data'!$B:$B,{"licence","community"}))</f>
        <v>0</v>
      </c>
      <c r="AC62" s="94">
        <f>SUM(SUMIFS('caseload data'!M:M,'caseload data'!$D:$D,"SPO",'caseload data'!$C:$C,'community caseload'!$T$57,'caseload data'!$B:$B,{"licence","community"}))</f>
        <v>0</v>
      </c>
      <c r="AD62" s="94">
        <f>SUM(SUMIFS('caseload data'!N:N,'caseload data'!$D:$D,"SPO",'caseload data'!$C:$C,'community caseload'!$T$57,'caseload data'!$B:$B,{"licence","community"}))</f>
        <v>0</v>
      </c>
      <c r="AE62" s="94">
        <f>SUM(SUMIFS('caseload data'!O:O,'caseload data'!$D:$D,"SPO",'caseload data'!$C:$C,'community caseload'!$T$57,'caseload data'!$B:$B,{"licence","community"}))</f>
        <v>0</v>
      </c>
      <c r="AF62" s="94">
        <f>SUM(SUMIFS('caseload data'!P:P,'caseload data'!$D:$D,"SPO",'caseload data'!$C:$C,'community caseload'!$T$57,'caseload data'!$B:$B,{"licence","community"}))</f>
        <v>0</v>
      </c>
      <c r="AG62" s="94">
        <f>SUM(SUMIFS('caseload data'!Q:Q,'caseload data'!$D:$D,"SPO",'caseload data'!$C:$C,'community caseload'!$T$57,'caseload data'!$B:$B,{"licence","community"}))</f>
        <v>0</v>
      </c>
      <c r="AH62" s="94">
        <f>SUM(SUMIFS('caseload data'!R:R,'caseload data'!$D:$D,"SPO",'caseload data'!$C:$C,'community caseload'!$T$57,'caseload data'!$B:$B,{"licence","community"}))</f>
        <v>0</v>
      </c>
      <c r="AI62" s="94">
        <f>SUM(SUMIFS('caseload data'!S:S,'caseload data'!$D:$D,"SPO",'caseload data'!$C:$C,'community caseload'!$T$57,'caseload data'!$B:$B,{"licence","community"}))</f>
        <v>0</v>
      </c>
      <c r="AJ62" s="94">
        <f>SUM(SUMIFS('caseload data'!T:T,'caseload data'!$D:$D,"SPO",'caseload data'!$C:$C,'community caseload'!$T$57,'caseload data'!$B:$B,{"licence","community"}))</f>
        <v>0</v>
      </c>
    </row>
    <row r="64" spans="2:36" ht="23.25" customHeight="1" x14ac:dyDescent="0.15">
      <c r="B64" s="289">
        <f>HLOOKUP($B$5,Region_Table,18,0)</f>
        <v>0</v>
      </c>
      <c r="C64" s="509" t="s">
        <v>1130</v>
      </c>
      <c r="D64" s="510"/>
      <c r="E64" s="510"/>
      <c r="F64" s="510"/>
      <c r="G64" s="510"/>
      <c r="H64" s="510"/>
      <c r="I64" s="510"/>
      <c r="J64" s="510"/>
      <c r="K64" s="510"/>
      <c r="L64" s="510"/>
      <c r="M64" s="539"/>
      <c r="N64" s="539"/>
      <c r="O64" s="540"/>
      <c r="P64" s="512" cm="1">
        <f t="array" ref="P64">SUM(SUMIFS('caseload data'!V:V,'caseload data'!B:B,{"licence","community"},'caseload data'!$C:$C,'community caseload'!B64))</f>
        <v>0</v>
      </c>
      <c r="Q64" s="529"/>
      <c r="R64" s="530"/>
      <c r="S64" s="291"/>
      <c r="T64" s="289">
        <f>HLOOKUP($B$5,Region_Table,19,0)</f>
        <v>0</v>
      </c>
      <c r="U64" s="509" t="s">
        <v>1130</v>
      </c>
      <c r="V64" s="510"/>
      <c r="W64" s="510"/>
      <c r="X64" s="510"/>
      <c r="Y64" s="510"/>
      <c r="Z64" s="510"/>
      <c r="AA64" s="510"/>
      <c r="AB64" s="510"/>
      <c r="AC64" s="510"/>
      <c r="AD64" s="510"/>
      <c r="AE64" s="539"/>
      <c r="AF64" s="539"/>
      <c r="AG64" s="540"/>
      <c r="AH64" s="512" cm="1">
        <f t="array" ref="AH64">SUM(SUMIFS('caseload data'!V:V,'caseload data'!B:B,{"licence","community"},'caseload data'!$C:$C,'community caseload'!T64))</f>
        <v>0</v>
      </c>
      <c r="AI64" s="529"/>
      <c r="AJ64" s="530"/>
    </row>
    <row r="65" spans="2:36" x14ac:dyDescent="0.15">
      <c r="B65" s="95" t="s">
        <v>1000</v>
      </c>
      <c r="C65" s="38" t="s">
        <v>864</v>
      </c>
      <c r="D65" s="38" t="s">
        <v>865</v>
      </c>
      <c r="E65" s="38" t="s">
        <v>866</v>
      </c>
      <c r="F65" s="38" t="s">
        <v>867</v>
      </c>
      <c r="G65" s="38" t="s">
        <v>868</v>
      </c>
      <c r="H65" s="38" t="s">
        <v>869</v>
      </c>
      <c r="I65" s="38" t="s">
        <v>870</v>
      </c>
      <c r="J65" s="38" t="s">
        <v>871</v>
      </c>
      <c r="K65" s="38" t="s">
        <v>872</v>
      </c>
      <c r="L65" s="38" t="s">
        <v>873</v>
      </c>
      <c r="M65" s="38" t="s">
        <v>874</v>
      </c>
      <c r="N65" s="38" t="s">
        <v>875</v>
      </c>
      <c r="O65" s="38" t="s">
        <v>876</v>
      </c>
      <c r="P65" s="38" t="s">
        <v>877</v>
      </c>
      <c r="Q65" s="38" t="s">
        <v>878</v>
      </c>
      <c r="R65" s="38" t="s">
        <v>879</v>
      </c>
      <c r="S65" s="64"/>
      <c r="T65" s="95" t="s">
        <v>1000</v>
      </c>
      <c r="U65" s="38" t="s">
        <v>864</v>
      </c>
      <c r="V65" s="38" t="s">
        <v>865</v>
      </c>
      <c r="W65" s="38" t="s">
        <v>866</v>
      </c>
      <c r="X65" s="38" t="s">
        <v>867</v>
      </c>
      <c r="Y65" s="38" t="s">
        <v>868</v>
      </c>
      <c r="Z65" s="38" t="s">
        <v>869</v>
      </c>
      <c r="AA65" s="38" t="s">
        <v>870</v>
      </c>
      <c r="AB65" s="38" t="s">
        <v>871</v>
      </c>
      <c r="AC65" s="38" t="s">
        <v>872</v>
      </c>
      <c r="AD65" s="38" t="s">
        <v>873</v>
      </c>
      <c r="AE65" s="38" t="s">
        <v>874</v>
      </c>
      <c r="AF65" s="38" t="s">
        <v>875</v>
      </c>
      <c r="AG65" s="38" t="s">
        <v>876</v>
      </c>
      <c r="AH65" s="38" t="s">
        <v>877</v>
      </c>
      <c r="AI65" s="38" t="s">
        <v>878</v>
      </c>
      <c r="AJ65" s="38" t="s">
        <v>879</v>
      </c>
    </row>
    <row r="66" spans="2:36" x14ac:dyDescent="0.15">
      <c r="B66" s="96" t="s">
        <v>997</v>
      </c>
      <c r="C66" s="94">
        <f>SUM(SUMIFS('caseload data'!E:E,'caseload data'!$D:$D,"PO",'caseload data'!$C:$C,'community caseload'!$B$64,'caseload data'!$B:$B,{"licence","community"}))</f>
        <v>0</v>
      </c>
      <c r="D66" s="94">
        <f>SUM(SUMIFS('caseload data'!F:F,'caseload data'!$D:$D,"PO",'caseload data'!$C:$C,'community caseload'!$B$64,'caseload data'!$B:$B,{"licence","community"}))</f>
        <v>0</v>
      </c>
      <c r="E66" s="94">
        <f>SUM(SUMIFS('caseload data'!G:G,'caseload data'!$D:$D,"PO",'caseload data'!$C:$C,'community caseload'!$B$64,'caseload data'!$B:$B,{"licence","community"}))</f>
        <v>0</v>
      </c>
      <c r="F66" s="94">
        <f>SUM(SUMIFS('caseload data'!H:H,'caseload data'!$D:$D,"PO",'caseload data'!$C:$C,'community caseload'!$B$64,'caseload data'!$B:$B,{"licence","community"}))</f>
        <v>0</v>
      </c>
      <c r="G66" s="94">
        <f>SUM(SUMIFS('caseload data'!I:I,'caseload data'!$D:$D,"PO",'caseload data'!$C:$C,'community caseload'!$B$64,'caseload data'!$B:$B,{"licence","community"}))</f>
        <v>0</v>
      </c>
      <c r="H66" s="94">
        <f>SUM(SUMIFS('caseload data'!J:J,'caseload data'!$D:$D,"PO",'caseload data'!$C:$C,'community caseload'!$B$64,'caseload data'!$B:$B,{"licence","community"}))</f>
        <v>0</v>
      </c>
      <c r="I66" s="94">
        <f>SUM(SUMIFS('caseload data'!K:K,'caseload data'!$D:$D,"PO",'caseload data'!$C:$C,'community caseload'!$B$64,'caseload data'!$B:$B,{"licence","community"}))</f>
        <v>0</v>
      </c>
      <c r="J66" s="94">
        <f>SUM(SUMIFS('caseload data'!L:L,'caseload data'!$D:$D,"PO",'caseload data'!$C:$C,'community caseload'!$B$64,'caseload data'!$B:$B,{"licence","community"}))</f>
        <v>0</v>
      </c>
      <c r="K66" s="94">
        <f>SUM(SUMIFS('caseload data'!M:M,'caseload data'!$D:$D,"PO",'caseload data'!$C:$C,'community caseload'!$B$64,'caseload data'!$B:$B,{"licence","community"}))</f>
        <v>0</v>
      </c>
      <c r="L66" s="94">
        <f>SUM(SUMIFS('caseload data'!N:N,'caseload data'!$D:$D,"PO",'caseload data'!$C:$C,'community caseload'!$B$64,'caseload data'!$B:$B,{"licence","community"}))</f>
        <v>0</v>
      </c>
      <c r="M66" s="94">
        <f>SUM(SUMIFS('caseload data'!O:O,'caseload data'!$D:$D,"PO",'caseload data'!$C:$C,'community caseload'!$B$64,'caseload data'!$B:$B,{"licence","community"}))</f>
        <v>0</v>
      </c>
      <c r="N66" s="94">
        <f>SUM(SUMIFS('caseload data'!P:P,'caseload data'!$D:$D,"PO",'caseload data'!$C:$C,'community caseload'!$B$64,'caseload data'!$B:$B,{"licence","community"}))</f>
        <v>0</v>
      </c>
      <c r="O66" s="94">
        <f>SUM(SUMIFS('caseload data'!Q:Q,'caseload data'!$D:$D,"PO",'caseload data'!$C:$C,'community caseload'!$B$64,'caseload data'!$B:$B,{"licence","community"}))</f>
        <v>0</v>
      </c>
      <c r="P66" s="94">
        <f>SUM(SUMIFS('caseload data'!R:R,'caseload data'!$D:$D,"PO",'caseload data'!$C:$C,'community caseload'!$B$64,'caseload data'!$B:$B,{"licence","community"}))</f>
        <v>0</v>
      </c>
      <c r="Q66" s="94">
        <f>SUM(SUMIFS('caseload data'!S:S,'caseload data'!$D:$D,"PO",'caseload data'!$C:$C,'community caseload'!$B$64,'caseload data'!$B:$B,{"licence","community"}))</f>
        <v>0</v>
      </c>
      <c r="R66" s="94">
        <f>SUM(SUMIFS('caseload data'!T:T,'caseload data'!$D:$D,"PO",'caseload data'!$C:$C,'community caseload'!$B$64,'caseload data'!$B:$B,{"licence","community"}))</f>
        <v>0</v>
      </c>
      <c r="S66" s="64"/>
      <c r="T66" s="96" t="s">
        <v>997</v>
      </c>
      <c r="U66" s="94">
        <f>SUM(SUMIFS('caseload data'!E:E,'caseload data'!$D:$D,"PO",'caseload data'!$C:$C,'community caseload'!$T$64,'caseload data'!$B:$B,{"licence","community"}))</f>
        <v>0</v>
      </c>
      <c r="V66" s="94">
        <f>SUM(SUMIFS('caseload data'!F:F,'caseload data'!$D:$D,"PO",'caseload data'!$C:$C,'community caseload'!$T$64,'caseload data'!$B:$B,{"licence","community"}))</f>
        <v>0</v>
      </c>
      <c r="W66" s="94">
        <f>SUM(SUMIFS('caseload data'!G:G,'caseload data'!$D:$D,"PO",'caseload data'!$C:$C,'community caseload'!$T$64,'caseload data'!$B:$B,{"licence","community"}))</f>
        <v>0</v>
      </c>
      <c r="X66" s="94">
        <f>SUM(SUMIFS('caseload data'!H:H,'caseload data'!$D:$D,"PO",'caseload data'!$C:$C,'community caseload'!$T$64,'caseload data'!$B:$B,{"licence","community"}))</f>
        <v>0</v>
      </c>
      <c r="Y66" s="94">
        <f>SUM(SUMIFS('caseload data'!I:I,'caseload data'!$D:$D,"PO",'caseload data'!$C:$C,'community caseload'!$T$64,'caseload data'!$B:$B,{"licence","community"}))</f>
        <v>0</v>
      </c>
      <c r="Z66" s="94">
        <f>SUM(SUMIFS('caseload data'!J:J,'caseload data'!$D:$D,"PO",'caseload data'!$C:$C,'community caseload'!$T$64,'caseload data'!$B:$B,{"licence","community"}))</f>
        <v>0</v>
      </c>
      <c r="AA66" s="94">
        <f>SUM(SUMIFS('caseload data'!K:K,'caseload data'!$D:$D,"PO",'caseload data'!$C:$C,'community caseload'!$T$64,'caseload data'!$B:$B,{"licence","community"}))</f>
        <v>0</v>
      </c>
      <c r="AB66" s="94">
        <f>SUM(SUMIFS('caseload data'!L:L,'caseload data'!$D:$D,"PO",'caseload data'!$C:$C,'community caseload'!$T$64,'caseload data'!$B:$B,{"licence","community"}))</f>
        <v>0</v>
      </c>
      <c r="AC66" s="94">
        <f>SUM(SUMIFS('caseload data'!M:M,'caseload data'!$D:$D,"PO",'caseload data'!$C:$C,'community caseload'!$T$64,'caseload data'!$B:$B,{"licence","community"}))</f>
        <v>0</v>
      </c>
      <c r="AD66" s="94">
        <f>SUM(SUMIFS('caseload data'!N:N,'caseload data'!$D:$D,"PO",'caseload data'!$C:$C,'community caseload'!$T$64,'caseload data'!$B:$B,{"licence","community"}))</f>
        <v>0</v>
      </c>
      <c r="AE66" s="94">
        <f>SUM(SUMIFS('caseload data'!O:O,'caseload data'!$D:$D,"PO",'caseload data'!$C:$C,'community caseload'!$T$64,'caseload data'!$B:$B,{"licence","community"}))</f>
        <v>0</v>
      </c>
      <c r="AF66" s="94">
        <f>SUM(SUMIFS('caseload data'!P:P,'caseload data'!$D:$D,"PO",'caseload data'!$C:$C,'community caseload'!$T$64,'caseload data'!$B:$B,{"licence","community"}))</f>
        <v>0</v>
      </c>
      <c r="AG66" s="94">
        <f>SUM(SUMIFS('caseload data'!Q:Q,'caseload data'!$D:$D,"PO",'caseload data'!$C:$C,'community caseload'!$T$64,'caseload data'!$B:$B,{"licence","community"}))</f>
        <v>0</v>
      </c>
      <c r="AH66" s="94">
        <f>SUM(SUMIFS('caseload data'!R:R,'caseload data'!$D:$D,"PO",'caseload data'!$C:$C,'community caseload'!$T$64,'caseload data'!$B:$B,{"licence","community"}))</f>
        <v>0</v>
      </c>
      <c r="AI66" s="94">
        <f>SUM(SUMIFS('caseload data'!S:S,'caseload data'!$D:$D,"PO",'caseload data'!$C:$C,'community caseload'!$T$64,'caseload data'!$B:$B,{"licence","community"}))</f>
        <v>0</v>
      </c>
      <c r="AJ66" s="94">
        <f>SUM(SUMIFS('caseload data'!T:T,'caseload data'!$D:$D,"PO",'caseload data'!$C:$C,'community caseload'!$T$64,'caseload data'!$B:$B,{"licence","community"}))</f>
        <v>0</v>
      </c>
    </row>
    <row r="67" spans="2:36" x14ac:dyDescent="0.15">
      <c r="B67" s="97" t="s">
        <v>1002</v>
      </c>
      <c r="C67" s="94">
        <f>SUM(SUMIFS('caseload data'!E:E,'caseload data'!$D:$D,"PSO",'caseload data'!$C:$C,'community caseload'!$B$64,'caseload data'!$B:$B,{"licence","community"}))</f>
        <v>0</v>
      </c>
      <c r="D67" s="94">
        <f>SUM(SUMIFS('caseload data'!F:F,'caseload data'!$D:$D,"PSO",'caseload data'!$C:$C,'community caseload'!$B$64,'caseload data'!$B:$B,{"licence","community"}))</f>
        <v>0</v>
      </c>
      <c r="E67" s="94">
        <f>SUM(SUMIFS('caseload data'!G:G,'caseload data'!$D:$D,"PSO",'caseload data'!$C:$C,'community caseload'!$B$64,'caseload data'!$B:$B,{"licence","community"}))</f>
        <v>0</v>
      </c>
      <c r="F67" s="94">
        <f>SUM(SUMIFS('caseload data'!H:H,'caseload data'!$D:$D,"PSO",'caseload data'!$C:$C,'community caseload'!$B$64,'caseload data'!$B:$B,{"licence","community"}))</f>
        <v>0</v>
      </c>
      <c r="G67" s="94">
        <f>SUM(SUMIFS('caseload data'!I:I,'caseload data'!$D:$D,"PSO",'caseload data'!$C:$C,'community caseload'!$B$64,'caseload data'!$B:$B,{"licence","community"}))</f>
        <v>0</v>
      </c>
      <c r="H67" s="94">
        <f>SUM(SUMIFS('caseload data'!J:J,'caseload data'!$D:$D,"PSO",'caseload data'!$C:$C,'community caseload'!$B$64,'caseload data'!$B:$B,{"licence","community"}))</f>
        <v>0</v>
      </c>
      <c r="I67" s="94">
        <f>SUM(SUMIFS('caseload data'!K:K,'caseload data'!$D:$D,"PSO",'caseload data'!$C:$C,'community caseload'!$B$64,'caseload data'!$B:$B,{"licence","community"}))</f>
        <v>0</v>
      </c>
      <c r="J67" s="94">
        <f>SUM(SUMIFS('caseload data'!L:L,'caseload data'!$D:$D,"PSO",'caseload data'!$C:$C,'community caseload'!$B$64,'caseload data'!$B:$B,{"licence","community"}))</f>
        <v>0</v>
      </c>
      <c r="K67" s="94">
        <f>SUM(SUMIFS('caseload data'!M:M,'caseload data'!$D:$D,"PSO",'caseload data'!$C:$C,'community caseload'!$B$64,'caseload data'!$B:$B,{"licence","community"}))</f>
        <v>0</v>
      </c>
      <c r="L67" s="94">
        <f>SUM(SUMIFS('caseload data'!N:N,'caseload data'!$D:$D,"PSO",'caseload data'!$C:$C,'community caseload'!$B$64,'caseload data'!$B:$B,{"licence","community"}))</f>
        <v>0</v>
      </c>
      <c r="M67" s="94">
        <f>SUM(SUMIFS('caseload data'!O:O,'caseload data'!$D:$D,"PSO",'caseload data'!$C:$C,'community caseload'!$B$64,'caseload data'!$B:$B,{"licence","community"}))</f>
        <v>0</v>
      </c>
      <c r="N67" s="94">
        <f>SUM(SUMIFS('caseload data'!P:P,'caseload data'!$D:$D,"PSO",'caseload data'!$C:$C,'community caseload'!$B$64,'caseload data'!$B:$B,{"licence","community"}))</f>
        <v>0</v>
      </c>
      <c r="O67" s="94">
        <f>SUM(SUMIFS('caseload data'!Q:Q,'caseload data'!$D:$D,"PSO",'caseload data'!$C:$C,'community caseload'!$B$64,'caseload data'!$B:$B,{"licence","community"}))</f>
        <v>0</v>
      </c>
      <c r="P67" s="94">
        <f>SUM(SUMIFS('caseload data'!R:R,'caseload data'!$D:$D,"PSO",'caseload data'!$C:$C,'community caseload'!$B$64,'caseload data'!$B:$B,{"licence","community"}))</f>
        <v>0</v>
      </c>
      <c r="Q67" s="94">
        <f>SUM(SUMIFS('caseload data'!S:S,'caseload data'!$D:$D,"PSO",'caseload data'!$C:$C,'community caseload'!$B$64,'caseload data'!$B:$B,{"licence","community"}))</f>
        <v>0</v>
      </c>
      <c r="R67" s="94">
        <f>SUM(SUMIFS('caseload data'!T:T,'caseload data'!$D:$D,"PSO",'caseload data'!$C:$C,'community caseload'!$B$64,'caseload data'!$B:$B,{"licence","community"}))</f>
        <v>0</v>
      </c>
      <c r="S67" s="64"/>
      <c r="T67" s="97" t="s">
        <v>1002</v>
      </c>
      <c r="U67" s="94">
        <f>SUM(SUMIFS('caseload data'!E:E,'caseload data'!$D:$D,"PSO",'caseload data'!$C:$C,'community caseload'!$T$64,'caseload data'!$B:$B,{"licence","community"}))</f>
        <v>0</v>
      </c>
      <c r="V67" s="94">
        <f>SUM(SUMIFS('caseload data'!F:F,'caseload data'!$D:$D,"PSO",'caseload data'!$C:$C,'community caseload'!$T$64,'caseload data'!$B:$B,{"licence","community"}))</f>
        <v>0</v>
      </c>
      <c r="W67" s="94">
        <f>SUM(SUMIFS('caseload data'!G:G,'caseload data'!$D:$D,"PSO",'caseload data'!$C:$C,'community caseload'!$T$64,'caseload data'!$B:$B,{"licence","community"}))</f>
        <v>0</v>
      </c>
      <c r="X67" s="94">
        <f>SUM(SUMIFS('caseload data'!H:H,'caseload data'!$D:$D,"PSO",'caseload data'!$C:$C,'community caseload'!$T$64,'caseload data'!$B:$B,{"licence","community"}))</f>
        <v>0</v>
      </c>
      <c r="Y67" s="94">
        <f>SUM(SUMIFS('caseload data'!I:I,'caseload data'!$D:$D,"PSO",'caseload data'!$C:$C,'community caseload'!$T$64,'caseload data'!$B:$B,{"licence","community"}))</f>
        <v>0</v>
      </c>
      <c r="Z67" s="94">
        <f>SUM(SUMIFS('caseload data'!J:J,'caseload data'!$D:$D,"PSO",'caseload data'!$C:$C,'community caseload'!$T$64,'caseload data'!$B:$B,{"licence","community"}))</f>
        <v>0</v>
      </c>
      <c r="AA67" s="94">
        <f>SUM(SUMIFS('caseload data'!K:K,'caseload data'!$D:$D,"PSO",'caseload data'!$C:$C,'community caseload'!$T$64,'caseload data'!$B:$B,{"licence","community"}))</f>
        <v>0</v>
      </c>
      <c r="AB67" s="94">
        <f>SUM(SUMIFS('caseload data'!L:L,'caseload data'!$D:$D,"PSO",'caseload data'!$C:$C,'community caseload'!$T$64,'caseload data'!$B:$B,{"licence","community"}))</f>
        <v>0</v>
      </c>
      <c r="AC67" s="94">
        <f>SUM(SUMIFS('caseload data'!M:M,'caseload data'!$D:$D,"PSO",'caseload data'!$C:$C,'community caseload'!$T$64,'caseload data'!$B:$B,{"licence","community"}))</f>
        <v>0</v>
      </c>
      <c r="AD67" s="94">
        <f>SUM(SUMIFS('caseload data'!N:N,'caseload data'!$D:$D,"PSO",'caseload data'!$C:$C,'community caseload'!$T$64,'caseload data'!$B:$B,{"licence","community"}))</f>
        <v>0</v>
      </c>
      <c r="AE67" s="94">
        <f>SUM(SUMIFS('caseload data'!O:O,'caseload data'!$D:$D,"PSO",'caseload data'!$C:$C,'community caseload'!$T$64,'caseload data'!$B:$B,{"licence","community"}))</f>
        <v>0</v>
      </c>
      <c r="AF67" s="94">
        <f>SUM(SUMIFS('caseload data'!P:P,'caseload data'!$D:$D,"PSO",'caseload data'!$C:$C,'community caseload'!$T$64,'caseload data'!$B:$B,{"licence","community"}))</f>
        <v>0</v>
      </c>
      <c r="AG67" s="94">
        <f>SUM(SUMIFS('caseload data'!Q:Q,'caseload data'!$D:$D,"PSO",'caseload data'!$C:$C,'community caseload'!$T$64,'caseload data'!$B:$B,{"licence","community"}))</f>
        <v>0</v>
      </c>
      <c r="AH67" s="94">
        <f>SUM(SUMIFS('caseload data'!R:R,'caseload data'!$D:$D,"PSO",'caseload data'!$C:$C,'community caseload'!$T$64,'caseload data'!$B:$B,{"licence","community"}))</f>
        <v>0</v>
      </c>
      <c r="AI67" s="94">
        <f>SUM(SUMIFS('caseload data'!S:S,'caseload data'!$D:$D,"PSO",'caseload data'!$C:$C,'community caseload'!$T$64,'caseload data'!$B:$B,{"licence","community"}))</f>
        <v>0</v>
      </c>
      <c r="AJ67" s="94">
        <f>SUM(SUMIFS('caseload data'!T:T,'caseload data'!$D:$D,"PSO",'caseload data'!$C:$C,'community caseload'!$T$64,'caseload data'!$B:$B,{"licence","community"}))</f>
        <v>0</v>
      </c>
    </row>
    <row r="68" spans="2:36" x14ac:dyDescent="0.15">
      <c r="B68" s="97" t="s">
        <v>1003</v>
      </c>
      <c r="C68" s="94">
        <f>SUM(SUMIFS('caseload data'!E:E,'caseload data'!$D:$D,"TPO",'caseload data'!$C:$C,'community caseload'!$B$64,'caseload data'!$B:$B,{"licence","community"}))</f>
        <v>0</v>
      </c>
      <c r="D68" s="94">
        <f>SUM(SUMIFS('caseload data'!F:F,'caseload data'!$D:$D,"TPO",'caseload data'!$C:$C,'community caseload'!$B$64,'caseload data'!$B:$B,{"licence","community"}))</f>
        <v>0</v>
      </c>
      <c r="E68" s="94">
        <f>SUM(SUMIFS('caseload data'!G:G,'caseload data'!$D:$D,"TPO",'caseload data'!$C:$C,'community caseload'!$B$64,'caseload data'!$B:$B,{"licence","community"}))</f>
        <v>0</v>
      </c>
      <c r="F68" s="94">
        <f>SUM(SUMIFS('caseload data'!H:H,'caseload data'!$D:$D,"TPO",'caseload data'!$C:$C,'community caseload'!$B$64,'caseload data'!$B:$B,{"licence","community"}))</f>
        <v>0</v>
      </c>
      <c r="G68" s="94">
        <f>SUM(SUMIFS('caseload data'!I:I,'caseload data'!$D:$D,"TPO",'caseload data'!$C:$C,'community caseload'!$B$64,'caseload data'!$B:$B,{"licence","community"}))</f>
        <v>0</v>
      </c>
      <c r="H68" s="94">
        <f>SUM(SUMIFS('caseload data'!J:J,'caseload data'!$D:$D,"TPO",'caseload data'!$C:$C,'community caseload'!$B$64,'caseload data'!$B:$B,{"licence","community"}))</f>
        <v>0</v>
      </c>
      <c r="I68" s="94">
        <f>SUM(SUMIFS('caseload data'!K:K,'caseload data'!$D:$D,"TPO",'caseload data'!$C:$C,'community caseload'!$B$64,'caseload data'!$B:$B,{"licence","community"}))</f>
        <v>0</v>
      </c>
      <c r="J68" s="94">
        <f>SUM(SUMIFS('caseload data'!L:L,'caseload data'!$D:$D,"TPO",'caseload data'!$C:$C,'community caseload'!$B$64,'caseload data'!$B:$B,{"licence","community"}))</f>
        <v>0</v>
      </c>
      <c r="K68" s="94">
        <f>SUM(SUMIFS('caseload data'!M:M,'caseload data'!$D:$D,"TPO",'caseload data'!$C:$C,'community caseload'!$B$64,'caseload data'!$B:$B,{"licence","community"}))</f>
        <v>0</v>
      </c>
      <c r="L68" s="94">
        <f>SUM(SUMIFS('caseload data'!N:N,'caseload data'!$D:$D,"TPO",'caseload data'!$C:$C,'community caseload'!$B$64,'caseload data'!$B:$B,{"licence","community"}))</f>
        <v>0</v>
      </c>
      <c r="M68" s="94">
        <f>SUM(SUMIFS('caseload data'!O:O,'caseload data'!$D:$D,"TPO",'caseload data'!$C:$C,'community caseload'!$B$64,'caseload data'!$B:$B,{"licence","community"}))</f>
        <v>0</v>
      </c>
      <c r="N68" s="94">
        <f>SUM(SUMIFS('caseload data'!P:P,'caseload data'!$D:$D,"TPO",'caseload data'!$C:$C,'community caseload'!$B$64,'caseload data'!$B:$B,{"licence","community"}))</f>
        <v>0</v>
      </c>
      <c r="O68" s="94">
        <f>SUM(SUMIFS('caseload data'!Q:Q,'caseload data'!$D:$D,"TPO",'caseload data'!$C:$C,'community caseload'!$B$64,'caseload data'!$B:$B,{"licence","community"}))</f>
        <v>0</v>
      </c>
      <c r="P68" s="94">
        <f>SUM(SUMIFS('caseload data'!R:R,'caseload data'!$D:$D,"TPO",'caseload data'!$C:$C,'community caseload'!$B$64,'caseload data'!$B:$B,{"licence","community"}))</f>
        <v>0</v>
      </c>
      <c r="Q68" s="94">
        <f>SUM(SUMIFS('caseload data'!S:S,'caseload data'!$D:$D,"TPO",'caseload data'!$C:$C,'community caseload'!$B$64,'caseload data'!$B:$B,{"licence","community"}))</f>
        <v>0</v>
      </c>
      <c r="R68" s="94">
        <f>SUM(SUMIFS('caseload data'!T:T,'caseload data'!$D:$D,"TPO",'caseload data'!$C:$C,'community caseload'!$B$64,'caseload data'!$B:$B,{"licence","community"}))</f>
        <v>0</v>
      </c>
      <c r="S68" s="64"/>
      <c r="T68" s="97" t="s">
        <v>1003</v>
      </c>
      <c r="U68" s="94">
        <f>SUM(SUMIFS('caseload data'!E:E,'caseload data'!$D:$D,"TPO",'caseload data'!$C:$C,'community caseload'!$T$64,'caseload data'!$B:$B,{"licence","community"}))</f>
        <v>0</v>
      </c>
      <c r="V68" s="94">
        <f>SUM(SUMIFS('caseload data'!F:F,'caseload data'!$D:$D,"TPO",'caseload data'!$C:$C,'community caseload'!$T$64,'caseload data'!$B:$B,{"licence","community"}))</f>
        <v>0</v>
      </c>
      <c r="W68" s="94">
        <f>SUM(SUMIFS('caseload data'!G:G,'caseload data'!$D:$D,"TPO",'caseload data'!$C:$C,'community caseload'!$T$64,'caseload data'!$B:$B,{"licence","community"}))</f>
        <v>0</v>
      </c>
      <c r="X68" s="94">
        <f>SUM(SUMIFS('caseload data'!H:H,'caseload data'!$D:$D,"TPO",'caseload data'!$C:$C,'community caseload'!$T$64,'caseload data'!$B:$B,{"licence","community"}))</f>
        <v>0</v>
      </c>
      <c r="Y68" s="94">
        <f>SUM(SUMIFS('caseload data'!I:I,'caseload data'!$D:$D,"TPO",'caseload data'!$C:$C,'community caseload'!$T$64,'caseload data'!$B:$B,{"licence","community"}))</f>
        <v>0</v>
      </c>
      <c r="Z68" s="94">
        <f>SUM(SUMIFS('caseload data'!J:J,'caseload data'!$D:$D,"TPO",'caseload data'!$C:$C,'community caseload'!$T$64,'caseload data'!$B:$B,{"licence","community"}))</f>
        <v>0</v>
      </c>
      <c r="AA68" s="94">
        <f>SUM(SUMIFS('caseload data'!K:K,'caseload data'!$D:$D,"TPO",'caseload data'!$C:$C,'community caseload'!$T$64,'caseload data'!$B:$B,{"licence","community"}))</f>
        <v>0</v>
      </c>
      <c r="AB68" s="94">
        <f>SUM(SUMIFS('caseload data'!L:L,'caseload data'!$D:$D,"TPO",'caseload data'!$C:$C,'community caseload'!$T$64,'caseload data'!$B:$B,{"licence","community"}))</f>
        <v>0</v>
      </c>
      <c r="AC68" s="94">
        <f>SUM(SUMIFS('caseload data'!M:M,'caseload data'!$D:$D,"TPO",'caseload data'!$C:$C,'community caseload'!$T$64,'caseload data'!$B:$B,{"licence","community"}))</f>
        <v>0</v>
      </c>
      <c r="AD68" s="94">
        <f>SUM(SUMIFS('caseload data'!N:N,'caseload data'!$D:$D,"TPO",'caseload data'!$C:$C,'community caseload'!$T$64,'caseload data'!$B:$B,{"licence","community"}))</f>
        <v>0</v>
      </c>
      <c r="AE68" s="94">
        <f>SUM(SUMIFS('caseload data'!O:O,'caseload data'!$D:$D,"TPO",'caseload data'!$C:$C,'community caseload'!$T$64,'caseload data'!$B:$B,{"licence","community"}))</f>
        <v>0</v>
      </c>
      <c r="AF68" s="94">
        <f>SUM(SUMIFS('caseload data'!P:P,'caseload data'!$D:$D,"TPO",'caseload data'!$C:$C,'community caseload'!$T$64,'caseload data'!$B:$B,{"licence","community"}))</f>
        <v>0</v>
      </c>
      <c r="AG68" s="94">
        <f>SUM(SUMIFS('caseload data'!Q:Q,'caseload data'!$D:$D,"TPO",'caseload data'!$C:$C,'community caseload'!$T$64,'caseload data'!$B:$B,{"licence","community"}))</f>
        <v>0</v>
      </c>
      <c r="AH68" s="94">
        <f>SUM(SUMIFS('caseload data'!R:R,'caseload data'!$D:$D,"TPO",'caseload data'!$C:$C,'community caseload'!$T$64,'caseload data'!$B:$B,{"licence","community"}))</f>
        <v>0</v>
      </c>
      <c r="AI68" s="94">
        <f>SUM(SUMIFS('caseload data'!S:S,'caseload data'!$D:$D,"TPO",'caseload data'!$C:$C,'community caseload'!$T$64,'caseload data'!$B:$B,{"licence","community"}))</f>
        <v>0</v>
      </c>
      <c r="AJ68" s="94">
        <f>SUM(SUMIFS('caseload data'!T:T,'caseload data'!$D:$D,"TPO",'caseload data'!$C:$C,'community caseload'!$T$64,'caseload data'!$B:$B,{"licence","community"}))</f>
        <v>0</v>
      </c>
    </row>
    <row r="69" spans="2:36" x14ac:dyDescent="0.15">
      <c r="B69" s="98" t="s">
        <v>1004</v>
      </c>
      <c r="C69" s="94">
        <f>SUM(SUMIFS('caseload data'!E:E,'caseload data'!$D:$D,"SPO",'caseload data'!$C:$C,'community caseload'!$B$64,'caseload data'!$B:$B,{"licence","community"}))</f>
        <v>0</v>
      </c>
      <c r="D69" s="94">
        <f>SUM(SUMIFS('caseload data'!F:F,'caseload data'!$D:$D,"SPO",'caseload data'!$C:$C,'community caseload'!$B$64,'caseload data'!$B:$B,{"licence","community"}))</f>
        <v>0</v>
      </c>
      <c r="E69" s="94">
        <f>SUM(SUMIFS('caseload data'!G:G,'caseload data'!$D:$D,"SPO",'caseload data'!$C:$C,'community caseload'!$B$64,'caseload data'!$B:$B,{"licence","community"}))</f>
        <v>0</v>
      </c>
      <c r="F69" s="94">
        <f>SUM(SUMIFS('caseload data'!H:H,'caseload data'!$D:$D,"SPO",'caseload data'!$C:$C,'community caseload'!$B$64,'caseload data'!$B:$B,{"licence","community"}))</f>
        <v>0</v>
      </c>
      <c r="G69" s="94">
        <f>SUM(SUMIFS('caseload data'!I:I,'caseload data'!$D:$D,"SPO",'caseload data'!$C:$C,'community caseload'!$B$64,'caseload data'!$B:$B,{"licence","community"}))</f>
        <v>0</v>
      </c>
      <c r="H69" s="94">
        <f>SUM(SUMIFS('caseload data'!J:J,'caseload data'!$D:$D,"SPO",'caseload data'!$C:$C,'community caseload'!$B$64,'caseload data'!$B:$B,{"licence","community"}))</f>
        <v>0</v>
      </c>
      <c r="I69" s="94">
        <f>SUM(SUMIFS('caseload data'!K:K,'caseload data'!$D:$D,"SPO",'caseload data'!$C:$C,'community caseload'!$B$64,'caseload data'!$B:$B,{"licence","community"}))</f>
        <v>0</v>
      </c>
      <c r="J69" s="94">
        <f>SUM(SUMIFS('caseload data'!L:L,'caseload data'!$D:$D,"SPO",'caseload data'!$C:$C,'community caseload'!$B$64,'caseload data'!$B:$B,{"licence","community"}))</f>
        <v>0</v>
      </c>
      <c r="K69" s="94">
        <f>SUM(SUMIFS('caseload data'!M:M,'caseload data'!$D:$D,"SPO",'caseload data'!$C:$C,'community caseload'!$B$64,'caseload data'!$B:$B,{"licence","community"}))</f>
        <v>0</v>
      </c>
      <c r="L69" s="94">
        <f>SUM(SUMIFS('caseload data'!N:N,'caseload data'!$D:$D,"SPO",'caseload data'!$C:$C,'community caseload'!$B$64,'caseload data'!$B:$B,{"licence","community"}))</f>
        <v>0</v>
      </c>
      <c r="M69" s="94">
        <f>SUM(SUMIFS('caseload data'!O:O,'caseload data'!$D:$D,"SPO",'caseload data'!$C:$C,'community caseload'!$B$64,'caseload data'!$B:$B,{"licence","community"}))</f>
        <v>0</v>
      </c>
      <c r="N69" s="94">
        <f>SUM(SUMIFS('caseload data'!P:P,'caseload data'!$D:$D,"SPO",'caseload data'!$C:$C,'community caseload'!$B$64,'caseload data'!$B:$B,{"licence","community"}))</f>
        <v>0</v>
      </c>
      <c r="O69" s="94">
        <f>SUM(SUMIFS('caseload data'!Q:Q,'caseload data'!$D:$D,"SPO",'caseload data'!$C:$C,'community caseload'!$B$64,'caseload data'!$B:$B,{"licence","community"}))</f>
        <v>0</v>
      </c>
      <c r="P69" s="94">
        <f>SUM(SUMIFS('caseload data'!R:R,'caseload data'!$D:$D,"SPO",'caseload data'!$C:$C,'community caseload'!$B$64,'caseload data'!$B:$B,{"licence","community"}))</f>
        <v>0</v>
      </c>
      <c r="Q69" s="94">
        <f>SUM(SUMIFS('caseload data'!S:S,'caseload data'!$D:$D,"SPO",'caseload data'!$C:$C,'community caseload'!$B$64,'caseload data'!$B:$B,{"licence","community"}))</f>
        <v>0</v>
      </c>
      <c r="R69" s="94">
        <f>SUM(SUMIFS('caseload data'!T:T,'caseload data'!$D:$D,"SPO",'caseload data'!$C:$C,'community caseload'!$B$64,'caseload data'!$B:$B,{"licence","community"}))</f>
        <v>0</v>
      </c>
      <c r="S69" s="64"/>
      <c r="T69" s="98" t="s">
        <v>1004</v>
      </c>
      <c r="U69" s="94">
        <f>SUM(SUMIFS('caseload data'!E:E,'caseload data'!$D:$D,"SPO",'caseload data'!$C:$C,'community caseload'!$T$64,'caseload data'!$B:$B,{"licence","community"}))</f>
        <v>0</v>
      </c>
      <c r="V69" s="94">
        <f>SUM(SUMIFS('caseload data'!F:F,'caseload data'!$D:$D,"SPO",'caseload data'!$C:$C,'community caseload'!$T$64,'caseload data'!$B:$B,{"licence","community"}))</f>
        <v>0</v>
      </c>
      <c r="W69" s="94">
        <f>SUM(SUMIFS('caseload data'!G:G,'caseload data'!$D:$D,"SPO",'caseload data'!$C:$C,'community caseload'!$T$64,'caseload data'!$B:$B,{"licence","community"}))</f>
        <v>0</v>
      </c>
      <c r="X69" s="94">
        <f>SUM(SUMIFS('caseload data'!H:H,'caseload data'!$D:$D,"SPO",'caseload data'!$C:$C,'community caseload'!$T$64,'caseload data'!$B:$B,{"licence","community"}))</f>
        <v>0</v>
      </c>
      <c r="Y69" s="94">
        <f>SUM(SUMIFS('caseload data'!I:I,'caseload data'!$D:$D,"SPO",'caseload data'!$C:$C,'community caseload'!$T$64,'caseload data'!$B:$B,{"licence","community"}))</f>
        <v>0</v>
      </c>
      <c r="Z69" s="94">
        <f>SUM(SUMIFS('caseload data'!J:J,'caseload data'!$D:$D,"SPO",'caseload data'!$C:$C,'community caseload'!$T$64,'caseload data'!$B:$B,{"licence","community"}))</f>
        <v>0</v>
      </c>
      <c r="AA69" s="94">
        <f>SUM(SUMIFS('caseload data'!K:K,'caseload data'!$D:$D,"SPO",'caseload data'!$C:$C,'community caseload'!$T$64,'caseload data'!$B:$B,{"licence","community"}))</f>
        <v>0</v>
      </c>
      <c r="AB69" s="94">
        <f>SUM(SUMIFS('caseload data'!L:L,'caseload data'!$D:$D,"SPO",'caseload data'!$C:$C,'community caseload'!$T$64,'caseload data'!$B:$B,{"licence","community"}))</f>
        <v>0</v>
      </c>
      <c r="AC69" s="94">
        <f>SUM(SUMIFS('caseload data'!M:M,'caseload data'!$D:$D,"SPO",'caseload data'!$C:$C,'community caseload'!$T$64,'caseload data'!$B:$B,{"licence","community"}))</f>
        <v>0</v>
      </c>
      <c r="AD69" s="94">
        <f>SUM(SUMIFS('caseload data'!N:N,'caseload data'!$D:$D,"SPO",'caseload data'!$C:$C,'community caseload'!$T$64,'caseload data'!$B:$B,{"licence","community"}))</f>
        <v>0</v>
      </c>
      <c r="AE69" s="94">
        <f>SUM(SUMIFS('caseload data'!O:O,'caseload data'!$D:$D,"SPO",'caseload data'!$C:$C,'community caseload'!$T$64,'caseload data'!$B:$B,{"licence","community"}))</f>
        <v>0</v>
      </c>
      <c r="AF69" s="94">
        <f>SUM(SUMIFS('caseload data'!P:P,'caseload data'!$D:$D,"SPO",'caseload data'!$C:$C,'community caseload'!$T$64,'caseload data'!$B:$B,{"licence","community"}))</f>
        <v>0</v>
      </c>
      <c r="AG69" s="94">
        <f>SUM(SUMIFS('caseload data'!Q:Q,'caseload data'!$D:$D,"SPO",'caseload data'!$C:$C,'community caseload'!$T$64,'caseload data'!$B:$B,{"licence","community"}))</f>
        <v>0</v>
      </c>
      <c r="AH69" s="94">
        <f>SUM(SUMIFS('caseload data'!R:R,'caseload data'!$D:$D,"SPO",'caseload data'!$C:$C,'community caseload'!$T$64,'caseload data'!$B:$B,{"licence","community"}))</f>
        <v>0</v>
      </c>
      <c r="AI69" s="94">
        <f>SUM(SUMIFS('caseload data'!S:S,'caseload data'!$D:$D,"SPO",'caseload data'!$C:$C,'community caseload'!$T$64,'caseload data'!$B:$B,{"licence","community"}))</f>
        <v>0</v>
      </c>
      <c r="AJ69" s="94">
        <f>SUM(SUMIFS('caseload data'!T:T,'caseload data'!$D:$D,"SPO",'caseload data'!$C:$C,'community caseload'!$T$64,'caseload data'!$B:$B,{"licence","community"}))</f>
        <v>0</v>
      </c>
    </row>
    <row r="71" spans="2:36" ht="24.75" customHeight="1" x14ac:dyDescent="0.15">
      <c r="B71" s="289">
        <f>HLOOKUP($B$5,Region_Table,20,0)</f>
        <v>0</v>
      </c>
      <c r="C71" s="509" t="s">
        <v>1130</v>
      </c>
      <c r="D71" s="510"/>
      <c r="E71" s="510"/>
      <c r="F71" s="510"/>
      <c r="G71" s="510"/>
      <c r="H71" s="510"/>
      <c r="I71" s="510"/>
      <c r="J71" s="510"/>
      <c r="K71" s="510"/>
      <c r="L71" s="510"/>
      <c r="M71" s="539"/>
      <c r="N71" s="539"/>
      <c r="O71" s="540"/>
      <c r="P71" s="512" cm="1">
        <f t="array" ref="P71">SUM(SUMIFS('caseload data'!V:V,'caseload data'!B:B,{"licence","community"},'caseload data'!$C:$C,'community caseload'!B71))</f>
        <v>0</v>
      </c>
      <c r="Q71" s="529"/>
      <c r="R71" s="530"/>
      <c r="S71" s="291"/>
      <c r="T71" s="289">
        <f>HLOOKUP($B$5,Region_Table,21,0)</f>
        <v>0</v>
      </c>
      <c r="U71" s="509" t="s">
        <v>1130</v>
      </c>
      <c r="V71" s="510"/>
      <c r="W71" s="510"/>
      <c r="X71" s="510"/>
      <c r="Y71" s="510"/>
      <c r="Z71" s="510"/>
      <c r="AA71" s="510"/>
      <c r="AB71" s="510"/>
      <c r="AC71" s="510"/>
      <c r="AD71" s="510"/>
      <c r="AE71" s="539"/>
      <c r="AF71" s="539"/>
      <c r="AG71" s="540"/>
      <c r="AH71" s="512" cm="1">
        <f t="array" ref="AH71">SUM(SUMIFS('caseload data'!V:V,'caseload data'!B:B,{"licence","community"},'caseload data'!$C:$C,'community caseload'!T71))</f>
        <v>0</v>
      </c>
      <c r="AI71" s="529"/>
      <c r="AJ71" s="530"/>
    </row>
    <row r="72" spans="2:36" x14ac:dyDescent="0.15">
      <c r="B72" s="95" t="s">
        <v>1000</v>
      </c>
      <c r="C72" s="38" t="s">
        <v>864</v>
      </c>
      <c r="D72" s="38" t="s">
        <v>865</v>
      </c>
      <c r="E72" s="38" t="s">
        <v>866</v>
      </c>
      <c r="F72" s="38" t="s">
        <v>867</v>
      </c>
      <c r="G72" s="38" t="s">
        <v>868</v>
      </c>
      <c r="H72" s="38" t="s">
        <v>869</v>
      </c>
      <c r="I72" s="38" t="s">
        <v>870</v>
      </c>
      <c r="J72" s="38" t="s">
        <v>871</v>
      </c>
      <c r="K72" s="38" t="s">
        <v>872</v>
      </c>
      <c r="L72" s="38" t="s">
        <v>873</v>
      </c>
      <c r="M72" s="38" t="s">
        <v>874</v>
      </c>
      <c r="N72" s="38" t="s">
        <v>875</v>
      </c>
      <c r="O72" s="38" t="s">
        <v>876</v>
      </c>
      <c r="P72" s="38" t="s">
        <v>877</v>
      </c>
      <c r="Q72" s="38" t="s">
        <v>878</v>
      </c>
      <c r="R72" s="38" t="s">
        <v>879</v>
      </c>
      <c r="T72" s="95" t="s">
        <v>1000</v>
      </c>
      <c r="U72" s="38" t="s">
        <v>864</v>
      </c>
      <c r="V72" s="38" t="s">
        <v>865</v>
      </c>
      <c r="W72" s="38" t="s">
        <v>866</v>
      </c>
      <c r="X72" s="38" t="s">
        <v>867</v>
      </c>
      <c r="Y72" s="38" t="s">
        <v>868</v>
      </c>
      <c r="Z72" s="38" t="s">
        <v>869</v>
      </c>
      <c r="AA72" s="38" t="s">
        <v>870</v>
      </c>
      <c r="AB72" s="38" t="s">
        <v>871</v>
      </c>
      <c r="AC72" s="38" t="s">
        <v>872</v>
      </c>
      <c r="AD72" s="38" t="s">
        <v>873</v>
      </c>
      <c r="AE72" s="38" t="s">
        <v>874</v>
      </c>
      <c r="AF72" s="38" t="s">
        <v>875</v>
      </c>
      <c r="AG72" s="38" t="s">
        <v>876</v>
      </c>
      <c r="AH72" s="38" t="s">
        <v>877</v>
      </c>
      <c r="AI72" s="38" t="s">
        <v>878</v>
      </c>
      <c r="AJ72" s="38" t="s">
        <v>879</v>
      </c>
    </row>
    <row r="73" spans="2:36" x14ac:dyDescent="0.15">
      <c r="B73" s="96" t="s">
        <v>997</v>
      </c>
      <c r="C73" s="94">
        <f>SUM(SUMIFS('caseload data'!E:E,'caseload data'!$D:$D,"PO",'caseload data'!$C:$C,'community caseload'!$B$71,'caseload data'!$B:$B,{"licence","community"}))</f>
        <v>0</v>
      </c>
      <c r="D73" s="94">
        <f>SUM(SUMIFS('caseload data'!F:F,'caseload data'!$D:$D,"PO",'caseload data'!$C:$C,'community caseload'!$B$71,'caseload data'!$B:$B,{"licence","community"}))</f>
        <v>0</v>
      </c>
      <c r="E73" s="94">
        <f>SUM(SUMIFS('caseload data'!G:G,'caseload data'!$D:$D,"PO",'caseload data'!$C:$C,'community caseload'!$B$71,'caseload data'!$B:$B,{"licence","community"}))</f>
        <v>0</v>
      </c>
      <c r="F73" s="94">
        <f>SUM(SUMIFS('caseload data'!H:H,'caseload data'!$D:$D,"PO",'caseload data'!$C:$C,'community caseload'!$B$71,'caseload data'!$B:$B,{"licence","community"}))</f>
        <v>0</v>
      </c>
      <c r="G73" s="94">
        <f>SUM(SUMIFS('caseload data'!I:I,'caseload data'!$D:$D,"PO",'caseload data'!$C:$C,'community caseload'!$B$71,'caseload data'!$B:$B,{"licence","community"}))</f>
        <v>0</v>
      </c>
      <c r="H73" s="94">
        <f>SUM(SUMIFS('caseload data'!J:J,'caseload data'!$D:$D,"PO",'caseload data'!$C:$C,'community caseload'!$B$71,'caseload data'!$B:$B,{"licence","community"}))</f>
        <v>0</v>
      </c>
      <c r="I73" s="94">
        <f>SUM(SUMIFS('caseload data'!K:K,'caseload data'!$D:$D,"PO",'caseload data'!$C:$C,'community caseload'!$B$71,'caseload data'!$B:$B,{"licence","community"}))</f>
        <v>0</v>
      </c>
      <c r="J73" s="94">
        <f>SUM(SUMIFS('caseload data'!L:L,'caseload data'!$D:$D,"PO",'caseload data'!$C:$C,'community caseload'!$B$71,'caseload data'!$B:$B,{"licence","community"}))</f>
        <v>0</v>
      </c>
      <c r="K73" s="94">
        <f>SUM(SUMIFS('caseload data'!M:M,'caseload data'!$D:$D,"PO",'caseload data'!$C:$C,'community caseload'!$B$71,'caseload data'!$B:$B,{"licence","community"}))</f>
        <v>0</v>
      </c>
      <c r="L73" s="94">
        <f>SUM(SUMIFS('caseload data'!N:N,'caseload data'!$D:$D,"PO",'caseload data'!$C:$C,'community caseload'!$B$71,'caseload data'!$B:$B,{"licence","community"}))</f>
        <v>0</v>
      </c>
      <c r="M73" s="94">
        <f>SUM(SUMIFS('caseload data'!O:O,'caseload data'!$D:$D,"PO",'caseload data'!$C:$C,'community caseload'!$B$71,'caseload data'!$B:$B,{"licence","community"}))</f>
        <v>0</v>
      </c>
      <c r="N73" s="94">
        <f>SUM(SUMIFS('caseload data'!P:P,'caseload data'!$D:$D,"PO",'caseload data'!$C:$C,'community caseload'!$B$71,'caseload data'!$B:$B,{"licence","community"}))</f>
        <v>0</v>
      </c>
      <c r="O73" s="94">
        <f>SUM(SUMIFS('caseload data'!Q:Q,'caseload data'!$D:$D,"PO",'caseload data'!$C:$C,'community caseload'!$B$71,'caseload data'!$B:$B,{"licence","community"}))</f>
        <v>0</v>
      </c>
      <c r="P73" s="94">
        <f>SUM(SUMIFS('caseload data'!R:R,'caseload data'!$D:$D,"PO",'caseload data'!$C:$C,'community caseload'!$B$71,'caseload data'!$B:$B,{"licence","community"}))</f>
        <v>0</v>
      </c>
      <c r="Q73" s="94">
        <f>SUM(SUMIFS('caseload data'!S:S,'caseload data'!$D:$D,"PO",'caseload data'!$C:$C,'community caseload'!$B$71,'caseload data'!$B:$B,{"licence","community"}))</f>
        <v>0</v>
      </c>
      <c r="R73" s="94">
        <f>SUM(SUMIFS('caseload data'!T:T,'caseload data'!$D:$D,"PO",'caseload data'!$C:$C,'community caseload'!$B$71,'caseload data'!$B:$B,{"licence","community"}))</f>
        <v>0</v>
      </c>
      <c r="T73" s="96" t="s">
        <v>997</v>
      </c>
      <c r="U73" s="94" cm="1">
        <f t="array" ref="U73">SUM(SUMIFS('caseload data'!E:E,'caseload data'!$D:$D,"PO",'caseload data'!$C:$C,'community caseload'!$T$71,'caseload data'!$B:$B,{"licence","community"}))</f>
        <v>0</v>
      </c>
      <c r="V73" s="94" cm="1">
        <f t="array" ref="V73">SUM(SUMIFS('caseload data'!F:F,'caseload data'!$D:$D,"PO",'caseload data'!$C:$C,'community caseload'!$T$71,'caseload data'!$B:$B,{"licence","community"}))</f>
        <v>0</v>
      </c>
      <c r="W73" s="94" cm="1">
        <f t="array" ref="W73">SUM(SUMIFS('caseload data'!G:G,'caseload data'!$D:$D,"PO",'caseload data'!$C:$C,'community caseload'!$T$71,'caseload data'!$B:$B,{"licence","community"}))</f>
        <v>0</v>
      </c>
      <c r="X73" s="94" cm="1">
        <f t="array" ref="X73">SUM(SUMIFS('caseload data'!H:H,'caseload data'!$D:$D,"PO",'caseload data'!$C:$C,'community caseload'!$T$71,'caseload data'!$B:$B,{"licence","community"}))</f>
        <v>0</v>
      </c>
      <c r="Y73" s="94" cm="1">
        <f t="array" ref="Y73">SUM(SUMIFS('caseload data'!I:I,'caseload data'!$D:$D,"PO",'caseload data'!$C:$C,'community caseload'!$T$71,'caseload data'!$B:$B,{"licence","community"}))</f>
        <v>0</v>
      </c>
      <c r="Z73" s="94" cm="1">
        <f t="array" ref="Z73">SUM(SUMIFS('caseload data'!J:J,'caseload data'!$D:$D,"PO",'caseload data'!$C:$C,'community caseload'!$T$71,'caseload data'!$B:$B,{"licence","community"}))</f>
        <v>0</v>
      </c>
      <c r="AA73" s="94" cm="1">
        <f t="array" ref="AA73">SUM(SUMIFS('caseload data'!K:K,'caseload data'!$D:$D,"PO",'caseload data'!$C:$C,'community caseload'!$T$71,'caseload data'!$B:$B,{"licence","community"}))</f>
        <v>0</v>
      </c>
      <c r="AB73" s="94" cm="1">
        <f t="array" ref="AB73">SUM(SUMIFS('caseload data'!L:L,'caseload data'!$D:$D,"PO",'caseload data'!$C:$C,'community caseload'!$T$71,'caseload data'!$B:$B,{"licence","community"}))</f>
        <v>0</v>
      </c>
      <c r="AC73" s="94" cm="1">
        <f t="array" ref="AC73">SUM(SUMIFS('caseload data'!M:M,'caseload data'!$D:$D,"PO",'caseload data'!$C:$C,'community caseload'!$T$71,'caseload data'!$B:$B,{"licence","community"}))</f>
        <v>0</v>
      </c>
      <c r="AD73" s="94" cm="1">
        <f t="array" ref="AD73">SUM(SUMIFS('caseload data'!N:N,'caseload data'!$D:$D,"PO",'caseload data'!$C:$C,'community caseload'!$T$71,'caseload data'!$B:$B,{"licence","community"}))</f>
        <v>0</v>
      </c>
      <c r="AE73" s="94" cm="1">
        <f t="array" ref="AE73">SUM(SUMIFS('caseload data'!O:O,'caseload data'!$D:$D,"PO",'caseload data'!$C:$C,'community caseload'!$T$71,'caseload data'!$B:$B,{"licence","community"}))</f>
        <v>0</v>
      </c>
      <c r="AF73" s="94" cm="1">
        <f t="array" ref="AF73">SUM(SUMIFS('caseload data'!P:P,'caseload data'!$D:$D,"PO",'caseload data'!$C:$C,'community caseload'!$T$71,'caseload data'!$B:$B,{"licence","community"}))</f>
        <v>0</v>
      </c>
      <c r="AG73" s="94" cm="1">
        <f t="array" ref="AG73">SUM(SUMIFS('caseload data'!Q:Q,'caseload data'!$D:$D,"PO",'caseload data'!$C:$C,'community caseload'!$T$71,'caseload data'!$B:$B,{"licence","community"}))</f>
        <v>0</v>
      </c>
      <c r="AH73" s="94" cm="1">
        <f t="array" ref="AH73">SUM(SUMIFS('caseload data'!R:R,'caseload data'!$D:$D,"PO",'caseload data'!$C:$C,'community caseload'!$T$71,'caseload data'!$B:$B,{"licence","community"}))</f>
        <v>0</v>
      </c>
      <c r="AI73" s="94" cm="1">
        <f t="array" ref="AI73">SUM(SUMIFS('caseload data'!S:S,'caseload data'!$D:$D,"PO",'caseload data'!$C:$C,'community caseload'!$T$71,'caseload data'!$B:$B,{"licence","community"}))</f>
        <v>0</v>
      </c>
      <c r="AJ73" s="94" cm="1">
        <f t="array" ref="AJ73">SUM(SUMIFS('caseload data'!T:T,'caseload data'!$D:$D,"PO",'caseload data'!$C:$C,'community caseload'!$T$71,'caseload data'!$B:$B,{"licence","community"}))</f>
        <v>0</v>
      </c>
    </row>
    <row r="74" spans="2:36" x14ac:dyDescent="0.15">
      <c r="B74" s="97" t="s">
        <v>1002</v>
      </c>
      <c r="C74" s="94">
        <f>SUM(SUMIFS('caseload data'!E:E,'caseload data'!$D:$D,"PSO",'caseload data'!$C:$C,'community caseload'!$B$71,'caseload data'!$B:$B,{"licence","community"}))</f>
        <v>0</v>
      </c>
      <c r="D74" s="94">
        <f>SUM(SUMIFS('caseload data'!F:F,'caseload data'!$D:$D,"PSO",'caseload data'!$C:$C,'community caseload'!$B$71,'caseload data'!$B:$B,{"licence","community"}))</f>
        <v>0</v>
      </c>
      <c r="E74" s="94">
        <f>SUM(SUMIFS('caseload data'!G:G,'caseload data'!$D:$D,"PSO",'caseload data'!$C:$C,'community caseload'!$B$71,'caseload data'!$B:$B,{"licence","community"}))</f>
        <v>0</v>
      </c>
      <c r="F74" s="94">
        <f>SUM(SUMIFS('caseload data'!H:H,'caseload data'!$D:$D,"PSO",'caseload data'!$C:$C,'community caseload'!$B$71,'caseload data'!$B:$B,{"licence","community"}))</f>
        <v>0</v>
      </c>
      <c r="G74" s="94">
        <f>SUM(SUMIFS('caseload data'!I:I,'caseload data'!$D:$D,"PSO",'caseload data'!$C:$C,'community caseload'!$B$71,'caseload data'!$B:$B,{"licence","community"}))</f>
        <v>0</v>
      </c>
      <c r="H74" s="94">
        <f>SUM(SUMIFS('caseload data'!J:J,'caseload data'!$D:$D,"PSO",'caseload data'!$C:$C,'community caseload'!$B$71,'caseload data'!$B:$B,{"licence","community"}))</f>
        <v>0</v>
      </c>
      <c r="I74" s="94">
        <f>SUM(SUMIFS('caseload data'!K:K,'caseload data'!$D:$D,"PSO",'caseload data'!$C:$C,'community caseload'!$B$71,'caseload data'!$B:$B,{"licence","community"}))</f>
        <v>0</v>
      </c>
      <c r="J74" s="94">
        <f>SUM(SUMIFS('caseload data'!L:L,'caseload data'!$D:$D,"PSO",'caseload data'!$C:$C,'community caseload'!$B$71,'caseload data'!$B:$B,{"licence","community"}))</f>
        <v>0</v>
      </c>
      <c r="K74" s="94">
        <f>SUM(SUMIFS('caseload data'!M:M,'caseload data'!$D:$D,"PSO",'caseload data'!$C:$C,'community caseload'!$B$71,'caseload data'!$B:$B,{"licence","community"}))</f>
        <v>0</v>
      </c>
      <c r="L74" s="94">
        <f>SUM(SUMIFS('caseload data'!N:N,'caseload data'!$D:$D,"PSO",'caseload data'!$C:$C,'community caseload'!$B$71,'caseload data'!$B:$B,{"licence","community"}))</f>
        <v>0</v>
      </c>
      <c r="M74" s="94">
        <f>SUM(SUMIFS('caseload data'!O:O,'caseload data'!$D:$D,"PSO",'caseload data'!$C:$C,'community caseload'!$B$71,'caseload data'!$B:$B,{"licence","community"}))</f>
        <v>0</v>
      </c>
      <c r="N74" s="94">
        <f>SUM(SUMIFS('caseload data'!P:P,'caseload data'!$D:$D,"PSO",'caseload data'!$C:$C,'community caseload'!$B$71,'caseload data'!$B:$B,{"licence","community"}))</f>
        <v>0</v>
      </c>
      <c r="O74" s="94">
        <f>SUM(SUMIFS('caseload data'!Q:Q,'caseload data'!$D:$D,"PSO",'caseload data'!$C:$C,'community caseload'!$B$71,'caseload data'!$B:$B,{"licence","community"}))</f>
        <v>0</v>
      </c>
      <c r="P74" s="94">
        <f>SUM(SUMIFS('caseload data'!R:R,'caseload data'!$D:$D,"PSO",'caseload data'!$C:$C,'community caseload'!$B$71,'caseload data'!$B:$B,{"licence","community"}))</f>
        <v>0</v>
      </c>
      <c r="Q74" s="94">
        <f>SUM(SUMIFS('caseload data'!S:S,'caseload data'!$D:$D,"PSO",'caseload data'!$C:$C,'community caseload'!$B$71,'caseload data'!$B:$B,{"licence","community"}))</f>
        <v>0</v>
      </c>
      <c r="R74" s="94">
        <f>SUM(SUMIFS('caseload data'!T:T,'caseload data'!$D:$D,"PSO",'caseload data'!$C:$C,'community caseload'!$B$71,'caseload data'!$B:$B,{"licence","community"}))</f>
        <v>0</v>
      </c>
      <c r="T74" s="97" t="s">
        <v>1002</v>
      </c>
      <c r="U74" s="94" cm="1">
        <f t="array" ref="U74">SUM(SUMIFS('caseload data'!E:E,'caseload data'!$D:$D,"PSO",'caseload data'!$C:$C,'community caseload'!$T$71,'caseload data'!$B:$B,{"licence","community"}))</f>
        <v>0</v>
      </c>
      <c r="V74" s="94" cm="1">
        <f t="array" ref="V74">SUM(SUMIFS('caseload data'!F:F,'caseload data'!$D:$D,"PSO",'caseload data'!$C:$C,'community caseload'!$T$71,'caseload data'!$B:$B,{"licence","community"}))</f>
        <v>0</v>
      </c>
      <c r="W74" s="94" cm="1">
        <f t="array" ref="W74">SUM(SUMIFS('caseload data'!G:G,'caseload data'!$D:$D,"PSO",'caseload data'!$C:$C,'community caseload'!$T$71,'caseload data'!$B:$B,{"licence","community"}))</f>
        <v>0</v>
      </c>
      <c r="X74" s="94" cm="1">
        <f t="array" ref="X74">SUM(SUMIFS('caseload data'!H:H,'caseload data'!$D:$D,"PSO",'caseload data'!$C:$C,'community caseload'!$T$71,'caseload data'!$B:$B,{"licence","community"}))</f>
        <v>0</v>
      </c>
      <c r="Y74" s="94" cm="1">
        <f t="array" ref="Y74">SUM(SUMIFS('caseload data'!I:I,'caseload data'!$D:$D,"PSO",'caseload data'!$C:$C,'community caseload'!$T$71,'caseload data'!$B:$B,{"licence","community"}))</f>
        <v>0</v>
      </c>
      <c r="Z74" s="94" cm="1">
        <f t="array" ref="Z74">SUM(SUMIFS('caseload data'!J:J,'caseload data'!$D:$D,"PSO",'caseload data'!$C:$C,'community caseload'!$T$71,'caseload data'!$B:$B,{"licence","community"}))</f>
        <v>0</v>
      </c>
      <c r="AA74" s="94" cm="1">
        <f t="array" ref="AA74">SUM(SUMIFS('caseload data'!K:K,'caseload data'!$D:$D,"PSO",'caseload data'!$C:$C,'community caseload'!$T$71,'caseload data'!$B:$B,{"licence","community"}))</f>
        <v>0</v>
      </c>
      <c r="AB74" s="94" cm="1">
        <f t="array" ref="AB74">SUM(SUMIFS('caseload data'!L:L,'caseload data'!$D:$D,"PSO",'caseload data'!$C:$C,'community caseload'!$T$71,'caseload data'!$B:$B,{"licence","community"}))</f>
        <v>0</v>
      </c>
      <c r="AC74" s="94" cm="1">
        <f t="array" ref="AC74">SUM(SUMIFS('caseload data'!M:M,'caseload data'!$D:$D,"PSO",'caseload data'!$C:$C,'community caseload'!$T$71,'caseload data'!$B:$B,{"licence","community"}))</f>
        <v>0</v>
      </c>
      <c r="AD74" s="94" cm="1">
        <f t="array" ref="AD74">SUM(SUMIFS('caseload data'!N:N,'caseload data'!$D:$D,"PSO",'caseload data'!$C:$C,'community caseload'!$T$71,'caseload data'!$B:$B,{"licence","community"}))</f>
        <v>0</v>
      </c>
      <c r="AE74" s="94" cm="1">
        <f t="array" ref="AE74">SUM(SUMIFS('caseload data'!O:O,'caseload data'!$D:$D,"PSO",'caseload data'!$C:$C,'community caseload'!$T$71,'caseload data'!$B:$B,{"licence","community"}))</f>
        <v>0</v>
      </c>
      <c r="AF74" s="94" cm="1">
        <f t="array" ref="AF74">SUM(SUMIFS('caseload data'!P:P,'caseload data'!$D:$D,"PSO",'caseload data'!$C:$C,'community caseload'!$T$71,'caseload data'!$B:$B,{"licence","community"}))</f>
        <v>0</v>
      </c>
      <c r="AG74" s="94" cm="1">
        <f t="array" ref="AG74">SUM(SUMIFS('caseload data'!Q:Q,'caseload data'!$D:$D,"PSO",'caseload data'!$C:$C,'community caseload'!$T$71,'caseload data'!$B:$B,{"licence","community"}))</f>
        <v>0</v>
      </c>
      <c r="AH74" s="94" cm="1">
        <f t="array" ref="AH74">SUM(SUMIFS('caseload data'!R:R,'caseload data'!$D:$D,"PSO",'caseload data'!$C:$C,'community caseload'!$T$71,'caseload data'!$B:$B,{"licence","community"}))</f>
        <v>0</v>
      </c>
      <c r="AI74" s="94" cm="1">
        <f t="array" ref="AI74">SUM(SUMIFS('caseload data'!S:S,'caseload data'!$D:$D,"PSO",'caseload data'!$C:$C,'community caseload'!$T$71,'caseload data'!$B:$B,{"licence","community"}))</f>
        <v>0</v>
      </c>
      <c r="AJ74" s="94" cm="1">
        <f t="array" ref="AJ74">SUM(SUMIFS('caseload data'!T:T,'caseload data'!$D:$D,"PSO",'caseload data'!$C:$C,'community caseload'!$T$71,'caseload data'!$B:$B,{"licence","community"}))</f>
        <v>0</v>
      </c>
    </row>
    <row r="75" spans="2:36" x14ac:dyDescent="0.15">
      <c r="B75" s="97" t="s">
        <v>1003</v>
      </c>
      <c r="C75" s="94">
        <f>SUM(SUMIFS('caseload data'!E:E,'caseload data'!$D:$D,"TPO",'caseload data'!$C:$C,'community caseload'!$B$71,'caseload data'!$B:$B,{"licence","community"}))</f>
        <v>0</v>
      </c>
      <c r="D75" s="94">
        <f>SUM(SUMIFS('caseload data'!F:F,'caseload data'!$D:$D,"TPO",'caseload data'!$C:$C,'community caseload'!$B$71,'caseload data'!$B:$B,{"licence","community"}))</f>
        <v>0</v>
      </c>
      <c r="E75" s="94">
        <f>SUM(SUMIFS('caseload data'!G:G,'caseload data'!$D:$D,"TPO",'caseload data'!$C:$C,'community caseload'!$B$71,'caseload data'!$B:$B,{"licence","community"}))</f>
        <v>0</v>
      </c>
      <c r="F75" s="94">
        <f>SUM(SUMIFS('caseload data'!H:H,'caseload data'!$D:$D,"TPO",'caseload data'!$C:$C,'community caseload'!$B$71,'caseload data'!$B:$B,{"licence","community"}))</f>
        <v>0</v>
      </c>
      <c r="G75" s="94">
        <f>SUM(SUMIFS('caseload data'!I:I,'caseload data'!$D:$D,"TPO",'caseload data'!$C:$C,'community caseload'!$B$71,'caseload data'!$B:$B,{"licence","community"}))</f>
        <v>0</v>
      </c>
      <c r="H75" s="94">
        <f>SUM(SUMIFS('caseload data'!J:J,'caseload data'!$D:$D,"TPO",'caseload data'!$C:$C,'community caseload'!$B$71,'caseload data'!$B:$B,{"licence","community"}))</f>
        <v>0</v>
      </c>
      <c r="I75" s="94">
        <f>SUM(SUMIFS('caseload data'!K:K,'caseload data'!$D:$D,"TPO",'caseload data'!$C:$C,'community caseload'!$B$71,'caseload data'!$B:$B,{"licence","community"}))</f>
        <v>0</v>
      </c>
      <c r="J75" s="94">
        <f>SUM(SUMIFS('caseload data'!L:L,'caseload data'!$D:$D,"TPO",'caseload data'!$C:$C,'community caseload'!$B$71,'caseload data'!$B:$B,{"licence","community"}))</f>
        <v>0</v>
      </c>
      <c r="K75" s="94">
        <f>SUM(SUMIFS('caseload data'!M:M,'caseload data'!$D:$D,"TPO",'caseload data'!$C:$C,'community caseload'!$B$71,'caseload data'!$B:$B,{"licence","community"}))</f>
        <v>0</v>
      </c>
      <c r="L75" s="94">
        <f>SUM(SUMIFS('caseload data'!N:N,'caseload data'!$D:$D,"TPO",'caseload data'!$C:$C,'community caseload'!$B$71,'caseload data'!$B:$B,{"licence","community"}))</f>
        <v>0</v>
      </c>
      <c r="M75" s="94">
        <f>SUM(SUMIFS('caseload data'!O:O,'caseload data'!$D:$D,"TPO",'caseload data'!$C:$C,'community caseload'!$B$71,'caseload data'!$B:$B,{"licence","community"}))</f>
        <v>0</v>
      </c>
      <c r="N75" s="94">
        <f>SUM(SUMIFS('caseload data'!P:P,'caseload data'!$D:$D,"TPO",'caseload data'!$C:$C,'community caseload'!$B$71,'caseload data'!$B:$B,{"licence","community"}))</f>
        <v>0</v>
      </c>
      <c r="O75" s="94">
        <f>SUM(SUMIFS('caseload data'!Q:Q,'caseload data'!$D:$D,"TPO",'caseload data'!$C:$C,'community caseload'!$B$71,'caseload data'!$B:$B,{"licence","community"}))</f>
        <v>0</v>
      </c>
      <c r="P75" s="94">
        <f>SUM(SUMIFS('caseload data'!R:R,'caseload data'!$D:$D,"TPO",'caseload data'!$C:$C,'community caseload'!$B$71,'caseload data'!$B:$B,{"licence","community"}))</f>
        <v>0</v>
      </c>
      <c r="Q75" s="94">
        <f>SUM(SUMIFS('caseload data'!S:S,'caseload data'!$D:$D,"TPO",'caseload data'!$C:$C,'community caseload'!$B$71,'caseload data'!$B:$B,{"licence","community"}))</f>
        <v>0</v>
      </c>
      <c r="R75" s="94">
        <f>SUM(SUMIFS('caseload data'!T:T,'caseload data'!$D:$D,"TPO",'caseload data'!$C:$C,'community caseload'!$B$71,'caseload data'!$B:$B,{"licence","community"}))</f>
        <v>0</v>
      </c>
      <c r="T75" s="97" t="s">
        <v>1003</v>
      </c>
      <c r="U75" s="94" cm="1">
        <f t="array" ref="U75">SUM(SUMIFS('caseload data'!E:E,'caseload data'!$D:$D,"TPO",'caseload data'!$C:$C,'community caseload'!$T$71,'caseload data'!$B:$B,{"licence","community"}))</f>
        <v>0</v>
      </c>
      <c r="V75" s="94" cm="1">
        <f t="array" ref="V75">SUM(SUMIFS('caseload data'!F:F,'caseload data'!$D:$D,"TPO",'caseload data'!$C:$C,'community caseload'!$T$71,'caseload data'!$B:$B,{"licence","community"}))</f>
        <v>0</v>
      </c>
      <c r="W75" s="94" cm="1">
        <f t="array" ref="W75">SUM(SUMIFS('caseload data'!G:G,'caseload data'!$D:$D,"TPO",'caseload data'!$C:$C,'community caseload'!$T$71,'caseload data'!$B:$B,{"licence","community"}))</f>
        <v>0</v>
      </c>
      <c r="X75" s="94" cm="1">
        <f t="array" ref="X75">SUM(SUMIFS('caseload data'!H:H,'caseload data'!$D:$D,"TPO",'caseload data'!$C:$C,'community caseload'!$T$71,'caseload data'!$B:$B,{"licence","community"}))</f>
        <v>0</v>
      </c>
      <c r="Y75" s="94" cm="1">
        <f t="array" ref="Y75">SUM(SUMIFS('caseload data'!I:I,'caseload data'!$D:$D,"TPO",'caseload data'!$C:$C,'community caseload'!$T$71,'caseload data'!$B:$B,{"licence","community"}))</f>
        <v>0</v>
      </c>
      <c r="Z75" s="94" cm="1">
        <f t="array" ref="Z75">SUM(SUMIFS('caseload data'!J:J,'caseload data'!$D:$D,"TPO",'caseload data'!$C:$C,'community caseload'!$T$71,'caseload data'!$B:$B,{"licence","community"}))</f>
        <v>0</v>
      </c>
      <c r="AA75" s="94" cm="1">
        <f t="array" ref="AA75">SUM(SUMIFS('caseload data'!K:K,'caseload data'!$D:$D,"TPO",'caseload data'!$C:$C,'community caseload'!$T$71,'caseload data'!$B:$B,{"licence","community"}))</f>
        <v>0</v>
      </c>
      <c r="AB75" s="94" cm="1">
        <f t="array" ref="AB75">SUM(SUMIFS('caseload data'!L:L,'caseload data'!$D:$D,"TPO",'caseload data'!$C:$C,'community caseload'!$T$71,'caseload data'!$B:$B,{"licence","community"}))</f>
        <v>0</v>
      </c>
      <c r="AC75" s="94" cm="1">
        <f t="array" ref="AC75">SUM(SUMIFS('caseload data'!M:M,'caseload data'!$D:$D,"TPO",'caseload data'!$C:$C,'community caseload'!$T$71,'caseload data'!$B:$B,{"licence","community"}))</f>
        <v>0</v>
      </c>
      <c r="AD75" s="94" cm="1">
        <f t="array" ref="AD75">SUM(SUMIFS('caseload data'!N:N,'caseload data'!$D:$D,"TPO",'caseload data'!$C:$C,'community caseload'!$T$71,'caseload data'!$B:$B,{"licence","community"}))</f>
        <v>0</v>
      </c>
      <c r="AE75" s="94" cm="1">
        <f t="array" ref="AE75">SUM(SUMIFS('caseload data'!O:O,'caseload data'!$D:$D,"TPO",'caseload data'!$C:$C,'community caseload'!$T$71,'caseload data'!$B:$B,{"licence","community"}))</f>
        <v>0</v>
      </c>
      <c r="AF75" s="94" cm="1">
        <f t="array" ref="AF75">SUM(SUMIFS('caseload data'!P:P,'caseload data'!$D:$D,"TPO",'caseload data'!$C:$C,'community caseload'!$T$71,'caseload data'!$B:$B,{"licence","community"}))</f>
        <v>0</v>
      </c>
      <c r="AG75" s="94" cm="1">
        <f t="array" ref="AG75">SUM(SUMIFS('caseload data'!Q:Q,'caseload data'!$D:$D,"TPO",'caseload data'!$C:$C,'community caseload'!$T$71,'caseload data'!$B:$B,{"licence","community"}))</f>
        <v>0</v>
      </c>
      <c r="AH75" s="94" cm="1">
        <f t="array" ref="AH75">SUM(SUMIFS('caseload data'!R:R,'caseload data'!$D:$D,"TPO",'caseload data'!$C:$C,'community caseload'!$T$71,'caseload data'!$B:$B,{"licence","community"}))</f>
        <v>0</v>
      </c>
      <c r="AI75" s="94" cm="1">
        <f t="array" ref="AI75">SUM(SUMIFS('caseload data'!S:S,'caseload data'!$D:$D,"TPO",'caseload data'!$C:$C,'community caseload'!$T$71,'caseload data'!$B:$B,{"licence","community"}))</f>
        <v>0</v>
      </c>
      <c r="AJ75" s="94" cm="1">
        <f t="array" ref="AJ75">SUM(SUMIFS('caseload data'!T:T,'caseload data'!$D:$D,"TPO",'caseload data'!$C:$C,'community caseload'!$T$71,'caseload data'!$B:$B,{"licence","community"}))</f>
        <v>0</v>
      </c>
    </row>
    <row r="76" spans="2:36" x14ac:dyDescent="0.15">
      <c r="B76" s="98" t="s">
        <v>1004</v>
      </c>
      <c r="C76" s="94">
        <f>SUM(SUMIFS('caseload data'!E:E,'caseload data'!$D:$D,"SPO",'caseload data'!$C:$C,'community caseload'!$B$71,'caseload data'!$B:$B,{"licence","community"}))</f>
        <v>0</v>
      </c>
      <c r="D76" s="94">
        <f>SUM(SUMIFS('caseload data'!F:F,'caseload data'!$D:$D,"SPO",'caseload data'!$C:$C,'community caseload'!$B$71,'caseload data'!$B:$B,{"licence","community"}))</f>
        <v>0</v>
      </c>
      <c r="E76" s="94">
        <f>SUM(SUMIFS('caseload data'!G:G,'caseload data'!$D:$D,"SPO",'caseload data'!$C:$C,'community caseload'!$B$71,'caseload data'!$B:$B,{"licence","community"}))</f>
        <v>0</v>
      </c>
      <c r="F76" s="94">
        <f>SUM(SUMIFS('caseload data'!H:H,'caseload data'!$D:$D,"SPO",'caseload data'!$C:$C,'community caseload'!$B$71,'caseload data'!$B:$B,{"licence","community"}))</f>
        <v>0</v>
      </c>
      <c r="G76" s="94">
        <f>SUM(SUMIFS('caseload data'!I:I,'caseload data'!$D:$D,"SPO",'caseload data'!$C:$C,'community caseload'!$B$71,'caseload data'!$B:$B,{"licence","community"}))</f>
        <v>0</v>
      </c>
      <c r="H76" s="94">
        <f>SUM(SUMIFS('caseload data'!J:J,'caseload data'!$D:$D,"SPO",'caseload data'!$C:$C,'community caseload'!$B$71,'caseload data'!$B:$B,{"licence","community"}))</f>
        <v>0</v>
      </c>
      <c r="I76" s="94">
        <f>SUM(SUMIFS('caseload data'!K:K,'caseload data'!$D:$D,"SPO",'caseload data'!$C:$C,'community caseload'!$B$71,'caseload data'!$B:$B,{"licence","community"}))</f>
        <v>0</v>
      </c>
      <c r="J76" s="94">
        <f>SUM(SUMIFS('caseload data'!L:L,'caseload data'!$D:$D,"SPO",'caseload data'!$C:$C,'community caseload'!$B$71,'caseload data'!$B:$B,{"licence","community"}))</f>
        <v>0</v>
      </c>
      <c r="K76" s="94">
        <f>SUM(SUMIFS('caseload data'!M:M,'caseload data'!$D:$D,"SPO",'caseload data'!$C:$C,'community caseload'!$B$71,'caseload data'!$B:$B,{"licence","community"}))</f>
        <v>0</v>
      </c>
      <c r="L76" s="94">
        <f>SUM(SUMIFS('caseload data'!N:N,'caseload data'!$D:$D,"SPO",'caseload data'!$C:$C,'community caseload'!$B$71,'caseload data'!$B:$B,{"licence","community"}))</f>
        <v>0</v>
      </c>
      <c r="M76" s="94">
        <f>SUM(SUMIFS('caseload data'!O:O,'caseload data'!$D:$D,"SPO",'caseload data'!$C:$C,'community caseload'!$B$71,'caseload data'!$B:$B,{"licence","community"}))</f>
        <v>0</v>
      </c>
      <c r="N76" s="94">
        <f>SUM(SUMIFS('caseload data'!P:P,'caseload data'!$D:$D,"SPO",'caseload data'!$C:$C,'community caseload'!$B$71,'caseload data'!$B:$B,{"licence","community"}))</f>
        <v>0</v>
      </c>
      <c r="O76" s="94">
        <f>SUM(SUMIFS('caseload data'!Q:Q,'caseload data'!$D:$D,"SPO",'caseload data'!$C:$C,'community caseload'!$B$71,'caseload data'!$B:$B,{"licence","community"}))</f>
        <v>0</v>
      </c>
      <c r="P76" s="94">
        <f>SUM(SUMIFS('caseload data'!R:R,'caseload data'!$D:$D,"SPO",'caseload data'!$C:$C,'community caseload'!$B$71,'caseload data'!$B:$B,{"licence","community"}))</f>
        <v>0</v>
      </c>
      <c r="Q76" s="94">
        <f>SUM(SUMIFS('caseload data'!S:S,'caseload data'!$D:$D,"SPO",'caseload data'!$C:$C,'community caseload'!$B$71,'caseload data'!$B:$B,{"licence","community"}))</f>
        <v>0</v>
      </c>
      <c r="R76" s="94">
        <f>SUM(SUMIFS('caseload data'!T:T,'caseload data'!$D:$D,"SPO",'caseload data'!$C:$C,'community caseload'!$B$71,'caseload data'!$B:$B,{"licence","community"}))</f>
        <v>0</v>
      </c>
      <c r="T76" s="98" t="s">
        <v>1004</v>
      </c>
      <c r="U76" s="94" cm="1">
        <f t="array" ref="U76">SUM(SUMIFS('caseload data'!E:E,'caseload data'!$D:$D,"SPO",'caseload data'!$C:$C,'community caseload'!$T$71,'caseload data'!$B:$B,{"licence","community"}))</f>
        <v>0</v>
      </c>
      <c r="V76" s="94" cm="1">
        <f t="array" ref="V76">SUM(SUMIFS('caseload data'!F:F,'caseload data'!$D:$D,"SPO",'caseload data'!$C:$C,'community caseload'!$T$71,'caseload data'!$B:$B,{"licence","community"}))</f>
        <v>0</v>
      </c>
      <c r="W76" s="94" cm="1">
        <f t="array" ref="W76">SUM(SUMIFS('caseload data'!G:G,'caseload data'!$D:$D,"SPO",'caseload data'!$C:$C,'community caseload'!$T$71,'caseload data'!$B:$B,{"licence","community"}))</f>
        <v>0</v>
      </c>
      <c r="X76" s="94" cm="1">
        <f t="array" ref="X76">SUM(SUMIFS('caseload data'!H:H,'caseload data'!$D:$D,"SPO",'caseload data'!$C:$C,'community caseload'!$T$71,'caseload data'!$B:$B,{"licence","community"}))</f>
        <v>0</v>
      </c>
      <c r="Y76" s="94" cm="1">
        <f t="array" ref="Y76">SUM(SUMIFS('caseload data'!I:I,'caseload data'!$D:$D,"SPO",'caseload data'!$C:$C,'community caseload'!$T$71,'caseload data'!$B:$B,{"licence","community"}))</f>
        <v>0</v>
      </c>
      <c r="Z76" s="94" cm="1">
        <f t="array" ref="Z76">SUM(SUMIFS('caseload data'!J:J,'caseload data'!$D:$D,"SPO",'caseload data'!$C:$C,'community caseload'!$T$71,'caseload data'!$B:$B,{"licence","community"}))</f>
        <v>0</v>
      </c>
      <c r="AA76" s="94" cm="1">
        <f t="array" ref="AA76">SUM(SUMIFS('caseload data'!K:K,'caseload data'!$D:$D,"SPO",'caseload data'!$C:$C,'community caseload'!$T$71,'caseload data'!$B:$B,{"licence","community"}))</f>
        <v>0</v>
      </c>
      <c r="AB76" s="94" cm="1">
        <f t="array" ref="AB76">SUM(SUMIFS('caseload data'!L:L,'caseload data'!$D:$D,"SPO",'caseload data'!$C:$C,'community caseload'!$T$71,'caseload data'!$B:$B,{"licence","community"}))</f>
        <v>0</v>
      </c>
      <c r="AC76" s="94" cm="1">
        <f t="array" ref="AC76">SUM(SUMIFS('caseload data'!M:M,'caseload data'!$D:$D,"SPO",'caseload data'!$C:$C,'community caseload'!$T$71,'caseload data'!$B:$B,{"licence","community"}))</f>
        <v>0</v>
      </c>
      <c r="AD76" s="94" cm="1">
        <f t="array" ref="AD76">SUM(SUMIFS('caseload data'!N:N,'caseload data'!$D:$D,"SPO",'caseload data'!$C:$C,'community caseload'!$T$71,'caseload data'!$B:$B,{"licence","community"}))</f>
        <v>0</v>
      </c>
      <c r="AE76" s="94" cm="1">
        <f t="array" ref="AE76">SUM(SUMIFS('caseload data'!O:O,'caseload data'!$D:$D,"SPO",'caseload data'!$C:$C,'community caseload'!$T$71,'caseload data'!$B:$B,{"licence","community"}))</f>
        <v>0</v>
      </c>
      <c r="AF76" s="94" cm="1">
        <f t="array" ref="AF76">SUM(SUMIFS('caseload data'!P:P,'caseload data'!$D:$D,"SPO",'caseload data'!$C:$C,'community caseload'!$T$71,'caseload data'!$B:$B,{"licence","community"}))</f>
        <v>0</v>
      </c>
      <c r="AG76" s="94" cm="1">
        <f t="array" ref="AG76">SUM(SUMIFS('caseload data'!Q:Q,'caseload data'!$D:$D,"SPO",'caseload data'!$C:$C,'community caseload'!$T$71,'caseload data'!$B:$B,{"licence","community"}))</f>
        <v>0</v>
      </c>
      <c r="AH76" s="94" cm="1">
        <f t="array" ref="AH76">SUM(SUMIFS('caseload data'!R:R,'caseload data'!$D:$D,"SPO",'caseload data'!$C:$C,'community caseload'!$T$71,'caseload data'!$B:$B,{"licence","community"}))</f>
        <v>0</v>
      </c>
      <c r="AI76" s="94" cm="1">
        <f t="array" ref="AI76">SUM(SUMIFS('caseload data'!S:S,'caseload data'!$D:$D,"SPO",'caseload data'!$C:$C,'community caseload'!$T$71,'caseload data'!$B:$B,{"licence","community"}))</f>
        <v>0</v>
      </c>
      <c r="AJ76" s="94" cm="1">
        <f t="array" ref="AJ76">SUM(SUMIFS('caseload data'!T:T,'caseload data'!$D:$D,"SPO",'caseload data'!$C:$C,'community caseload'!$T$71,'caseload data'!$B:$B,{"licence","community"}))</f>
        <v>0</v>
      </c>
    </row>
    <row r="78" spans="2:36" ht="27" customHeight="1" x14ac:dyDescent="0.15">
      <c r="B78" s="289">
        <f>HLOOKUP($B$5,Region_Table,22,0)</f>
        <v>0</v>
      </c>
      <c r="C78" s="509" t="s">
        <v>1130</v>
      </c>
      <c r="D78" s="510"/>
      <c r="E78" s="510"/>
      <c r="F78" s="510"/>
      <c r="G78" s="510"/>
      <c r="H78" s="510"/>
      <c r="I78" s="510"/>
      <c r="J78" s="510"/>
      <c r="K78" s="510"/>
      <c r="L78" s="510"/>
      <c r="M78" s="539"/>
      <c r="N78" s="539"/>
      <c r="O78" s="540"/>
      <c r="P78" s="512" cm="1">
        <f t="array" ref="P78">SUM(SUMIFS('caseload data'!V:V,'caseload data'!B:B,{"licence","community"},'caseload data'!$C:$C,'community caseload'!B78))</f>
        <v>0</v>
      </c>
      <c r="Q78" s="529"/>
      <c r="R78" s="530"/>
      <c r="S78" s="291"/>
      <c r="T78" s="289">
        <f>HLOOKUP($B$5,Region_Table,23,0)</f>
        <v>0</v>
      </c>
      <c r="U78" s="509" t="s">
        <v>1130</v>
      </c>
      <c r="V78" s="510"/>
      <c r="W78" s="510"/>
      <c r="X78" s="510"/>
      <c r="Y78" s="510"/>
      <c r="Z78" s="510"/>
      <c r="AA78" s="510"/>
      <c r="AB78" s="510"/>
      <c r="AC78" s="510"/>
      <c r="AD78" s="510"/>
      <c r="AE78" s="539"/>
      <c r="AF78" s="539"/>
      <c r="AG78" s="540"/>
      <c r="AH78" s="512" cm="1">
        <f t="array" ref="AH78">SUM(SUMIFS('caseload data'!V:V,'caseload data'!B:B,{"licence","community"},'caseload data'!$C:$C,'community caseload'!T78))</f>
        <v>0</v>
      </c>
      <c r="AI78" s="529"/>
      <c r="AJ78" s="530"/>
    </row>
    <row r="79" spans="2:36" x14ac:dyDescent="0.15">
      <c r="B79" s="290" t="s">
        <v>1000</v>
      </c>
      <c r="C79" s="38" t="s">
        <v>864</v>
      </c>
      <c r="D79" s="38" t="s">
        <v>865</v>
      </c>
      <c r="E79" s="38" t="s">
        <v>866</v>
      </c>
      <c r="F79" s="38" t="s">
        <v>867</v>
      </c>
      <c r="G79" s="38" t="s">
        <v>868</v>
      </c>
      <c r="H79" s="38" t="s">
        <v>869</v>
      </c>
      <c r="I79" s="38" t="s">
        <v>870</v>
      </c>
      <c r="J79" s="38" t="s">
        <v>871</v>
      </c>
      <c r="K79" s="38" t="s">
        <v>872</v>
      </c>
      <c r="L79" s="38" t="s">
        <v>873</v>
      </c>
      <c r="M79" s="38" t="s">
        <v>874</v>
      </c>
      <c r="N79" s="38" t="s">
        <v>875</v>
      </c>
      <c r="O79" s="38" t="s">
        <v>876</v>
      </c>
      <c r="P79" s="38" t="s">
        <v>877</v>
      </c>
      <c r="Q79" s="38" t="s">
        <v>878</v>
      </c>
      <c r="R79" s="38" t="s">
        <v>879</v>
      </c>
      <c r="T79" s="95" t="s">
        <v>1000</v>
      </c>
      <c r="U79" s="38" t="s">
        <v>864</v>
      </c>
      <c r="V79" s="38" t="s">
        <v>865</v>
      </c>
      <c r="W79" s="38" t="s">
        <v>866</v>
      </c>
      <c r="X79" s="38" t="s">
        <v>867</v>
      </c>
      <c r="Y79" s="38" t="s">
        <v>868</v>
      </c>
      <c r="Z79" s="38" t="s">
        <v>869</v>
      </c>
      <c r="AA79" s="38" t="s">
        <v>870</v>
      </c>
      <c r="AB79" s="38" t="s">
        <v>871</v>
      </c>
      <c r="AC79" s="38" t="s">
        <v>872</v>
      </c>
      <c r="AD79" s="38" t="s">
        <v>873</v>
      </c>
      <c r="AE79" s="38" t="s">
        <v>874</v>
      </c>
      <c r="AF79" s="38" t="s">
        <v>875</v>
      </c>
      <c r="AG79" s="38" t="s">
        <v>876</v>
      </c>
      <c r="AH79" s="38" t="s">
        <v>877</v>
      </c>
      <c r="AI79" s="38" t="s">
        <v>878</v>
      </c>
      <c r="AJ79" s="38" t="s">
        <v>879</v>
      </c>
    </row>
    <row r="80" spans="2:36" x14ac:dyDescent="0.15">
      <c r="B80" s="96" t="s">
        <v>997</v>
      </c>
      <c r="C80" s="94" cm="1">
        <f t="array" ref="C80">SUM(SUMIFS('caseload data'!E:E,'caseload data'!$D:$D,"PO",'caseload data'!$C:$C,'community caseload'!$B$78,'caseload data'!$B:$B,{"licence","community"}))</f>
        <v>0</v>
      </c>
      <c r="D80" s="94" cm="1">
        <f t="array" ref="D80">SUM(SUMIFS('caseload data'!F:F,'caseload data'!$D:$D,"PO",'caseload data'!$C:$C,'community caseload'!$B$78,'caseload data'!$B:$B,{"licence","community"}))</f>
        <v>0</v>
      </c>
      <c r="E80" s="94" cm="1">
        <f t="array" ref="E80">SUM(SUMIFS('caseload data'!G:G,'caseload data'!$D:$D,"PO",'caseload data'!$C:$C,'community caseload'!$B$78,'caseload data'!$B:$B,{"licence","community"}))</f>
        <v>0</v>
      </c>
      <c r="F80" s="94" cm="1">
        <f t="array" ref="F80">SUM(SUMIFS('caseload data'!H:H,'caseload data'!$D:$D,"PO",'caseload data'!$C:$C,'community caseload'!$B$78,'caseload data'!$B:$B,{"licence","community"}))</f>
        <v>0</v>
      </c>
      <c r="G80" s="94" cm="1">
        <f t="array" ref="G80">SUM(SUMIFS('caseload data'!I:I,'caseload data'!$D:$D,"PO",'caseload data'!$C:$C,'community caseload'!$B$78,'caseload data'!$B:$B,{"licence","community"}))</f>
        <v>0</v>
      </c>
      <c r="H80" s="94" cm="1">
        <f t="array" ref="H80">SUM(SUMIFS('caseload data'!J:J,'caseload data'!$D:$D,"PO",'caseload data'!$C:$C,'community caseload'!$B$78,'caseload data'!$B:$B,{"licence","community"}))</f>
        <v>0</v>
      </c>
      <c r="I80" s="94" cm="1">
        <f t="array" ref="I80">SUM(SUMIFS('caseload data'!K:K,'caseload data'!$D:$D,"PO",'caseload data'!$C:$C,'community caseload'!$B$78,'caseload data'!$B:$B,{"licence","community"}))</f>
        <v>0</v>
      </c>
      <c r="J80" s="94" cm="1">
        <f t="array" ref="J80">SUM(SUMIFS('caseload data'!L:L,'caseload data'!$D:$D,"PO",'caseload data'!$C:$C,'community caseload'!$B$78,'caseload data'!$B:$B,{"licence","community"}))</f>
        <v>0</v>
      </c>
      <c r="K80" s="94" cm="1">
        <f t="array" ref="K80">SUM(SUMIFS('caseload data'!M:M,'caseload data'!$D:$D,"PO",'caseload data'!$C:$C,'community caseload'!$B$78,'caseload data'!$B:$B,{"licence","community"}))</f>
        <v>0</v>
      </c>
      <c r="L80" s="94" cm="1">
        <f t="array" ref="L80">SUM(SUMIFS('caseload data'!N:N,'caseload data'!$D:$D,"PO",'caseload data'!$C:$C,'community caseload'!$B$78,'caseload data'!$B:$B,{"licence","community"}))</f>
        <v>0</v>
      </c>
      <c r="M80" s="94" cm="1">
        <f t="array" ref="M80">SUM(SUMIFS('caseload data'!O:O,'caseload data'!$D:$D,"PO",'caseload data'!$C:$C,'community caseload'!$B$78,'caseload data'!$B:$B,{"licence","community"}))</f>
        <v>0</v>
      </c>
      <c r="N80" s="94" cm="1">
        <f t="array" ref="N80">SUM(SUMIFS('caseload data'!P:P,'caseload data'!$D:$D,"PO",'caseload data'!$C:$C,'community caseload'!$B$78,'caseload data'!$B:$B,{"licence","community"}))</f>
        <v>0</v>
      </c>
      <c r="O80" s="94" cm="1">
        <f t="array" ref="O80">SUM(SUMIFS('caseload data'!Q:Q,'caseload data'!$D:$D,"PO",'caseload data'!$C:$C,'community caseload'!$B$78,'caseload data'!$B:$B,{"licence","community"}))</f>
        <v>0</v>
      </c>
      <c r="P80" s="94" cm="1">
        <f t="array" ref="P80">SUM(SUMIFS('caseload data'!R:R,'caseload data'!$D:$D,"PO",'caseload data'!$C:$C,'community caseload'!$B$78,'caseload data'!$B:$B,{"licence","community"}))</f>
        <v>0</v>
      </c>
      <c r="Q80" s="94" cm="1">
        <f t="array" ref="Q80">SUM(SUMIFS('caseload data'!S:S,'caseload data'!$D:$D,"PO",'caseload data'!$C:$C,'community caseload'!$B$78,'caseload data'!$B:$B,{"licence","community"}))</f>
        <v>0</v>
      </c>
      <c r="R80" s="94" cm="1">
        <f t="array" ref="R80">SUM(SUMIFS('caseload data'!T:T,'caseload data'!$D:$D,"PO",'caseload data'!$C:$C,'community caseload'!$B$78,'caseload data'!$B:$B,{"licence","community"}))</f>
        <v>0</v>
      </c>
      <c r="T80" s="96" t="s">
        <v>997</v>
      </c>
      <c r="U80" s="94" cm="1">
        <f t="array" ref="U80">SUM(SUMIFS('caseload data'!E:E,'caseload data'!$D:$D,"PO",'caseload data'!$C:$C,'community caseload'!$T$78,'caseload data'!$B:$B,{"licence","community"}))</f>
        <v>0</v>
      </c>
      <c r="V80" s="94" cm="1">
        <f t="array" ref="V80">SUM(SUMIFS('caseload data'!F:F,'caseload data'!$D:$D,"PO",'caseload data'!$C:$C,'community caseload'!$T$78,'caseload data'!$B:$B,{"licence","community"}))</f>
        <v>0</v>
      </c>
      <c r="W80" s="94" cm="1">
        <f t="array" ref="W80">SUM(SUMIFS('caseload data'!G:G,'caseload data'!$D:$D,"PO",'caseload data'!$C:$C,'community caseload'!$T$78,'caseload data'!$B:$B,{"licence","community"}))</f>
        <v>0</v>
      </c>
      <c r="X80" s="94" cm="1">
        <f t="array" ref="X80">SUM(SUMIFS('caseload data'!H:H,'caseload data'!$D:$D,"PO",'caseload data'!$C:$C,'community caseload'!$T$78,'caseload data'!$B:$B,{"licence","community"}))</f>
        <v>0</v>
      </c>
      <c r="Y80" s="94" cm="1">
        <f t="array" ref="Y80">SUM(SUMIFS('caseload data'!I:I,'caseload data'!$D:$D,"PO",'caseload data'!$C:$C,'community caseload'!$T$78,'caseload data'!$B:$B,{"licence","community"}))</f>
        <v>0</v>
      </c>
      <c r="Z80" s="94" cm="1">
        <f t="array" ref="Z80">SUM(SUMIFS('caseload data'!J:J,'caseload data'!$D:$D,"PO",'caseload data'!$C:$C,'community caseload'!$T$78,'caseload data'!$B:$B,{"licence","community"}))</f>
        <v>0</v>
      </c>
      <c r="AA80" s="94" cm="1">
        <f t="array" ref="AA80">SUM(SUMIFS('caseload data'!K:K,'caseload data'!$D:$D,"PO",'caseload data'!$C:$C,'community caseload'!$T$78,'caseload data'!$B:$B,{"licence","community"}))</f>
        <v>0</v>
      </c>
      <c r="AB80" s="94" cm="1">
        <f t="array" ref="AB80">SUM(SUMIFS('caseload data'!L:L,'caseload data'!$D:$D,"PO",'caseload data'!$C:$C,'community caseload'!$T$78,'caseload data'!$B:$B,{"licence","community"}))</f>
        <v>0</v>
      </c>
      <c r="AC80" s="94" cm="1">
        <f t="array" ref="AC80">SUM(SUMIFS('caseload data'!M:M,'caseload data'!$D:$D,"PO",'caseload data'!$C:$C,'community caseload'!$T$78,'caseload data'!$B:$B,{"licence","community"}))</f>
        <v>0</v>
      </c>
      <c r="AD80" s="94" cm="1">
        <f t="array" ref="AD80">SUM(SUMIFS('caseload data'!N:N,'caseload data'!$D:$D,"PO",'caseload data'!$C:$C,'community caseload'!$T$78,'caseload data'!$B:$B,{"licence","community"}))</f>
        <v>0</v>
      </c>
      <c r="AE80" s="94" cm="1">
        <f t="array" ref="AE80">SUM(SUMIFS('caseload data'!O:O,'caseload data'!$D:$D,"PO",'caseload data'!$C:$C,'community caseload'!$T$78,'caseload data'!$B:$B,{"licence","community"}))</f>
        <v>0</v>
      </c>
      <c r="AF80" s="94" cm="1">
        <f t="array" ref="AF80">SUM(SUMIFS('caseload data'!P:P,'caseload data'!$D:$D,"PO",'caseload data'!$C:$C,'community caseload'!$T$78,'caseload data'!$B:$B,{"licence","community"}))</f>
        <v>0</v>
      </c>
      <c r="AG80" s="94" cm="1">
        <f t="array" ref="AG80">SUM(SUMIFS('caseload data'!Q:Q,'caseload data'!$D:$D,"PO",'caseload data'!$C:$C,'community caseload'!$T$78,'caseload data'!$B:$B,{"licence","community"}))</f>
        <v>0</v>
      </c>
      <c r="AH80" s="94" cm="1">
        <f t="array" ref="AH80">SUM(SUMIFS('caseload data'!R:R,'caseload data'!$D:$D,"PO",'caseload data'!$C:$C,'community caseload'!$T$78,'caseload data'!$B:$B,{"licence","community"}))</f>
        <v>0</v>
      </c>
      <c r="AI80" s="94" cm="1">
        <f t="array" ref="AI80">SUM(SUMIFS('caseload data'!S:S,'caseload data'!$D:$D,"PO",'caseload data'!$C:$C,'community caseload'!$T$78,'caseload data'!$B:$B,{"licence","community"}))</f>
        <v>0</v>
      </c>
      <c r="AJ80" s="94" cm="1">
        <f t="array" ref="AJ80">SUM(SUMIFS('caseload data'!T:T,'caseload data'!$D:$D,"PO",'caseload data'!$C:$C,'community caseload'!$T$78,'caseload data'!$B:$B,{"licence","community"}))</f>
        <v>0</v>
      </c>
    </row>
    <row r="81" spans="2:36" x14ac:dyDescent="0.15">
      <c r="B81" s="97" t="s">
        <v>1002</v>
      </c>
      <c r="C81" s="94" cm="1">
        <f t="array" ref="C81">SUM(SUMIFS('caseload data'!E:E,'caseload data'!$D:$D,"PSO",'caseload data'!$C:$C,'community caseload'!$B$78,'caseload data'!$B:$B,{"licence","community"}))</f>
        <v>0</v>
      </c>
      <c r="D81" s="94" cm="1">
        <f t="array" ref="D81">SUM(SUMIFS('caseload data'!F:F,'caseload data'!$D:$D,"PSO",'caseload data'!$C:$C,'community caseload'!$B$78,'caseload data'!$B:$B,{"licence","community"}))</f>
        <v>0</v>
      </c>
      <c r="E81" s="94" cm="1">
        <f t="array" ref="E81">SUM(SUMIFS('caseload data'!G:G,'caseload data'!$D:$D,"PSO",'caseload data'!$C:$C,'community caseload'!$B$78,'caseload data'!$B:$B,{"licence","community"}))</f>
        <v>0</v>
      </c>
      <c r="F81" s="94" cm="1">
        <f t="array" ref="F81">SUM(SUMIFS('caseload data'!H:H,'caseload data'!$D:$D,"PSO",'caseload data'!$C:$C,'community caseload'!$B$78,'caseload data'!$B:$B,{"licence","community"}))</f>
        <v>0</v>
      </c>
      <c r="G81" s="94" cm="1">
        <f t="array" ref="G81">SUM(SUMIFS('caseload data'!I:I,'caseload data'!$D:$D,"PSO",'caseload data'!$C:$C,'community caseload'!$B$78,'caseload data'!$B:$B,{"licence","community"}))</f>
        <v>0</v>
      </c>
      <c r="H81" s="94" cm="1">
        <f t="array" ref="H81">SUM(SUMIFS('caseload data'!J:J,'caseload data'!$D:$D,"PSO",'caseload data'!$C:$C,'community caseload'!$B$78,'caseload data'!$B:$B,{"licence","community"}))</f>
        <v>0</v>
      </c>
      <c r="I81" s="94" cm="1">
        <f t="array" ref="I81">SUM(SUMIFS('caseload data'!K:K,'caseload data'!$D:$D,"PSO",'caseload data'!$C:$C,'community caseload'!$B$78,'caseload data'!$B:$B,{"licence","community"}))</f>
        <v>0</v>
      </c>
      <c r="J81" s="94" cm="1">
        <f t="array" ref="J81">SUM(SUMIFS('caseload data'!L:L,'caseload data'!$D:$D,"PSO",'caseload data'!$C:$C,'community caseload'!$B$78,'caseload data'!$B:$B,{"licence","community"}))</f>
        <v>0</v>
      </c>
      <c r="K81" s="94" cm="1">
        <f t="array" ref="K81">SUM(SUMIFS('caseload data'!M:M,'caseload data'!$D:$D,"PSO",'caseload data'!$C:$C,'community caseload'!$B$78,'caseload data'!$B:$B,{"licence","community"}))</f>
        <v>0</v>
      </c>
      <c r="L81" s="94" cm="1">
        <f t="array" ref="L81">SUM(SUMIFS('caseload data'!N:N,'caseload data'!$D:$D,"PSO",'caseload data'!$C:$C,'community caseload'!$B$78,'caseload data'!$B:$B,{"licence","community"}))</f>
        <v>0</v>
      </c>
      <c r="M81" s="94" cm="1">
        <f t="array" ref="M81">SUM(SUMIFS('caseload data'!O:O,'caseload data'!$D:$D,"PSO",'caseload data'!$C:$C,'community caseload'!$B$78,'caseload data'!$B:$B,{"licence","community"}))</f>
        <v>0</v>
      </c>
      <c r="N81" s="94" cm="1">
        <f t="array" ref="N81">SUM(SUMIFS('caseload data'!P:P,'caseload data'!$D:$D,"PSO",'caseload data'!$C:$C,'community caseload'!$B$78,'caseload data'!$B:$B,{"licence","community"}))</f>
        <v>0</v>
      </c>
      <c r="O81" s="94" cm="1">
        <f t="array" ref="O81">SUM(SUMIFS('caseload data'!Q:Q,'caseload data'!$D:$D,"PSO",'caseload data'!$C:$C,'community caseload'!$B$78,'caseload data'!$B:$B,{"licence","community"}))</f>
        <v>0</v>
      </c>
      <c r="P81" s="94" cm="1">
        <f t="array" ref="P81">SUM(SUMIFS('caseload data'!R:R,'caseload data'!$D:$D,"PSO",'caseload data'!$C:$C,'community caseload'!$B$78,'caseload data'!$B:$B,{"licence","community"}))</f>
        <v>0</v>
      </c>
      <c r="Q81" s="94" cm="1">
        <f t="array" ref="Q81">SUM(SUMIFS('caseload data'!S:S,'caseload data'!$D:$D,"PSO",'caseload data'!$C:$C,'community caseload'!$B$78,'caseload data'!$B:$B,{"licence","community"}))</f>
        <v>0</v>
      </c>
      <c r="R81" s="94" cm="1">
        <f t="array" ref="R81">SUM(SUMIFS('caseload data'!T:T,'caseload data'!$D:$D,"PSO",'caseload data'!$C:$C,'community caseload'!$B$78,'caseload data'!$B:$B,{"licence","community"}))</f>
        <v>0</v>
      </c>
      <c r="T81" s="97" t="s">
        <v>1002</v>
      </c>
      <c r="U81" s="94" cm="1">
        <f t="array" ref="U81">SUM(SUMIFS('caseload data'!E:E,'caseload data'!$D:$D,"PSO",'caseload data'!$C:$C,'community caseload'!$T$78,'caseload data'!$B:$B,{"licence","community"}))</f>
        <v>0</v>
      </c>
      <c r="V81" s="94" cm="1">
        <f t="array" ref="V81">SUM(SUMIFS('caseload data'!F:F,'caseload data'!$D:$D,"PSO",'caseload data'!$C:$C,'community caseload'!$T$78,'caseload data'!$B:$B,{"licence","community"}))</f>
        <v>0</v>
      </c>
      <c r="W81" s="94" cm="1">
        <f t="array" ref="W81">SUM(SUMIFS('caseload data'!G:G,'caseload data'!$D:$D,"PSO",'caseload data'!$C:$C,'community caseload'!$T$78,'caseload data'!$B:$B,{"licence","community"}))</f>
        <v>0</v>
      </c>
      <c r="X81" s="94" cm="1">
        <f t="array" ref="X81">SUM(SUMIFS('caseload data'!H:H,'caseload data'!$D:$D,"PSO",'caseload data'!$C:$C,'community caseload'!$T$78,'caseload data'!$B:$B,{"licence","community"}))</f>
        <v>0</v>
      </c>
      <c r="Y81" s="94" cm="1">
        <f t="array" ref="Y81">SUM(SUMIFS('caseload data'!I:I,'caseload data'!$D:$D,"PSO",'caseload data'!$C:$C,'community caseload'!$T$78,'caseload data'!$B:$B,{"licence","community"}))</f>
        <v>0</v>
      </c>
      <c r="Z81" s="94" cm="1">
        <f t="array" ref="Z81">SUM(SUMIFS('caseload data'!J:J,'caseload data'!$D:$D,"PSO",'caseload data'!$C:$C,'community caseload'!$T$78,'caseload data'!$B:$B,{"licence","community"}))</f>
        <v>0</v>
      </c>
      <c r="AA81" s="94" cm="1">
        <f t="array" ref="AA81">SUM(SUMIFS('caseload data'!K:K,'caseload data'!$D:$D,"PSO",'caseload data'!$C:$C,'community caseload'!$T$78,'caseload data'!$B:$B,{"licence","community"}))</f>
        <v>0</v>
      </c>
      <c r="AB81" s="94" cm="1">
        <f t="array" ref="AB81">SUM(SUMIFS('caseload data'!L:L,'caseload data'!$D:$D,"PSO",'caseload data'!$C:$C,'community caseload'!$T$78,'caseload data'!$B:$B,{"licence","community"}))</f>
        <v>0</v>
      </c>
      <c r="AC81" s="94" cm="1">
        <f t="array" ref="AC81">SUM(SUMIFS('caseload data'!M:M,'caseload data'!$D:$D,"PSO",'caseload data'!$C:$C,'community caseload'!$T$78,'caseload data'!$B:$B,{"licence","community"}))</f>
        <v>0</v>
      </c>
      <c r="AD81" s="94" cm="1">
        <f t="array" ref="AD81">SUM(SUMIFS('caseload data'!N:N,'caseload data'!$D:$D,"PSO",'caseload data'!$C:$C,'community caseload'!$T$78,'caseload data'!$B:$B,{"licence","community"}))</f>
        <v>0</v>
      </c>
      <c r="AE81" s="94" cm="1">
        <f t="array" ref="AE81">SUM(SUMIFS('caseload data'!O:O,'caseload data'!$D:$D,"PSO",'caseload data'!$C:$C,'community caseload'!$T$78,'caseload data'!$B:$B,{"licence","community"}))</f>
        <v>0</v>
      </c>
      <c r="AF81" s="94" cm="1">
        <f t="array" ref="AF81">SUM(SUMIFS('caseload data'!P:P,'caseload data'!$D:$D,"PSO",'caseload data'!$C:$C,'community caseload'!$T$78,'caseload data'!$B:$B,{"licence","community"}))</f>
        <v>0</v>
      </c>
      <c r="AG81" s="94" cm="1">
        <f t="array" ref="AG81">SUM(SUMIFS('caseload data'!Q:Q,'caseload data'!$D:$D,"PSO",'caseload data'!$C:$C,'community caseload'!$T$78,'caseload data'!$B:$B,{"licence","community"}))</f>
        <v>0</v>
      </c>
      <c r="AH81" s="94" cm="1">
        <f t="array" ref="AH81">SUM(SUMIFS('caseload data'!R:R,'caseload data'!$D:$D,"PSO",'caseload data'!$C:$C,'community caseload'!$T$78,'caseload data'!$B:$B,{"licence","community"}))</f>
        <v>0</v>
      </c>
      <c r="AI81" s="94" cm="1">
        <f t="array" ref="AI81">SUM(SUMIFS('caseload data'!S:S,'caseload data'!$D:$D,"PSO",'caseload data'!$C:$C,'community caseload'!$T$78,'caseload data'!$B:$B,{"licence","community"}))</f>
        <v>0</v>
      </c>
      <c r="AJ81" s="94" cm="1">
        <f t="array" ref="AJ81">SUM(SUMIFS('caseload data'!T:T,'caseload data'!$D:$D,"PSO",'caseload data'!$C:$C,'community caseload'!$T$78,'caseload data'!$B:$B,{"licence","community"}))</f>
        <v>0</v>
      </c>
    </row>
    <row r="82" spans="2:36" x14ac:dyDescent="0.15">
      <c r="B82" s="97" t="s">
        <v>1003</v>
      </c>
      <c r="C82" s="94" cm="1">
        <f t="array" ref="C82">SUM(SUMIFS('caseload data'!E:E,'caseload data'!$D:$D,"TPO",'caseload data'!$C:$C,'community caseload'!$B$78,'caseload data'!$B:$B,{"licence","community"}))</f>
        <v>0</v>
      </c>
      <c r="D82" s="94" cm="1">
        <f t="array" ref="D82">SUM(SUMIFS('caseload data'!F:F,'caseload data'!$D:$D,"TPO",'caseload data'!$C:$C,'community caseload'!$B$78,'caseload data'!$B:$B,{"licence","community"}))</f>
        <v>0</v>
      </c>
      <c r="E82" s="94" cm="1">
        <f t="array" ref="E82">SUM(SUMIFS('caseload data'!G:G,'caseload data'!$D:$D,"TPO",'caseload data'!$C:$C,'community caseload'!$B$78,'caseload data'!$B:$B,{"licence","community"}))</f>
        <v>0</v>
      </c>
      <c r="F82" s="94" cm="1">
        <f t="array" ref="F82">SUM(SUMIFS('caseload data'!H:H,'caseload data'!$D:$D,"TPO",'caseload data'!$C:$C,'community caseload'!$B$78,'caseload data'!$B:$B,{"licence","community"}))</f>
        <v>0</v>
      </c>
      <c r="G82" s="94" cm="1">
        <f t="array" ref="G82">SUM(SUMIFS('caseload data'!I:I,'caseload data'!$D:$D,"TPO",'caseload data'!$C:$C,'community caseload'!$B$78,'caseload data'!$B:$B,{"licence","community"}))</f>
        <v>0</v>
      </c>
      <c r="H82" s="94" cm="1">
        <f t="array" ref="H82">SUM(SUMIFS('caseload data'!J:J,'caseload data'!$D:$D,"TPO",'caseload data'!$C:$C,'community caseload'!$B$78,'caseload data'!$B:$B,{"licence","community"}))</f>
        <v>0</v>
      </c>
      <c r="I82" s="94" cm="1">
        <f t="array" ref="I82">SUM(SUMIFS('caseload data'!K:K,'caseload data'!$D:$D,"TPO",'caseload data'!$C:$C,'community caseload'!$B$78,'caseload data'!$B:$B,{"licence","community"}))</f>
        <v>0</v>
      </c>
      <c r="J82" s="94" cm="1">
        <f t="array" ref="J82">SUM(SUMIFS('caseload data'!L:L,'caseload data'!$D:$D,"TPO",'caseload data'!$C:$C,'community caseload'!$B$78,'caseload data'!$B:$B,{"licence","community"}))</f>
        <v>0</v>
      </c>
      <c r="K82" s="94" cm="1">
        <f t="array" ref="K82">SUM(SUMIFS('caseload data'!M:M,'caseload data'!$D:$D,"TPO",'caseload data'!$C:$C,'community caseload'!$B$78,'caseload data'!$B:$B,{"licence","community"}))</f>
        <v>0</v>
      </c>
      <c r="L82" s="94" cm="1">
        <f t="array" ref="L82">SUM(SUMIFS('caseload data'!N:N,'caseload data'!$D:$D,"TPO",'caseload data'!$C:$C,'community caseload'!$B$78,'caseload data'!$B:$B,{"licence","community"}))</f>
        <v>0</v>
      </c>
      <c r="M82" s="94" cm="1">
        <f t="array" ref="M82">SUM(SUMIFS('caseload data'!O:O,'caseload data'!$D:$D,"TPO",'caseload data'!$C:$C,'community caseload'!$B$78,'caseload data'!$B:$B,{"licence","community"}))</f>
        <v>0</v>
      </c>
      <c r="N82" s="94" cm="1">
        <f t="array" ref="N82">SUM(SUMIFS('caseload data'!P:P,'caseload data'!$D:$D,"TPO",'caseload data'!$C:$C,'community caseload'!$B$78,'caseload data'!$B:$B,{"licence","community"}))</f>
        <v>0</v>
      </c>
      <c r="O82" s="94" cm="1">
        <f t="array" ref="O82">SUM(SUMIFS('caseload data'!Q:Q,'caseload data'!$D:$D,"TPO",'caseload data'!$C:$C,'community caseload'!$B$78,'caseload data'!$B:$B,{"licence","community"}))</f>
        <v>0</v>
      </c>
      <c r="P82" s="94" cm="1">
        <f t="array" ref="P82">SUM(SUMIFS('caseload data'!R:R,'caseload data'!$D:$D,"TPO",'caseload data'!$C:$C,'community caseload'!$B$78,'caseload data'!$B:$B,{"licence","community"}))</f>
        <v>0</v>
      </c>
      <c r="Q82" s="94" cm="1">
        <f t="array" ref="Q82">SUM(SUMIFS('caseload data'!S:S,'caseload data'!$D:$D,"TPO",'caseload data'!$C:$C,'community caseload'!$B$78,'caseload data'!$B:$B,{"licence","community"}))</f>
        <v>0</v>
      </c>
      <c r="R82" s="94" cm="1">
        <f t="array" ref="R82">SUM(SUMIFS('caseload data'!T:T,'caseload data'!$D:$D,"TPO",'caseload data'!$C:$C,'community caseload'!$B$78,'caseload data'!$B:$B,{"licence","community"}))</f>
        <v>0</v>
      </c>
      <c r="T82" s="97" t="s">
        <v>1003</v>
      </c>
      <c r="U82" s="94" cm="1">
        <f t="array" ref="U82">SUM(SUMIFS('caseload data'!E:E,'caseload data'!$D:$D,"TPO",'caseload data'!$C:$C,'community caseload'!$T$78,'caseload data'!$B:$B,{"licence","community"}))</f>
        <v>0</v>
      </c>
      <c r="V82" s="94" cm="1">
        <f t="array" ref="V82">SUM(SUMIFS('caseload data'!F:F,'caseload data'!$D:$D,"TPO",'caseload data'!$C:$C,'community caseload'!$T$78,'caseload data'!$B:$B,{"licence","community"}))</f>
        <v>0</v>
      </c>
      <c r="W82" s="94" cm="1">
        <f t="array" ref="W82">SUM(SUMIFS('caseload data'!G:G,'caseload data'!$D:$D,"TPO",'caseload data'!$C:$C,'community caseload'!$T$78,'caseload data'!$B:$B,{"licence","community"}))</f>
        <v>0</v>
      </c>
      <c r="X82" s="94" cm="1">
        <f t="array" ref="X82">SUM(SUMIFS('caseload data'!H:H,'caseload data'!$D:$D,"TPO",'caseload data'!$C:$C,'community caseload'!$T$78,'caseload data'!$B:$B,{"licence","community"}))</f>
        <v>0</v>
      </c>
      <c r="Y82" s="94" cm="1">
        <f t="array" ref="Y82">SUM(SUMIFS('caseload data'!I:I,'caseload data'!$D:$D,"TPO",'caseload data'!$C:$C,'community caseload'!$T$78,'caseload data'!$B:$B,{"licence","community"}))</f>
        <v>0</v>
      </c>
      <c r="Z82" s="94" cm="1">
        <f t="array" ref="Z82">SUM(SUMIFS('caseload data'!J:J,'caseload data'!$D:$D,"TPO",'caseload data'!$C:$C,'community caseload'!$T$78,'caseload data'!$B:$B,{"licence","community"}))</f>
        <v>0</v>
      </c>
      <c r="AA82" s="94" cm="1">
        <f t="array" ref="AA82">SUM(SUMIFS('caseload data'!K:K,'caseload data'!$D:$D,"TPO",'caseload data'!$C:$C,'community caseload'!$T$78,'caseload data'!$B:$B,{"licence","community"}))</f>
        <v>0</v>
      </c>
      <c r="AB82" s="94" cm="1">
        <f t="array" ref="AB82">SUM(SUMIFS('caseload data'!L:L,'caseload data'!$D:$D,"TPO",'caseload data'!$C:$C,'community caseload'!$T$78,'caseload data'!$B:$B,{"licence","community"}))</f>
        <v>0</v>
      </c>
      <c r="AC82" s="94" cm="1">
        <f t="array" ref="AC82">SUM(SUMIFS('caseload data'!M:M,'caseload data'!$D:$D,"TPO",'caseload data'!$C:$C,'community caseload'!$T$78,'caseload data'!$B:$B,{"licence","community"}))</f>
        <v>0</v>
      </c>
      <c r="AD82" s="94" cm="1">
        <f t="array" ref="AD82">SUM(SUMIFS('caseload data'!N:N,'caseload data'!$D:$D,"TPO",'caseload data'!$C:$C,'community caseload'!$T$78,'caseload data'!$B:$B,{"licence","community"}))</f>
        <v>0</v>
      </c>
      <c r="AE82" s="94" cm="1">
        <f t="array" ref="AE82">SUM(SUMIFS('caseload data'!O:O,'caseload data'!$D:$D,"TPO",'caseload data'!$C:$C,'community caseload'!$T$78,'caseload data'!$B:$B,{"licence","community"}))</f>
        <v>0</v>
      </c>
      <c r="AF82" s="94" cm="1">
        <f t="array" ref="AF82">SUM(SUMIFS('caseload data'!P:P,'caseload data'!$D:$D,"TPO",'caseload data'!$C:$C,'community caseload'!$T$78,'caseload data'!$B:$B,{"licence","community"}))</f>
        <v>0</v>
      </c>
      <c r="AG82" s="94" cm="1">
        <f t="array" ref="AG82">SUM(SUMIFS('caseload data'!Q:Q,'caseload data'!$D:$D,"TPO",'caseload data'!$C:$C,'community caseload'!$T$78,'caseload data'!$B:$B,{"licence","community"}))</f>
        <v>0</v>
      </c>
      <c r="AH82" s="94" cm="1">
        <f t="array" ref="AH82">SUM(SUMIFS('caseload data'!R:R,'caseload data'!$D:$D,"TPO",'caseload data'!$C:$C,'community caseload'!$T$78,'caseload data'!$B:$B,{"licence","community"}))</f>
        <v>0</v>
      </c>
      <c r="AI82" s="94" cm="1">
        <f t="array" ref="AI82">SUM(SUMIFS('caseload data'!S:S,'caseload data'!$D:$D,"TPO",'caseload data'!$C:$C,'community caseload'!$T$78,'caseload data'!$B:$B,{"licence","community"}))</f>
        <v>0</v>
      </c>
      <c r="AJ82" s="94" cm="1">
        <f t="array" ref="AJ82">SUM(SUMIFS('caseload data'!T:T,'caseload data'!$D:$D,"TPO",'caseload data'!$C:$C,'community caseload'!$T$78,'caseload data'!$B:$B,{"licence","community"}))</f>
        <v>0</v>
      </c>
    </row>
    <row r="83" spans="2:36" x14ac:dyDescent="0.15">
      <c r="B83" s="98" t="s">
        <v>1004</v>
      </c>
      <c r="C83" s="94" cm="1">
        <f t="array" ref="C83">SUM(SUMIFS('caseload data'!E:E,'caseload data'!$D:$D,"SPO",'caseload data'!$C:$C,'community caseload'!$B$78,'caseload data'!$B:$B,{"licence","community"}))</f>
        <v>0</v>
      </c>
      <c r="D83" s="94" cm="1">
        <f t="array" ref="D83">SUM(SUMIFS('caseload data'!F:F,'caseload data'!$D:$D,"SPO",'caseload data'!$C:$C,'community caseload'!$B$78,'caseload data'!$B:$B,{"licence","community"}))</f>
        <v>0</v>
      </c>
      <c r="E83" s="94" cm="1">
        <f t="array" ref="E83">SUM(SUMIFS('caseload data'!G:G,'caseload data'!$D:$D,"SPO",'caseload data'!$C:$C,'community caseload'!$B$78,'caseload data'!$B:$B,{"licence","community"}))</f>
        <v>0</v>
      </c>
      <c r="F83" s="94" cm="1">
        <f t="array" ref="F83">SUM(SUMIFS('caseload data'!H:H,'caseload data'!$D:$D,"SPO",'caseload data'!$C:$C,'community caseload'!$B$78,'caseload data'!$B:$B,{"licence","community"}))</f>
        <v>0</v>
      </c>
      <c r="G83" s="94" cm="1">
        <f t="array" ref="G83">SUM(SUMIFS('caseload data'!I:I,'caseload data'!$D:$D,"SPO",'caseload data'!$C:$C,'community caseload'!$B$78,'caseload data'!$B:$B,{"licence","community"}))</f>
        <v>0</v>
      </c>
      <c r="H83" s="94" cm="1">
        <f t="array" ref="H83">SUM(SUMIFS('caseload data'!J:J,'caseload data'!$D:$D,"SPO",'caseload data'!$C:$C,'community caseload'!$B$78,'caseload data'!$B:$B,{"licence","community"}))</f>
        <v>0</v>
      </c>
      <c r="I83" s="94" cm="1">
        <f t="array" ref="I83">SUM(SUMIFS('caseload data'!K:K,'caseload data'!$D:$D,"SPO",'caseload data'!$C:$C,'community caseload'!$B$78,'caseload data'!$B:$B,{"licence","community"}))</f>
        <v>0</v>
      </c>
      <c r="J83" s="94" cm="1">
        <f t="array" ref="J83">SUM(SUMIFS('caseload data'!L:L,'caseload data'!$D:$D,"SPO",'caseload data'!$C:$C,'community caseload'!$B$78,'caseload data'!$B:$B,{"licence","community"}))</f>
        <v>0</v>
      </c>
      <c r="K83" s="94" cm="1">
        <f t="array" ref="K83">SUM(SUMIFS('caseload data'!M:M,'caseload data'!$D:$D,"SPO",'caseload data'!$C:$C,'community caseload'!$B$78,'caseload data'!$B:$B,{"licence","community"}))</f>
        <v>0</v>
      </c>
      <c r="L83" s="94" cm="1">
        <f t="array" ref="L83">SUM(SUMIFS('caseload data'!N:N,'caseload data'!$D:$D,"SPO",'caseload data'!$C:$C,'community caseload'!$B$78,'caseload data'!$B:$B,{"licence","community"}))</f>
        <v>0</v>
      </c>
      <c r="M83" s="94" cm="1">
        <f t="array" ref="M83">SUM(SUMIFS('caseload data'!O:O,'caseload data'!$D:$D,"SPO",'caseload data'!$C:$C,'community caseload'!$B$78,'caseload data'!$B:$B,{"licence","community"}))</f>
        <v>0</v>
      </c>
      <c r="N83" s="94" cm="1">
        <f t="array" ref="N83">SUM(SUMIFS('caseload data'!P:P,'caseload data'!$D:$D,"SPO",'caseload data'!$C:$C,'community caseload'!$B$78,'caseload data'!$B:$B,{"licence","community"}))</f>
        <v>0</v>
      </c>
      <c r="O83" s="94" cm="1">
        <f t="array" ref="O83">SUM(SUMIFS('caseload data'!Q:Q,'caseload data'!$D:$D,"SPO",'caseload data'!$C:$C,'community caseload'!$B$78,'caseload data'!$B:$B,{"licence","community"}))</f>
        <v>0</v>
      </c>
      <c r="P83" s="94" cm="1">
        <f t="array" ref="P83">SUM(SUMIFS('caseload data'!R:R,'caseload data'!$D:$D,"SPO",'caseload data'!$C:$C,'community caseload'!$B$78,'caseload data'!$B:$B,{"licence","community"}))</f>
        <v>0</v>
      </c>
      <c r="Q83" s="94" cm="1">
        <f t="array" ref="Q83">SUM(SUMIFS('caseload data'!S:S,'caseload data'!$D:$D,"SPO",'caseload data'!$C:$C,'community caseload'!$B$78,'caseload data'!$B:$B,{"licence","community"}))</f>
        <v>0</v>
      </c>
      <c r="R83" s="94" cm="1">
        <f t="array" ref="R83">SUM(SUMIFS('caseload data'!T:T,'caseload data'!$D:$D,"SPO",'caseload data'!$C:$C,'community caseload'!$B$78,'caseload data'!$B:$B,{"licence","community"}))</f>
        <v>0</v>
      </c>
      <c r="T83" s="98" t="s">
        <v>1004</v>
      </c>
      <c r="U83" s="94" cm="1">
        <f t="array" ref="U83">SUM(SUMIFS('caseload data'!E:E,'caseload data'!$D:$D,"SPO",'caseload data'!$C:$C,'community caseload'!$T$78,'caseload data'!$B:$B,{"licence","community"}))</f>
        <v>0</v>
      </c>
      <c r="V83" s="94" cm="1">
        <f t="array" ref="V83">SUM(SUMIFS('caseload data'!F:F,'caseload data'!$D:$D,"SPO",'caseload data'!$C:$C,'community caseload'!$T$78,'caseload data'!$B:$B,{"licence","community"}))</f>
        <v>0</v>
      </c>
      <c r="W83" s="94" cm="1">
        <f t="array" ref="W83">SUM(SUMIFS('caseload data'!G:G,'caseload data'!$D:$D,"SPO",'caseload data'!$C:$C,'community caseload'!$T$78,'caseload data'!$B:$B,{"licence","community"}))</f>
        <v>0</v>
      </c>
      <c r="X83" s="94" cm="1">
        <f t="array" ref="X83">SUM(SUMIFS('caseload data'!H:H,'caseload data'!$D:$D,"SPO",'caseload data'!$C:$C,'community caseload'!$T$78,'caseload data'!$B:$B,{"licence","community"}))</f>
        <v>0</v>
      </c>
      <c r="Y83" s="94" cm="1">
        <f t="array" ref="Y83">SUM(SUMIFS('caseload data'!I:I,'caseload data'!$D:$D,"SPO",'caseload data'!$C:$C,'community caseload'!$T$78,'caseload data'!$B:$B,{"licence","community"}))</f>
        <v>0</v>
      </c>
      <c r="Z83" s="94" cm="1">
        <f t="array" ref="Z83">SUM(SUMIFS('caseload data'!J:J,'caseload data'!$D:$D,"SPO",'caseload data'!$C:$C,'community caseload'!$T$78,'caseload data'!$B:$B,{"licence","community"}))</f>
        <v>0</v>
      </c>
      <c r="AA83" s="94" cm="1">
        <f t="array" ref="AA83">SUM(SUMIFS('caseload data'!K:K,'caseload data'!$D:$D,"SPO",'caseload data'!$C:$C,'community caseload'!$T$78,'caseload data'!$B:$B,{"licence","community"}))</f>
        <v>0</v>
      </c>
      <c r="AB83" s="94" cm="1">
        <f t="array" ref="AB83">SUM(SUMIFS('caseload data'!L:L,'caseload data'!$D:$D,"SPO",'caseload data'!$C:$C,'community caseload'!$T$78,'caseload data'!$B:$B,{"licence","community"}))</f>
        <v>0</v>
      </c>
      <c r="AC83" s="94" cm="1">
        <f t="array" ref="AC83">SUM(SUMIFS('caseload data'!M:M,'caseload data'!$D:$D,"SPO",'caseload data'!$C:$C,'community caseload'!$T$78,'caseload data'!$B:$B,{"licence","community"}))</f>
        <v>0</v>
      </c>
      <c r="AD83" s="94" cm="1">
        <f t="array" ref="AD83">SUM(SUMIFS('caseload data'!N:N,'caseload data'!$D:$D,"SPO",'caseload data'!$C:$C,'community caseload'!$T$78,'caseload data'!$B:$B,{"licence","community"}))</f>
        <v>0</v>
      </c>
      <c r="AE83" s="94" cm="1">
        <f t="array" ref="AE83">SUM(SUMIFS('caseload data'!O:O,'caseload data'!$D:$D,"SPO",'caseload data'!$C:$C,'community caseload'!$T$78,'caseload data'!$B:$B,{"licence","community"}))</f>
        <v>0</v>
      </c>
      <c r="AF83" s="94" cm="1">
        <f t="array" ref="AF83">SUM(SUMIFS('caseload data'!P:P,'caseload data'!$D:$D,"SPO",'caseload data'!$C:$C,'community caseload'!$T$78,'caseload data'!$B:$B,{"licence","community"}))</f>
        <v>0</v>
      </c>
      <c r="AG83" s="94" cm="1">
        <f t="array" ref="AG83">SUM(SUMIFS('caseload data'!Q:Q,'caseload data'!$D:$D,"SPO",'caseload data'!$C:$C,'community caseload'!$T$78,'caseload data'!$B:$B,{"licence","community"}))</f>
        <v>0</v>
      </c>
      <c r="AH83" s="94" cm="1">
        <f t="array" ref="AH83">SUM(SUMIFS('caseload data'!R:R,'caseload data'!$D:$D,"SPO",'caseload data'!$C:$C,'community caseload'!$T$78,'caseload data'!$B:$B,{"licence","community"}))</f>
        <v>0</v>
      </c>
      <c r="AI83" s="94" cm="1">
        <f t="array" ref="AI83">SUM(SUMIFS('caseload data'!S:S,'caseload data'!$D:$D,"SPO",'caseload data'!$C:$C,'community caseload'!$T$78,'caseload data'!$B:$B,{"licence","community"}))</f>
        <v>0</v>
      </c>
      <c r="AJ83" s="94" cm="1">
        <f t="array" ref="AJ83">SUM(SUMIFS('caseload data'!T:T,'caseload data'!$D:$D,"SPO",'caseload data'!$C:$C,'community caseload'!$T$78,'caseload data'!$B:$B,{"licence","community"}))</f>
        <v>0</v>
      </c>
    </row>
    <row r="85" spans="2:36" ht="33.75" customHeight="1" x14ac:dyDescent="0.15">
      <c r="B85" s="289">
        <f>HLOOKUP($B$5,Region_Table,24,0)</f>
        <v>0</v>
      </c>
      <c r="C85" s="509" t="s">
        <v>1130</v>
      </c>
      <c r="D85" s="510"/>
      <c r="E85" s="510"/>
      <c r="F85" s="510"/>
      <c r="G85" s="510"/>
      <c r="H85" s="510"/>
      <c r="I85" s="510"/>
      <c r="J85" s="510"/>
      <c r="K85" s="510"/>
      <c r="L85" s="510"/>
      <c r="M85" s="539"/>
      <c r="N85" s="539"/>
      <c r="O85" s="540"/>
      <c r="P85" s="512" cm="1">
        <f t="array" ref="P85">SUM(SUMIFS('caseload data'!V:V,'caseload data'!B:B,{"licence","community"},'caseload data'!$C:$C,'community caseload'!B85))</f>
        <v>0</v>
      </c>
      <c r="Q85" s="529"/>
      <c r="R85" s="530"/>
      <c r="S85" s="291"/>
      <c r="T85" s="289">
        <f>HLOOKUP($B$5,Region_Table,25,0)</f>
        <v>0</v>
      </c>
      <c r="U85" s="509" t="s">
        <v>1130</v>
      </c>
      <c r="V85" s="510"/>
      <c r="W85" s="510"/>
      <c r="X85" s="510"/>
      <c r="Y85" s="510"/>
      <c r="Z85" s="510"/>
      <c r="AA85" s="510"/>
      <c r="AB85" s="510"/>
      <c r="AC85" s="510"/>
      <c r="AD85" s="510"/>
      <c r="AE85" s="539"/>
      <c r="AF85" s="539"/>
      <c r="AG85" s="540"/>
      <c r="AH85" s="512" cm="1">
        <f t="array" ref="AH85">SUM(SUMIFS('caseload data'!V:V,'caseload data'!B:B,{"licence","community"},'caseload data'!$C:$C,'community caseload'!T85))</f>
        <v>0</v>
      </c>
      <c r="AI85" s="529"/>
      <c r="AJ85" s="530"/>
    </row>
    <row r="86" spans="2:36" x14ac:dyDescent="0.15">
      <c r="B86" s="95" t="s">
        <v>1000</v>
      </c>
      <c r="C86" s="38" t="s">
        <v>864</v>
      </c>
      <c r="D86" s="38" t="s">
        <v>865</v>
      </c>
      <c r="E86" s="38" t="s">
        <v>866</v>
      </c>
      <c r="F86" s="38" t="s">
        <v>867</v>
      </c>
      <c r="G86" s="38" t="s">
        <v>868</v>
      </c>
      <c r="H86" s="38" t="s">
        <v>869</v>
      </c>
      <c r="I86" s="38" t="s">
        <v>870</v>
      </c>
      <c r="J86" s="38" t="s">
        <v>871</v>
      </c>
      <c r="K86" s="38" t="s">
        <v>872</v>
      </c>
      <c r="L86" s="38" t="s">
        <v>873</v>
      </c>
      <c r="M86" s="38" t="s">
        <v>874</v>
      </c>
      <c r="N86" s="38" t="s">
        <v>875</v>
      </c>
      <c r="O86" s="38" t="s">
        <v>876</v>
      </c>
      <c r="P86" s="38" t="s">
        <v>877</v>
      </c>
      <c r="Q86" s="38" t="s">
        <v>878</v>
      </c>
      <c r="R86" s="38" t="s">
        <v>879</v>
      </c>
      <c r="T86" s="95" t="s">
        <v>1000</v>
      </c>
      <c r="U86" s="38" t="s">
        <v>864</v>
      </c>
      <c r="V86" s="38" t="s">
        <v>865</v>
      </c>
      <c r="W86" s="38" t="s">
        <v>866</v>
      </c>
      <c r="X86" s="38" t="s">
        <v>867</v>
      </c>
      <c r="Y86" s="38" t="s">
        <v>868</v>
      </c>
      <c r="Z86" s="38" t="s">
        <v>869</v>
      </c>
      <c r="AA86" s="38" t="s">
        <v>870</v>
      </c>
      <c r="AB86" s="38" t="s">
        <v>871</v>
      </c>
      <c r="AC86" s="38" t="s">
        <v>872</v>
      </c>
      <c r="AD86" s="38" t="s">
        <v>873</v>
      </c>
      <c r="AE86" s="38" t="s">
        <v>874</v>
      </c>
      <c r="AF86" s="38" t="s">
        <v>875</v>
      </c>
      <c r="AG86" s="38" t="s">
        <v>876</v>
      </c>
      <c r="AH86" s="38" t="s">
        <v>877</v>
      </c>
      <c r="AI86" s="38" t="s">
        <v>878</v>
      </c>
      <c r="AJ86" s="38" t="s">
        <v>879</v>
      </c>
    </row>
    <row r="87" spans="2:36" x14ac:dyDescent="0.15">
      <c r="B87" s="96" t="s">
        <v>997</v>
      </c>
      <c r="C87" s="94" cm="1">
        <f t="array" ref="C87">SUM(SUMIFS('caseload data'!E:E,'caseload data'!$D:$D,"PO",'caseload data'!$C:$C,'community caseload'!$B$85,'caseload data'!$B:$B,{"licence","community"}))</f>
        <v>0</v>
      </c>
      <c r="D87" s="94" cm="1">
        <f t="array" ref="D87">SUM(SUMIFS('caseload data'!F:F,'caseload data'!$D:$D,"PO",'caseload data'!$C:$C,'community caseload'!$B$85,'caseload data'!$B:$B,{"licence","community"}))</f>
        <v>0</v>
      </c>
      <c r="E87" s="94" cm="1">
        <f t="array" ref="E87">SUM(SUMIFS('caseload data'!G:G,'caseload data'!$D:$D,"PO",'caseload data'!$C:$C,'community caseload'!$B$85,'caseload data'!$B:$B,{"licence","community"}))</f>
        <v>0</v>
      </c>
      <c r="F87" s="94" cm="1">
        <f t="array" ref="F87">SUM(SUMIFS('caseload data'!H:H,'caseload data'!$D:$D,"PO",'caseload data'!$C:$C,'community caseload'!$B$85,'caseload data'!$B:$B,{"licence","community"}))</f>
        <v>0</v>
      </c>
      <c r="G87" s="94" cm="1">
        <f t="array" ref="G87">SUM(SUMIFS('caseload data'!I:I,'caseload data'!$D:$D,"PO",'caseload data'!$C:$C,'community caseload'!$B$85,'caseload data'!$B:$B,{"licence","community"}))</f>
        <v>0</v>
      </c>
      <c r="H87" s="94" cm="1">
        <f t="array" ref="H87">SUM(SUMIFS('caseload data'!J:J,'caseload data'!$D:$D,"PO",'caseload data'!$C:$C,'community caseload'!$B$85,'caseload data'!$B:$B,{"licence","community"}))</f>
        <v>0</v>
      </c>
      <c r="I87" s="94" cm="1">
        <f t="array" ref="I87">SUM(SUMIFS('caseload data'!K:K,'caseload data'!$D:$D,"PO",'caseload data'!$C:$C,'community caseload'!$B$85,'caseload data'!$B:$B,{"licence","community"}))</f>
        <v>0</v>
      </c>
      <c r="J87" s="94" cm="1">
        <f t="array" ref="J87">SUM(SUMIFS('caseload data'!L:L,'caseload data'!$D:$D,"PO",'caseload data'!$C:$C,'community caseload'!$B$85,'caseload data'!$B:$B,{"licence","community"}))</f>
        <v>0</v>
      </c>
      <c r="K87" s="94" cm="1">
        <f t="array" ref="K87">SUM(SUMIFS('caseload data'!M:M,'caseload data'!$D:$D,"PO",'caseload data'!$C:$C,'community caseload'!$B$85,'caseload data'!$B:$B,{"licence","community"}))</f>
        <v>0</v>
      </c>
      <c r="L87" s="94" cm="1">
        <f t="array" ref="L87">SUM(SUMIFS('caseload data'!N:N,'caseload data'!$D:$D,"PO",'caseload data'!$C:$C,'community caseload'!$B$85,'caseload data'!$B:$B,{"licence","community"}))</f>
        <v>0</v>
      </c>
      <c r="M87" s="94" cm="1">
        <f t="array" ref="M87">SUM(SUMIFS('caseload data'!O:O,'caseload data'!$D:$D,"PO",'caseload data'!$C:$C,'community caseload'!$B$85,'caseload data'!$B:$B,{"licence","community"}))</f>
        <v>0</v>
      </c>
      <c r="N87" s="94" cm="1">
        <f t="array" ref="N87">SUM(SUMIFS('caseload data'!P:P,'caseload data'!$D:$D,"PO",'caseload data'!$C:$C,'community caseload'!$B$85,'caseload data'!$B:$B,{"licence","community"}))</f>
        <v>0</v>
      </c>
      <c r="O87" s="94" cm="1">
        <f t="array" ref="O87">SUM(SUMIFS('caseload data'!Q:Q,'caseload data'!$D:$D,"PO",'caseload data'!$C:$C,'community caseload'!$B$85,'caseload data'!$B:$B,{"licence","community"}))</f>
        <v>0</v>
      </c>
      <c r="P87" s="94" cm="1">
        <f t="array" ref="P87">SUM(SUMIFS('caseload data'!R:R,'caseload data'!$D:$D,"PO",'caseload data'!$C:$C,'community caseload'!$B$85,'caseload data'!$B:$B,{"licence","community"}))</f>
        <v>0</v>
      </c>
      <c r="Q87" s="94" cm="1">
        <f t="array" ref="Q87">SUM(SUMIFS('caseload data'!S:S,'caseload data'!$D:$D,"PO",'caseload data'!$C:$C,'community caseload'!$B$85,'caseload data'!$B:$B,{"licence","community"}))</f>
        <v>0</v>
      </c>
      <c r="R87" s="94" cm="1">
        <f t="array" ref="R87">SUM(SUMIFS('caseload data'!T:T,'caseload data'!$D:$D,"PO",'caseload data'!$C:$C,'community caseload'!$B$85,'caseload data'!$B:$B,{"licence","community"}))</f>
        <v>0</v>
      </c>
      <c r="T87" s="96" t="s">
        <v>997</v>
      </c>
      <c r="U87" s="94" cm="1">
        <f t="array" ref="U87">SUM(SUMIFS('caseload data'!E:E,'caseload data'!$D:$D,"PO",'caseload data'!$C:$C,'community caseload'!$T$85,'caseload data'!$B:$B,{"licence","community"}))</f>
        <v>0</v>
      </c>
      <c r="V87" s="94" cm="1">
        <f t="array" ref="V87">SUM(SUMIFS('caseload data'!F:F,'caseload data'!$D:$D,"PO",'caseload data'!$C:$C,'community caseload'!$T$85,'caseload data'!$B:$B,{"licence","community"}))</f>
        <v>0</v>
      </c>
      <c r="W87" s="94" cm="1">
        <f t="array" ref="W87">SUM(SUMIFS('caseload data'!G:G,'caseload data'!$D:$D,"PO",'caseload data'!$C:$C,'community caseload'!$T$85,'caseload data'!$B:$B,{"licence","community"}))</f>
        <v>0</v>
      </c>
      <c r="X87" s="94" cm="1">
        <f t="array" ref="X87">SUM(SUMIFS('caseload data'!H:H,'caseload data'!$D:$D,"PO",'caseload data'!$C:$C,'community caseload'!$T$85,'caseload data'!$B:$B,{"licence","community"}))</f>
        <v>0</v>
      </c>
      <c r="Y87" s="94" cm="1">
        <f t="array" ref="Y87">SUM(SUMIFS('caseload data'!I:I,'caseload data'!$D:$D,"PO",'caseload data'!$C:$C,'community caseload'!$T$85,'caseload data'!$B:$B,{"licence","community"}))</f>
        <v>0</v>
      </c>
      <c r="Z87" s="94" cm="1">
        <f t="array" ref="Z87">SUM(SUMIFS('caseload data'!J:J,'caseload data'!$D:$D,"PO",'caseload data'!$C:$C,'community caseload'!$T$85,'caseload data'!$B:$B,{"licence","community"}))</f>
        <v>0</v>
      </c>
      <c r="AA87" s="94" cm="1">
        <f t="array" ref="AA87">SUM(SUMIFS('caseload data'!K:K,'caseload data'!$D:$D,"PO",'caseload data'!$C:$C,'community caseload'!$T$85,'caseload data'!$B:$B,{"licence","community"}))</f>
        <v>0</v>
      </c>
      <c r="AB87" s="94" cm="1">
        <f t="array" ref="AB87">SUM(SUMIFS('caseload data'!L:L,'caseload data'!$D:$D,"PO",'caseload data'!$C:$C,'community caseload'!$T$85,'caseload data'!$B:$B,{"licence","community"}))</f>
        <v>0</v>
      </c>
      <c r="AC87" s="94" cm="1">
        <f t="array" ref="AC87">SUM(SUMIFS('caseload data'!M:M,'caseload data'!$D:$D,"PO",'caseload data'!$C:$C,'community caseload'!$T$85,'caseload data'!$B:$B,{"licence","community"}))</f>
        <v>0</v>
      </c>
      <c r="AD87" s="94" cm="1">
        <f t="array" ref="AD87">SUM(SUMIFS('caseload data'!N:N,'caseload data'!$D:$D,"PO",'caseload data'!$C:$C,'community caseload'!$T$85,'caseload data'!$B:$B,{"licence","community"}))</f>
        <v>0</v>
      </c>
      <c r="AE87" s="94" cm="1">
        <f t="array" ref="AE87">SUM(SUMIFS('caseload data'!O:O,'caseload data'!$D:$D,"PO",'caseload data'!$C:$C,'community caseload'!$T$85,'caseload data'!$B:$B,{"licence","community"}))</f>
        <v>0</v>
      </c>
      <c r="AF87" s="94" cm="1">
        <f t="array" ref="AF87">SUM(SUMIFS('caseload data'!P:P,'caseload data'!$D:$D,"PO",'caseload data'!$C:$C,'community caseload'!$T$85,'caseload data'!$B:$B,{"licence","community"}))</f>
        <v>0</v>
      </c>
      <c r="AG87" s="94" cm="1">
        <f t="array" ref="AG87">SUM(SUMIFS('caseload data'!Q:Q,'caseload data'!$D:$D,"PO",'caseload data'!$C:$C,'community caseload'!$T$85,'caseload data'!$B:$B,{"licence","community"}))</f>
        <v>0</v>
      </c>
      <c r="AH87" s="94" cm="1">
        <f t="array" ref="AH87">SUM(SUMIFS('caseload data'!R:R,'caseload data'!$D:$D,"PO",'caseload data'!$C:$C,'community caseload'!$T$85,'caseload data'!$B:$B,{"licence","community"}))</f>
        <v>0</v>
      </c>
      <c r="AI87" s="94" cm="1">
        <f t="array" ref="AI87">SUM(SUMIFS('caseload data'!S:S,'caseload data'!$D:$D,"PO",'caseload data'!$C:$C,'community caseload'!$T$85,'caseload data'!$B:$B,{"licence","community"}))</f>
        <v>0</v>
      </c>
      <c r="AJ87" s="94" cm="1">
        <f t="array" ref="AJ87">SUM(SUMIFS('caseload data'!T:T,'caseload data'!$D:$D,"PO",'caseload data'!$C:$C,'community caseload'!$T$85,'caseload data'!$B:$B,{"licence","community"}))</f>
        <v>0</v>
      </c>
    </row>
    <row r="88" spans="2:36" x14ac:dyDescent="0.15">
      <c r="B88" s="97" t="s">
        <v>1002</v>
      </c>
      <c r="C88" s="94" cm="1">
        <f t="array" ref="C88">SUM(SUMIFS('caseload data'!E:E,'caseload data'!$D:$D,"PSO",'caseload data'!$C:$C,'community caseload'!$B$85,'caseload data'!$B:$B,{"licence","community"}))</f>
        <v>0</v>
      </c>
      <c r="D88" s="94" cm="1">
        <f t="array" ref="D88">SUM(SUMIFS('caseload data'!F:F,'caseload data'!$D:$D,"PSO",'caseload data'!$C:$C,'community caseload'!$B$85,'caseload data'!$B:$B,{"licence","community"}))</f>
        <v>0</v>
      </c>
      <c r="E88" s="94" cm="1">
        <f t="array" ref="E88">SUM(SUMIFS('caseload data'!G:G,'caseload data'!$D:$D,"PSO",'caseload data'!$C:$C,'community caseload'!$B$85,'caseload data'!$B:$B,{"licence","community"}))</f>
        <v>0</v>
      </c>
      <c r="F88" s="94" cm="1">
        <f t="array" ref="F88">SUM(SUMIFS('caseload data'!H:H,'caseload data'!$D:$D,"PSO",'caseload data'!$C:$C,'community caseload'!$B$85,'caseload data'!$B:$B,{"licence","community"}))</f>
        <v>0</v>
      </c>
      <c r="G88" s="94" cm="1">
        <f t="array" ref="G88">SUM(SUMIFS('caseload data'!I:I,'caseload data'!$D:$D,"PSO",'caseload data'!$C:$C,'community caseload'!$B$85,'caseload data'!$B:$B,{"licence","community"}))</f>
        <v>0</v>
      </c>
      <c r="H88" s="94" cm="1">
        <f t="array" ref="H88">SUM(SUMIFS('caseload data'!J:J,'caseload data'!$D:$D,"PSO",'caseload data'!$C:$C,'community caseload'!$B$85,'caseload data'!$B:$B,{"licence","community"}))</f>
        <v>0</v>
      </c>
      <c r="I88" s="94" cm="1">
        <f t="array" ref="I88">SUM(SUMIFS('caseload data'!K:K,'caseload data'!$D:$D,"PSO",'caseload data'!$C:$C,'community caseload'!$B$85,'caseload data'!$B:$B,{"licence","community"}))</f>
        <v>0</v>
      </c>
      <c r="J88" s="94" cm="1">
        <f t="array" ref="J88">SUM(SUMIFS('caseload data'!L:L,'caseload data'!$D:$D,"PSO",'caseload data'!$C:$C,'community caseload'!$B$85,'caseload data'!$B:$B,{"licence","community"}))</f>
        <v>0</v>
      </c>
      <c r="K88" s="94" cm="1">
        <f t="array" ref="K88">SUM(SUMIFS('caseload data'!M:M,'caseload data'!$D:$D,"PSO",'caseload data'!$C:$C,'community caseload'!$B$85,'caseload data'!$B:$B,{"licence","community"}))</f>
        <v>0</v>
      </c>
      <c r="L88" s="94" cm="1">
        <f t="array" ref="L88">SUM(SUMIFS('caseload data'!N:N,'caseload data'!$D:$D,"PSO",'caseload data'!$C:$C,'community caseload'!$B$85,'caseload data'!$B:$B,{"licence","community"}))</f>
        <v>0</v>
      </c>
      <c r="M88" s="94" cm="1">
        <f t="array" ref="M88">SUM(SUMIFS('caseload data'!O:O,'caseload data'!$D:$D,"PSO",'caseload data'!$C:$C,'community caseload'!$B$85,'caseload data'!$B:$B,{"licence","community"}))</f>
        <v>0</v>
      </c>
      <c r="N88" s="94" cm="1">
        <f t="array" ref="N88">SUM(SUMIFS('caseload data'!P:P,'caseload data'!$D:$D,"PSO",'caseload data'!$C:$C,'community caseload'!$B$85,'caseload data'!$B:$B,{"licence","community"}))</f>
        <v>0</v>
      </c>
      <c r="O88" s="94" cm="1">
        <f t="array" ref="O88">SUM(SUMIFS('caseload data'!Q:Q,'caseload data'!$D:$D,"PSO",'caseload data'!$C:$C,'community caseload'!$B$85,'caseload data'!$B:$B,{"licence","community"}))</f>
        <v>0</v>
      </c>
      <c r="P88" s="94" cm="1">
        <f t="array" ref="P88">SUM(SUMIFS('caseload data'!R:R,'caseload data'!$D:$D,"PSO",'caseload data'!$C:$C,'community caseload'!$B$85,'caseload data'!$B:$B,{"licence","community"}))</f>
        <v>0</v>
      </c>
      <c r="Q88" s="94" cm="1">
        <f t="array" ref="Q88">SUM(SUMIFS('caseload data'!S:S,'caseload data'!$D:$D,"PSO",'caseload data'!$C:$C,'community caseload'!$B$85,'caseload data'!$B:$B,{"licence","community"}))</f>
        <v>0</v>
      </c>
      <c r="R88" s="94" cm="1">
        <f t="array" ref="R88">SUM(SUMIFS('caseload data'!T:T,'caseload data'!$D:$D,"PSO",'caseload data'!$C:$C,'community caseload'!$B$85,'caseload data'!$B:$B,{"licence","community"}))</f>
        <v>0</v>
      </c>
      <c r="T88" s="97" t="s">
        <v>1002</v>
      </c>
      <c r="U88" s="94" cm="1">
        <f t="array" ref="U88">SUM(SUMIFS('caseload data'!E:E,'caseload data'!$D:$D,"PSO",'caseload data'!$C:$C,'community caseload'!$T$85,'caseload data'!$B:$B,{"licence","community"}))</f>
        <v>0</v>
      </c>
      <c r="V88" s="94" cm="1">
        <f t="array" ref="V88">SUM(SUMIFS('caseload data'!F:F,'caseload data'!$D:$D,"PSO",'caseload data'!$C:$C,'community caseload'!$T$85,'caseload data'!$B:$B,{"licence","community"}))</f>
        <v>0</v>
      </c>
      <c r="W88" s="94" cm="1">
        <f t="array" ref="W88">SUM(SUMIFS('caseload data'!G:G,'caseload data'!$D:$D,"PSO",'caseload data'!$C:$C,'community caseload'!$T$85,'caseload data'!$B:$B,{"licence","community"}))</f>
        <v>0</v>
      </c>
      <c r="X88" s="94" cm="1">
        <f t="array" ref="X88">SUM(SUMIFS('caseload data'!H:H,'caseload data'!$D:$D,"PSO",'caseload data'!$C:$C,'community caseload'!$T$85,'caseload data'!$B:$B,{"licence","community"}))</f>
        <v>0</v>
      </c>
      <c r="Y88" s="94" cm="1">
        <f t="array" ref="Y88">SUM(SUMIFS('caseload data'!I:I,'caseload data'!$D:$D,"PSO",'caseload data'!$C:$C,'community caseload'!$T$85,'caseload data'!$B:$B,{"licence","community"}))</f>
        <v>0</v>
      </c>
      <c r="Z88" s="94" cm="1">
        <f t="array" ref="Z88">SUM(SUMIFS('caseload data'!J:J,'caseload data'!$D:$D,"PSO",'caseload data'!$C:$C,'community caseload'!$T$85,'caseload data'!$B:$B,{"licence","community"}))</f>
        <v>0</v>
      </c>
      <c r="AA88" s="94" cm="1">
        <f t="array" ref="AA88">SUM(SUMIFS('caseload data'!K:K,'caseload data'!$D:$D,"PSO",'caseload data'!$C:$C,'community caseload'!$T$85,'caseload data'!$B:$B,{"licence","community"}))</f>
        <v>0</v>
      </c>
      <c r="AB88" s="94" cm="1">
        <f t="array" ref="AB88">SUM(SUMIFS('caseload data'!L:L,'caseload data'!$D:$D,"PSO",'caseload data'!$C:$C,'community caseload'!$T$85,'caseload data'!$B:$B,{"licence","community"}))</f>
        <v>0</v>
      </c>
      <c r="AC88" s="94" cm="1">
        <f t="array" ref="AC88">SUM(SUMIFS('caseload data'!M:M,'caseload data'!$D:$D,"PSO",'caseload data'!$C:$C,'community caseload'!$T$85,'caseload data'!$B:$B,{"licence","community"}))</f>
        <v>0</v>
      </c>
      <c r="AD88" s="94" cm="1">
        <f t="array" ref="AD88">SUM(SUMIFS('caseload data'!N:N,'caseload data'!$D:$D,"PSO",'caseload data'!$C:$C,'community caseload'!$T$85,'caseload data'!$B:$B,{"licence","community"}))</f>
        <v>0</v>
      </c>
      <c r="AE88" s="94" cm="1">
        <f t="array" ref="AE88">SUM(SUMIFS('caseload data'!O:O,'caseload data'!$D:$D,"PSO",'caseload data'!$C:$C,'community caseload'!$T$85,'caseload data'!$B:$B,{"licence","community"}))</f>
        <v>0</v>
      </c>
      <c r="AF88" s="94" cm="1">
        <f t="array" ref="AF88">SUM(SUMIFS('caseload data'!P:P,'caseload data'!$D:$D,"PSO",'caseload data'!$C:$C,'community caseload'!$T$85,'caseload data'!$B:$B,{"licence","community"}))</f>
        <v>0</v>
      </c>
      <c r="AG88" s="94" cm="1">
        <f t="array" ref="AG88">SUM(SUMIFS('caseload data'!Q:Q,'caseload data'!$D:$D,"PSO",'caseload data'!$C:$C,'community caseload'!$T$85,'caseload data'!$B:$B,{"licence","community"}))</f>
        <v>0</v>
      </c>
      <c r="AH88" s="94" cm="1">
        <f t="array" ref="AH88">SUM(SUMIFS('caseload data'!R:R,'caseload data'!$D:$D,"PSO",'caseload data'!$C:$C,'community caseload'!$T$85,'caseload data'!$B:$B,{"licence","community"}))</f>
        <v>0</v>
      </c>
      <c r="AI88" s="94" cm="1">
        <f t="array" ref="AI88">SUM(SUMIFS('caseload data'!S:S,'caseload data'!$D:$D,"PSO",'caseload data'!$C:$C,'community caseload'!$T$85,'caseload data'!$B:$B,{"licence","community"}))</f>
        <v>0</v>
      </c>
      <c r="AJ88" s="94" cm="1">
        <f t="array" ref="AJ88">SUM(SUMIFS('caseload data'!T:T,'caseload data'!$D:$D,"PSO",'caseload data'!$C:$C,'community caseload'!$T$85,'caseload data'!$B:$B,{"licence","community"}))</f>
        <v>0</v>
      </c>
    </row>
    <row r="89" spans="2:36" x14ac:dyDescent="0.15">
      <c r="B89" s="97" t="s">
        <v>1003</v>
      </c>
      <c r="C89" s="94" cm="1">
        <f t="array" ref="C89">SUM(SUMIFS('caseload data'!E:E,'caseload data'!$D:$D,"TPO",'caseload data'!$C:$C,'community caseload'!$B$85,'caseload data'!$B:$B,{"licence","community"}))</f>
        <v>0</v>
      </c>
      <c r="D89" s="94" cm="1">
        <f t="array" ref="D89">SUM(SUMIFS('caseload data'!F:F,'caseload data'!$D:$D,"TPO",'caseload data'!$C:$C,'community caseload'!$B$85,'caseload data'!$B:$B,{"licence","community"}))</f>
        <v>0</v>
      </c>
      <c r="E89" s="94" cm="1">
        <f t="array" ref="E89">SUM(SUMIFS('caseload data'!G:G,'caseload data'!$D:$D,"TPO",'caseload data'!$C:$C,'community caseload'!$B$85,'caseload data'!$B:$B,{"licence","community"}))</f>
        <v>0</v>
      </c>
      <c r="F89" s="94" cm="1">
        <f t="array" ref="F89">SUM(SUMIFS('caseload data'!H:H,'caseload data'!$D:$D,"TPO",'caseload data'!$C:$C,'community caseload'!$B$85,'caseload data'!$B:$B,{"licence","community"}))</f>
        <v>0</v>
      </c>
      <c r="G89" s="94" cm="1">
        <f t="array" ref="G89">SUM(SUMIFS('caseload data'!I:I,'caseload data'!$D:$D,"TPO",'caseload data'!$C:$C,'community caseload'!$B$85,'caseload data'!$B:$B,{"licence","community"}))</f>
        <v>0</v>
      </c>
      <c r="H89" s="94" cm="1">
        <f t="array" ref="H89">SUM(SUMIFS('caseload data'!J:J,'caseload data'!$D:$D,"TPO",'caseload data'!$C:$C,'community caseload'!$B$85,'caseload data'!$B:$B,{"licence","community"}))</f>
        <v>0</v>
      </c>
      <c r="I89" s="94" cm="1">
        <f t="array" ref="I89">SUM(SUMIFS('caseload data'!K:K,'caseload data'!$D:$D,"TPO",'caseload data'!$C:$C,'community caseload'!$B$85,'caseload data'!$B:$B,{"licence","community"}))</f>
        <v>0</v>
      </c>
      <c r="J89" s="94" cm="1">
        <f t="array" ref="J89">SUM(SUMIFS('caseload data'!L:L,'caseload data'!$D:$D,"TPO",'caseload data'!$C:$C,'community caseload'!$B$85,'caseload data'!$B:$B,{"licence","community"}))</f>
        <v>0</v>
      </c>
      <c r="K89" s="94" cm="1">
        <f t="array" ref="K89">SUM(SUMIFS('caseload data'!M:M,'caseload data'!$D:$D,"TPO",'caseload data'!$C:$C,'community caseload'!$B$85,'caseload data'!$B:$B,{"licence","community"}))</f>
        <v>0</v>
      </c>
      <c r="L89" s="94" cm="1">
        <f t="array" ref="L89">SUM(SUMIFS('caseload data'!N:N,'caseload data'!$D:$D,"TPO",'caseload data'!$C:$C,'community caseload'!$B$85,'caseload data'!$B:$B,{"licence","community"}))</f>
        <v>0</v>
      </c>
      <c r="M89" s="94" cm="1">
        <f t="array" ref="M89">SUM(SUMIFS('caseload data'!O:O,'caseload data'!$D:$D,"TPO",'caseload data'!$C:$C,'community caseload'!$B$85,'caseload data'!$B:$B,{"licence","community"}))</f>
        <v>0</v>
      </c>
      <c r="N89" s="94" cm="1">
        <f t="array" ref="N89">SUM(SUMIFS('caseload data'!P:P,'caseload data'!$D:$D,"TPO",'caseload data'!$C:$C,'community caseload'!$B$85,'caseload data'!$B:$B,{"licence","community"}))</f>
        <v>0</v>
      </c>
      <c r="O89" s="94" cm="1">
        <f t="array" ref="O89">SUM(SUMIFS('caseload data'!Q:Q,'caseload data'!$D:$D,"TPO",'caseload data'!$C:$C,'community caseload'!$B$85,'caseload data'!$B:$B,{"licence","community"}))</f>
        <v>0</v>
      </c>
      <c r="P89" s="94" cm="1">
        <f t="array" ref="P89">SUM(SUMIFS('caseload data'!R:R,'caseload data'!$D:$D,"TPO",'caseload data'!$C:$C,'community caseload'!$B$85,'caseload data'!$B:$B,{"licence","community"}))</f>
        <v>0</v>
      </c>
      <c r="Q89" s="94" cm="1">
        <f t="array" ref="Q89">SUM(SUMIFS('caseload data'!S:S,'caseload data'!$D:$D,"TPO",'caseload data'!$C:$C,'community caseload'!$B$85,'caseload data'!$B:$B,{"licence","community"}))</f>
        <v>0</v>
      </c>
      <c r="R89" s="94" cm="1">
        <f t="array" ref="R89">SUM(SUMIFS('caseload data'!T:T,'caseload data'!$D:$D,"TPO",'caseload data'!$C:$C,'community caseload'!$B$85,'caseload data'!$B:$B,{"licence","community"}))</f>
        <v>0</v>
      </c>
      <c r="T89" s="97" t="s">
        <v>1003</v>
      </c>
      <c r="U89" s="94" cm="1">
        <f t="array" ref="U89">SUM(SUMIFS('caseload data'!E:E,'caseload data'!$D:$D,"TPO",'caseload data'!$C:$C,'community caseload'!$T$85,'caseload data'!$B:$B,{"licence","community"}))</f>
        <v>0</v>
      </c>
      <c r="V89" s="94" cm="1">
        <f t="array" ref="V89">SUM(SUMIFS('caseload data'!F:F,'caseload data'!$D:$D,"TPO",'caseload data'!$C:$C,'community caseload'!$T$85,'caseload data'!$B:$B,{"licence","community"}))</f>
        <v>0</v>
      </c>
      <c r="W89" s="94" cm="1">
        <f t="array" ref="W89">SUM(SUMIFS('caseload data'!G:G,'caseload data'!$D:$D,"TPO",'caseload data'!$C:$C,'community caseload'!$T$85,'caseload data'!$B:$B,{"licence","community"}))</f>
        <v>0</v>
      </c>
      <c r="X89" s="94" cm="1">
        <f t="array" ref="X89">SUM(SUMIFS('caseload data'!H:H,'caseload data'!$D:$D,"TPO",'caseload data'!$C:$C,'community caseload'!$T$85,'caseload data'!$B:$B,{"licence","community"}))</f>
        <v>0</v>
      </c>
      <c r="Y89" s="94" cm="1">
        <f t="array" ref="Y89">SUM(SUMIFS('caseload data'!I:I,'caseload data'!$D:$D,"TPO",'caseload data'!$C:$C,'community caseload'!$T$85,'caseload data'!$B:$B,{"licence","community"}))</f>
        <v>0</v>
      </c>
      <c r="Z89" s="94" cm="1">
        <f t="array" ref="Z89">SUM(SUMIFS('caseload data'!J:J,'caseload data'!$D:$D,"TPO",'caseload data'!$C:$C,'community caseload'!$T$85,'caseload data'!$B:$B,{"licence","community"}))</f>
        <v>0</v>
      </c>
      <c r="AA89" s="94" cm="1">
        <f t="array" ref="AA89">SUM(SUMIFS('caseload data'!K:K,'caseload data'!$D:$D,"TPO",'caseload data'!$C:$C,'community caseload'!$T$85,'caseload data'!$B:$B,{"licence","community"}))</f>
        <v>0</v>
      </c>
      <c r="AB89" s="94" cm="1">
        <f t="array" ref="AB89">SUM(SUMIFS('caseload data'!L:L,'caseload data'!$D:$D,"TPO",'caseload data'!$C:$C,'community caseload'!$T$85,'caseload data'!$B:$B,{"licence","community"}))</f>
        <v>0</v>
      </c>
      <c r="AC89" s="94" cm="1">
        <f t="array" ref="AC89">SUM(SUMIFS('caseload data'!M:M,'caseload data'!$D:$D,"TPO",'caseload data'!$C:$C,'community caseload'!$T$85,'caseload data'!$B:$B,{"licence","community"}))</f>
        <v>0</v>
      </c>
      <c r="AD89" s="94" cm="1">
        <f t="array" ref="AD89">SUM(SUMIFS('caseload data'!N:N,'caseload data'!$D:$D,"TPO",'caseload data'!$C:$C,'community caseload'!$T$85,'caseload data'!$B:$B,{"licence","community"}))</f>
        <v>0</v>
      </c>
      <c r="AE89" s="94" cm="1">
        <f t="array" ref="AE89">SUM(SUMIFS('caseload data'!O:O,'caseload data'!$D:$D,"TPO",'caseload data'!$C:$C,'community caseload'!$T$85,'caseload data'!$B:$B,{"licence","community"}))</f>
        <v>0</v>
      </c>
      <c r="AF89" s="94" cm="1">
        <f t="array" ref="AF89">SUM(SUMIFS('caseload data'!P:P,'caseload data'!$D:$D,"TPO",'caseload data'!$C:$C,'community caseload'!$T$85,'caseload data'!$B:$B,{"licence","community"}))</f>
        <v>0</v>
      </c>
      <c r="AG89" s="94" cm="1">
        <f t="array" ref="AG89">SUM(SUMIFS('caseload data'!Q:Q,'caseload data'!$D:$D,"TPO",'caseload data'!$C:$C,'community caseload'!$T$85,'caseload data'!$B:$B,{"licence","community"}))</f>
        <v>0</v>
      </c>
      <c r="AH89" s="94" cm="1">
        <f t="array" ref="AH89">SUM(SUMIFS('caseload data'!R:R,'caseload data'!$D:$D,"TPO",'caseload data'!$C:$C,'community caseload'!$T$85,'caseload data'!$B:$B,{"licence","community"}))</f>
        <v>0</v>
      </c>
      <c r="AI89" s="94" cm="1">
        <f t="array" ref="AI89">SUM(SUMIFS('caseload data'!S:S,'caseload data'!$D:$D,"TPO",'caseload data'!$C:$C,'community caseload'!$T$85,'caseload data'!$B:$B,{"licence","community"}))</f>
        <v>0</v>
      </c>
      <c r="AJ89" s="94" cm="1">
        <f t="array" ref="AJ89">SUM(SUMIFS('caseload data'!T:T,'caseload data'!$D:$D,"TPO",'caseload data'!$C:$C,'community caseload'!$T$85,'caseload data'!$B:$B,{"licence","community"}))</f>
        <v>0</v>
      </c>
    </row>
    <row r="90" spans="2:36" x14ac:dyDescent="0.15">
      <c r="B90" s="98" t="s">
        <v>1004</v>
      </c>
      <c r="C90" s="94" cm="1">
        <f t="array" ref="C90">SUM(SUMIFS('caseload data'!E:E,'caseload data'!$D:$D,"SPO",'caseload data'!$C:$C,'community caseload'!$B$85,'caseload data'!$B:$B,{"licence","community"}))</f>
        <v>0</v>
      </c>
      <c r="D90" s="94" cm="1">
        <f t="array" ref="D90">SUM(SUMIFS('caseload data'!F:F,'caseload data'!$D:$D,"SPO",'caseload data'!$C:$C,'community caseload'!$B$85,'caseload data'!$B:$B,{"licence","community"}))</f>
        <v>0</v>
      </c>
      <c r="E90" s="94" cm="1">
        <f t="array" ref="E90">SUM(SUMIFS('caseload data'!G:G,'caseload data'!$D:$D,"SPO",'caseload data'!$C:$C,'community caseload'!$B$85,'caseload data'!$B:$B,{"licence","community"}))</f>
        <v>0</v>
      </c>
      <c r="F90" s="94" cm="1">
        <f t="array" ref="F90">SUM(SUMIFS('caseload data'!H:H,'caseload data'!$D:$D,"SPO",'caseload data'!$C:$C,'community caseload'!$B$85,'caseload data'!$B:$B,{"licence","community"}))</f>
        <v>0</v>
      </c>
      <c r="G90" s="94" cm="1">
        <f t="array" ref="G90">SUM(SUMIFS('caseload data'!I:I,'caseload data'!$D:$D,"SPO",'caseload data'!$C:$C,'community caseload'!$B$85,'caseload data'!$B:$B,{"licence","community"}))</f>
        <v>0</v>
      </c>
      <c r="H90" s="94" cm="1">
        <f t="array" ref="H90">SUM(SUMIFS('caseload data'!J:J,'caseload data'!$D:$D,"SPO",'caseload data'!$C:$C,'community caseload'!$B$85,'caseload data'!$B:$B,{"licence","community"}))</f>
        <v>0</v>
      </c>
      <c r="I90" s="94" cm="1">
        <f t="array" ref="I90">SUM(SUMIFS('caseload data'!K:K,'caseload data'!$D:$D,"SPO",'caseload data'!$C:$C,'community caseload'!$B$85,'caseload data'!$B:$B,{"licence","community"}))</f>
        <v>0</v>
      </c>
      <c r="J90" s="94" cm="1">
        <f t="array" ref="J90">SUM(SUMIFS('caseload data'!L:L,'caseload data'!$D:$D,"SPO",'caseload data'!$C:$C,'community caseload'!$B$85,'caseload data'!$B:$B,{"licence","community"}))</f>
        <v>0</v>
      </c>
      <c r="K90" s="94" cm="1">
        <f t="array" ref="K90">SUM(SUMIFS('caseload data'!M:M,'caseload data'!$D:$D,"SPO",'caseload data'!$C:$C,'community caseload'!$B$85,'caseload data'!$B:$B,{"licence","community"}))</f>
        <v>0</v>
      </c>
      <c r="L90" s="94" cm="1">
        <f t="array" ref="L90">SUM(SUMIFS('caseload data'!N:N,'caseload data'!$D:$D,"SPO",'caseload data'!$C:$C,'community caseload'!$B$85,'caseload data'!$B:$B,{"licence","community"}))</f>
        <v>0</v>
      </c>
      <c r="M90" s="94" cm="1">
        <f t="array" ref="M90">SUM(SUMIFS('caseload data'!O:O,'caseload data'!$D:$D,"SPO",'caseload data'!$C:$C,'community caseload'!$B$85,'caseload data'!$B:$B,{"licence","community"}))</f>
        <v>0</v>
      </c>
      <c r="N90" s="94" cm="1">
        <f t="array" ref="N90">SUM(SUMIFS('caseload data'!P:P,'caseload data'!$D:$D,"SPO",'caseload data'!$C:$C,'community caseload'!$B$85,'caseload data'!$B:$B,{"licence","community"}))</f>
        <v>0</v>
      </c>
      <c r="O90" s="94" cm="1">
        <f t="array" ref="O90">SUM(SUMIFS('caseload data'!Q:Q,'caseload data'!$D:$D,"SPO",'caseload data'!$C:$C,'community caseload'!$B$85,'caseload data'!$B:$B,{"licence","community"}))</f>
        <v>0</v>
      </c>
      <c r="P90" s="94" cm="1">
        <f t="array" ref="P90">SUM(SUMIFS('caseload data'!R:R,'caseload data'!$D:$D,"SPO",'caseload data'!$C:$C,'community caseload'!$B$85,'caseload data'!$B:$B,{"licence","community"}))</f>
        <v>0</v>
      </c>
      <c r="Q90" s="94" cm="1">
        <f t="array" ref="Q90">SUM(SUMIFS('caseload data'!S:S,'caseload data'!$D:$D,"SPO",'caseload data'!$C:$C,'community caseload'!$B$85,'caseload data'!$B:$B,{"licence","community"}))</f>
        <v>0</v>
      </c>
      <c r="R90" s="94" cm="1">
        <f t="array" ref="R90">SUM(SUMIFS('caseload data'!T:T,'caseload data'!$D:$D,"SPO",'caseload data'!$C:$C,'community caseload'!$B$85,'caseload data'!$B:$B,{"licence","community"}))</f>
        <v>0</v>
      </c>
      <c r="T90" s="98" t="s">
        <v>1004</v>
      </c>
      <c r="U90" s="94" cm="1">
        <f t="array" ref="U90">SUM(SUMIFS('caseload data'!E:E,'caseload data'!$D:$D,"SPO",'caseload data'!$C:$C,'community caseload'!$T$85,'caseload data'!$B:$B,{"licence","community"}))</f>
        <v>0</v>
      </c>
      <c r="V90" s="94" cm="1">
        <f t="array" ref="V90">SUM(SUMIFS('caseload data'!F:F,'caseload data'!$D:$D,"SPO",'caseload data'!$C:$C,'community caseload'!$T$85,'caseload data'!$B:$B,{"licence","community"}))</f>
        <v>0</v>
      </c>
      <c r="W90" s="94" cm="1">
        <f t="array" ref="W90">SUM(SUMIFS('caseload data'!G:G,'caseload data'!$D:$D,"SPO",'caseload data'!$C:$C,'community caseload'!$T$85,'caseload data'!$B:$B,{"licence","community"}))</f>
        <v>0</v>
      </c>
      <c r="X90" s="94" cm="1">
        <f t="array" ref="X90">SUM(SUMIFS('caseload data'!H:H,'caseload data'!$D:$D,"SPO",'caseload data'!$C:$C,'community caseload'!$T$85,'caseload data'!$B:$B,{"licence","community"}))</f>
        <v>0</v>
      </c>
      <c r="Y90" s="94" cm="1">
        <f t="array" ref="Y90">SUM(SUMIFS('caseload data'!I:I,'caseload data'!$D:$D,"SPO",'caseload data'!$C:$C,'community caseload'!$T$85,'caseload data'!$B:$B,{"licence","community"}))</f>
        <v>0</v>
      </c>
      <c r="Z90" s="94" cm="1">
        <f t="array" ref="Z90">SUM(SUMIFS('caseload data'!J:J,'caseload data'!$D:$D,"SPO",'caseload data'!$C:$C,'community caseload'!$T$85,'caseload data'!$B:$B,{"licence","community"}))</f>
        <v>0</v>
      </c>
      <c r="AA90" s="94" cm="1">
        <f t="array" ref="AA90">SUM(SUMIFS('caseload data'!K:K,'caseload data'!$D:$D,"SPO",'caseload data'!$C:$C,'community caseload'!$T$85,'caseload data'!$B:$B,{"licence","community"}))</f>
        <v>0</v>
      </c>
      <c r="AB90" s="94" cm="1">
        <f t="array" ref="AB90">SUM(SUMIFS('caseload data'!L:L,'caseload data'!$D:$D,"SPO",'caseload data'!$C:$C,'community caseload'!$T$85,'caseload data'!$B:$B,{"licence","community"}))</f>
        <v>0</v>
      </c>
      <c r="AC90" s="94" cm="1">
        <f t="array" ref="AC90">SUM(SUMIFS('caseload data'!M:M,'caseload data'!$D:$D,"SPO",'caseload data'!$C:$C,'community caseload'!$T$85,'caseload data'!$B:$B,{"licence","community"}))</f>
        <v>0</v>
      </c>
      <c r="AD90" s="94" cm="1">
        <f t="array" ref="AD90">SUM(SUMIFS('caseload data'!N:N,'caseload data'!$D:$D,"SPO",'caseload data'!$C:$C,'community caseload'!$T$85,'caseload data'!$B:$B,{"licence","community"}))</f>
        <v>0</v>
      </c>
      <c r="AE90" s="94" cm="1">
        <f t="array" ref="AE90">SUM(SUMIFS('caseload data'!O:O,'caseload data'!$D:$D,"SPO",'caseload data'!$C:$C,'community caseload'!$T$85,'caseload data'!$B:$B,{"licence","community"}))</f>
        <v>0</v>
      </c>
      <c r="AF90" s="94" cm="1">
        <f t="array" ref="AF90">SUM(SUMIFS('caseload data'!P:P,'caseload data'!$D:$D,"SPO",'caseload data'!$C:$C,'community caseload'!$T$85,'caseload data'!$B:$B,{"licence","community"}))</f>
        <v>0</v>
      </c>
      <c r="AG90" s="94" cm="1">
        <f t="array" ref="AG90">SUM(SUMIFS('caseload data'!Q:Q,'caseload data'!$D:$D,"SPO",'caseload data'!$C:$C,'community caseload'!$T$85,'caseload data'!$B:$B,{"licence","community"}))</f>
        <v>0</v>
      </c>
      <c r="AH90" s="94" cm="1">
        <f t="array" ref="AH90">SUM(SUMIFS('caseload data'!R:R,'caseload data'!$D:$D,"SPO",'caseload data'!$C:$C,'community caseload'!$T$85,'caseload data'!$B:$B,{"licence","community"}))</f>
        <v>0</v>
      </c>
      <c r="AI90" s="94" cm="1">
        <f t="array" ref="AI90">SUM(SUMIFS('caseload data'!S:S,'caseload data'!$D:$D,"SPO",'caseload data'!$C:$C,'community caseload'!$T$85,'caseload data'!$B:$B,{"licence","community"}))</f>
        <v>0</v>
      </c>
      <c r="AJ90" s="94" cm="1">
        <f t="array" ref="AJ90">SUM(SUMIFS('caseload data'!T:T,'caseload data'!$D:$D,"SPO",'caseload data'!$C:$C,'community caseload'!$T$85,'caseload data'!$B:$B,{"licence","community"}))</f>
        <v>0</v>
      </c>
    </row>
    <row r="92" spans="2:36" ht="27.75" customHeight="1" x14ac:dyDescent="0.15">
      <c r="B92" s="289">
        <f>HLOOKUP($B$5,Region_Table,26,0)</f>
        <v>0</v>
      </c>
      <c r="C92" s="509" t="s">
        <v>1130</v>
      </c>
      <c r="D92" s="510"/>
      <c r="E92" s="510"/>
      <c r="F92" s="510"/>
      <c r="G92" s="510"/>
      <c r="H92" s="510"/>
      <c r="I92" s="510"/>
      <c r="J92" s="510"/>
      <c r="K92" s="510"/>
      <c r="L92" s="510"/>
      <c r="M92" s="539"/>
      <c r="N92" s="539"/>
      <c r="O92" s="540"/>
      <c r="P92" s="512" cm="1">
        <f t="array" ref="P92">SUM(SUMIFS('caseload data'!V:V,'caseload data'!B:B,{"licence","community"},'caseload data'!$C:$C,'community caseload'!B92))</f>
        <v>0</v>
      </c>
      <c r="Q92" s="529"/>
      <c r="R92" s="530"/>
      <c r="T92" s="289">
        <f>HLOOKUP($B$5,Region_Table,27,0)</f>
        <v>0</v>
      </c>
      <c r="U92" s="509" t="s">
        <v>1130</v>
      </c>
      <c r="V92" s="510"/>
      <c r="W92" s="510"/>
      <c r="X92" s="510"/>
      <c r="Y92" s="510"/>
      <c r="Z92" s="510"/>
      <c r="AA92" s="510"/>
      <c r="AB92" s="510"/>
      <c r="AC92" s="510"/>
      <c r="AD92" s="510"/>
      <c r="AE92" s="539"/>
      <c r="AF92" s="539"/>
      <c r="AG92" s="540"/>
      <c r="AH92" s="512" cm="1">
        <f t="array" ref="AH92">SUM(SUMIFS('caseload data'!V:V,'caseload data'!B:B,{"licence","community"},'caseload data'!$C:$C,'community caseload'!T92))</f>
        <v>0</v>
      </c>
      <c r="AI92" s="529"/>
      <c r="AJ92" s="530"/>
    </row>
    <row r="93" spans="2:36" x14ac:dyDescent="0.15">
      <c r="B93" s="95" t="s">
        <v>1000</v>
      </c>
      <c r="C93" s="38" t="s">
        <v>864</v>
      </c>
      <c r="D93" s="38" t="s">
        <v>865</v>
      </c>
      <c r="E93" s="38" t="s">
        <v>866</v>
      </c>
      <c r="F93" s="38" t="s">
        <v>867</v>
      </c>
      <c r="G93" s="38" t="s">
        <v>868</v>
      </c>
      <c r="H93" s="38" t="s">
        <v>869</v>
      </c>
      <c r="I93" s="38" t="s">
        <v>870</v>
      </c>
      <c r="J93" s="38" t="s">
        <v>871</v>
      </c>
      <c r="K93" s="38" t="s">
        <v>872</v>
      </c>
      <c r="L93" s="38" t="s">
        <v>873</v>
      </c>
      <c r="M93" s="38" t="s">
        <v>874</v>
      </c>
      <c r="N93" s="38" t="s">
        <v>875</v>
      </c>
      <c r="O93" s="38" t="s">
        <v>876</v>
      </c>
      <c r="P93" s="38" t="s">
        <v>877</v>
      </c>
      <c r="Q93" s="38" t="s">
        <v>878</v>
      </c>
      <c r="R93" s="38" t="s">
        <v>879</v>
      </c>
      <c r="T93" s="95" t="s">
        <v>1000</v>
      </c>
      <c r="U93" s="38" t="s">
        <v>864</v>
      </c>
      <c r="V93" s="38" t="s">
        <v>865</v>
      </c>
      <c r="W93" s="38" t="s">
        <v>866</v>
      </c>
      <c r="X93" s="38" t="s">
        <v>867</v>
      </c>
      <c r="Y93" s="38" t="s">
        <v>868</v>
      </c>
      <c r="Z93" s="38" t="s">
        <v>869</v>
      </c>
      <c r="AA93" s="38" t="s">
        <v>870</v>
      </c>
      <c r="AB93" s="38" t="s">
        <v>871</v>
      </c>
      <c r="AC93" s="38" t="s">
        <v>872</v>
      </c>
      <c r="AD93" s="38" t="s">
        <v>873</v>
      </c>
      <c r="AE93" s="38" t="s">
        <v>874</v>
      </c>
      <c r="AF93" s="38" t="s">
        <v>875</v>
      </c>
      <c r="AG93" s="38" t="s">
        <v>876</v>
      </c>
      <c r="AH93" s="38" t="s">
        <v>877</v>
      </c>
      <c r="AI93" s="38" t="s">
        <v>878</v>
      </c>
      <c r="AJ93" s="38" t="s">
        <v>879</v>
      </c>
    </row>
    <row r="94" spans="2:36" x14ac:dyDescent="0.15">
      <c r="B94" s="96" t="s">
        <v>997</v>
      </c>
      <c r="C94" s="94" cm="1">
        <f t="array" ref="C94">SUM(SUMIFS('caseload data'!E:E,'caseload data'!$D:$D,"PO",'caseload data'!$C:$C,'community caseload'!$B$92,'caseload data'!$B:$B,{"licence","community"}))</f>
        <v>0</v>
      </c>
      <c r="D94" s="94" cm="1">
        <f t="array" ref="D94">SUM(SUMIFS('caseload data'!F:F,'caseload data'!$D:$D,"PO",'caseload data'!$C:$C,'community caseload'!$B$92,'caseload data'!$B:$B,{"licence","community"}))</f>
        <v>0</v>
      </c>
      <c r="E94" s="94" cm="1">
        <f t="array" ref="E94">SUM(SUMIFS('caseload data'!G:G,'caseload data'!$D:$D,"PO",'caseload data'!$C:$C,'community caseload'!$B$92,'caseload data'!$B:$B,{"licence","community"}))</f>
        <v>0</v>
      </c>
      <c r="F94" s="94" cm="1">
        <f t="array" ref="F94">SUM(SUMIFS('caseload data'!H:H,'caseload data'!$D:$D,"PO",'caseload data'!$C:$C,'community caseload'!$B$92,'caseload data'!$B:$B,{"licence","community"}))</f>
        <v>0</v>
      </c>
      <c r="G94" s="94" cm="1">
        <f t="array" ref="G94">SUM(SUMIFS('caseload data'!I:I,'caseload data'!$D:$D,"PO",'caseload data'!$C:$C,'community caseload'!$B$92,'caseload data'!$B:$B,{"licence","community"}))</f>
        <v>0</v>
      </c>
      <c r="H94" s="94" cm="1">
        <f t="array" ref="H94">SUM(SUMIFS('caseload data'!J:J,'caseload data'!$D:$D,"PO",'caseload data'!$C:$C,'community caseload'!$B$92,'caseload data'!$B:$B,{"licence","community"}))</f>
        <v>0</v>
      </c>
      <c r="I94" s="94" cm="1">
        <f t="array" ref="I94">SUM(SUMIFS('caseload data'!K:K,'caseload data'!$D:$D,"PO",'caseload data'!$C:$C,'community caseload'!$B$92,'caseload data'!$B:$B,{"licence","community"}))</f>
        <v>0</v>
      </c>
      <c r="J94" s="94" cm="1">
        <f t="array" ref="J94">SUM(SUMIFS('caseload data'!L:L,'caseload data'!$D:$D,"PO",'caseload data'!$C:$C,'community caseload'!$B$92,'caseload data'!$B:$B,{"licence","community"}))</f>
        <v>0</v>
      </c>
      <c r="K94" s="94" cm="1">
        <f t="array" ref="K94">SUM(SUMIFS('caseload data'!M:M,'caseload data'!$D:$D,"PO",'caseload data'!$C:$C,'community caseload'!$B$92,'caseload data'!$B:$B,{"licence","community"}))</f>
        <v>0</v>
      </c>
      <c r="L94" s="94" cm="1">
        <f t="array" ref="L94">SUM(SUMIFS('caseload data'!N:N,'caseload data'!$D:$D,"PO",'caseload data'!$C:$C,'community caseload'!$B$92,'caseload data'!$B:$B,{"licence","community"}))</f>
        <v>0</v>
      </c>
      <c r="M94" s="94" cm="1">
        <f t="array" ref="M94">SUM(SUMIFS('caseload data'!O:O,'caseload data'!$D:$D,"PO",'caseload data'!$C:$C,'community caseload'!$B$92,'caseload data'!$B:$B,{"licence","community"}))</f>
        <v>0</v>
      </c>
      <c r="N94" s="94" cm="1">
        <f t="array" ref="N94">SUM(SUMIFS('caseload data'!P:P,'caseload data'!$D:$D,"PO",'caseload data'!$C:$C,'community caseload'!$B$92,'caseload data'!$B:$B,{"licence","community"}))</f>
        <v>0</v>
      </c>
      <c r="O94" s="94" cm="1">
        <f t="array" ref="O94">SUM(SUMIFS('caseload data'!Q:Q,'caseload data'!$D:$D,"PO",'caseload data'!$C:$C,'community caseload'!$B$92,'caseload data'!$B:$B,{"licence","community"}))</f>
        <v>0</v>
      </c>
      <c r="P94" s="94" cm="1">
        <f t="array" ref="P94">SUM(SUMIFS('caseload data'!R:R,'caseload data'!$D:$D,"PO",'caseload data'!$C:$C,'community caseload'!$B$92,'caseload data'!$B:$B,{"licence","community"}))</f>
        <v>0</v>
      </c>
      <c r="Q94" s="94" cm="1">
        <f t="array" ref="Q94">SUM(SUMIFS('caseload data'!S:S,'caseload data'!$D:$D,"PO",'caseload data'!$C:$C,'community caseload'!$B$92,'caseload data'!$B:$B,{"licence","community"}))</f>
        <v>0</v>
      </c>
      <c r="R94" s="94" cm="1">
        <f t="array" ref="R94">SUM(SUMIFS('caseload data'!T:T,'caseload data'!$D:$D,"PO",'caseload data'!$C:$C,'community caseload'!$B$92,'caseload data'!$B:$B,{"licence","community"}))</f>
        <v>0</v>
      </c>
      <c r="T94" s="96" t="s">
        <v>997</v>
      </c>
      <c r="U94" s="94" cm="1">
        <f t="array" ref="U94">SUM(SUMIFS('caseload data'!E:E,'caseload data'!$D:$D,"PO",'caseload data'!$C:$C,'community caseload'!$T$92,'caseload data'!$B:$B,{"licence","community"}))</f>
        <v>0</v>
      </c>
      <c r="V94" s="94" cm="1">
        <f t="array" ref="V94">SUM(SUMIFS('caseload data'!F:F,'caseload data'!$D:$D,"PO",'caseload data'!$C:$C,'community caseload'!$T$92,'caseload data'!$B:$B,{"licence","community"}))</f>
        <v>0</v>
      </c>
      <c r="W94" s="94" cm="1">
        <f t="array" ref="W94">SUM(SUMIFS('caseload data'!G:G,'caseload data'!$D:$D,"PO",'caseload data'!$C:$C,'community caseload'!$T$92,'caseload data'!$B:$B,{"licence","community"}))</f>
        <v>0</v>
      </c>
      <c r="X94" s="94" cm="1">
        <f t="array" ref="X94">SUM(SUMIFS('caseload data'!H:H,'caseload data'!$D:$D,"PO",'caseload data'!$C:$C,'community caseload'!$T$92,'caseload data'!$B:$B,{"licence","community"}))</f>
        <v>0</v>
      </c>
      <c r="Y94" s="94" cm="1">
        <f t="array" ref="Y94">SUM(SUMIFS('caseload data'!I:I,'caseload data'!$D:$D,"PO",'caseload data'!$C:$C,'community caseload'!$T$92,'caseload data'!$B:$B,{"licence","community"}))</f>
        <v>0</v>
      </c>
      <c r="Z94" s="94" cm="1">
        <f t="array" ref="Z94">SUM(SUMIFS('caseload data'!J:J,'caseload data'!$D:$D,"PO",'caseload data'!$C:$C,'community caseload'!$T$92,'caseload data'!$B:$B,{"licence","community"}))</f>
        <v>0</v>
      </c>
      <c r="AA94" s="94" cm="1">
        <f t="array" ref="AA94">SUM(SUMIFS('caseload data'!K:K,'caseload data'!$D:$D,"PO",'caseload data'!$C:$C,'community caseload'!$T$92,'caseload data'!$B:$B,{"licence","community"}))</f>
        <v>0</v>
      </c>
      <c r="AB94" s="94" cm="1">
        <f t="array" ref="AB94">SUM(SUMIFS('caseload data'!L:L,'caseload data'!$D:$D,"PO",'caseload data'!$C:$C,'community caseload'!$T$92,'caseload data'!$B:$B,{"licence","community"}))</f>
        <v>0</v>
      </c>
      <c r="AC94" s="94" cm="1">
        <f t="array" ref="AC94">SUM(SUMIFS('caseload data'!M:M,'caseload data'!$D:$D,"PO",'caseload data'!$C:$C,'community caseload'!$T$92,'caseload data'!$B:$B,{"licence","community"}))</f>
        <v>0</v>
      </c>
      <c r="AD94" s="94" cm="1">
        <f t="array" ref="AD94">SUM(SUMIFS('caseload data'!N:N,'caseload data'!$D:$D,"PO",'caseload data'!$C:$C,'community caseload'!$T$92,'caseload data'!$B:$B,{"licence","community"}))</f>
        <v>0</v>
      </c>
      <c r="AE94" s="94" cm="1">
        <f t="array" ref="AE94">SUM(SUMIFS('caseload data'!O:O,'caseload data'!$D:$D,"PO",'caseload data'!$C:$C,'community caseload'!$T$92,'caseload data'!$B:$B,{"licence","community"}))</f>
        <v>0</v>
      </c>
      <c r="AF94" s="94" cm="1">
        <f t="array" ref="AF94">SUM(SUMIFS('caseload data'!P:P,'caseload data'!$D:$D,"PO",'caseload data'!$C:$C,'community caseload'!$T$92,'caseload data'!$B:$B,{"licence","community"}))</f>
        <v>0</v>
      </c>
      <c r="AG94" s="94" cm="1">
        <f t="array" ref="AG94">SUM(SUMIFS('caseload data'!Q:Q,'caseload data'!$D:$D,"PO",'caseload data'!$C:$C,'community caseload'!$T$92,'caseload data'!$B:$B,{"licence","community"}))</f>
        <v>0</v>
      </c>
      <c r="AH94" s="94" cm="1">
        <f t="array" ref="AH94">SUM(SUMIFS('caseload data'!R:R,'caseload data'!$D:$D,"PO",'caseload data'!$C:$C,'community caseload'!$T$92,'caseload data'!$B:$B,{"licence","community"}))</f>
        <v>0</v>
      </c>
      <c r="AI94" s="94" cm="1">
        <f t="array" ref="AI94">SUM(SUMIFS('caseload data'!S:S,'caseload data'!$D:$D,"PO",'caseload data'!$C:$C,'community caseload'!$T$92,'caseload data'!$B:$B,{"licence","community"}))</f>
        <v>0</v>
      </c>
      <c r="AJ94" s="94" cm="1">
        <f t="array" ref="AJ94">SUM(SUMIFS('caseload data'!T:T,'caseload data'!$D:$D,"PO",'caseload data'!$C:$C,'community caseload'!$T$92,'caseload data'!$B:$B,{"licence","community"}))</f>
        <v>0</v>
      </c>
    </row>
    <row r="95" spans="2:36" x14ac:dyDescent="0.15">
      <c r="B95" s="97" t="s">
        <v>1002</v>
      </c>
      <c r="C95" s="94" cm="1">
        <f t="array" ref="C95">SUM(SUMIFS('caseload data'!E:E,'caseload data'!$D:$D,"PSO",'caseload data'!$C:$C,'community caseload'!$B$92,'caseload data'!$B:$B,{"licence","community"}))</f>
        <v>0</v>
      </c>
      <c r="D95" s="94" cm="1">
        <f t="array" ref="D95">SUM(SUMIFS('caseload data'!F:F,'caseload data'!$D:$D,"PSO",'caseload data'!$C:$C,'community caseload'!$B$92,'caseload data'!$B:$B,{"licence","community"}))</f>
        <v>0</v>
      </c>
      <c r="E95" s="94" cm="1">
        <f t="array" ref="E95">SUM(SUMIFS('caseload data'!G:G,'caseload data'!$D:$D,"PSO",'caseload data'!$C:$C,'community caseload'!$B$92,'caseload data'!$B:$B,{"licence","community"}))</f>
        <v>0</v>
      </c>
      <c r="F95" s="94" cm="1">
        <f t="array" ref="F95">SUM(SUMIFS('caseload data'!H:H,'caseload data'!$D:$D,"PSO",'caseload data'!$C:$C,'community caseload'!$B$92,'caseload data'!$B:$B,{"licence","community"}))</f>
        <v>0</v>
      </c>
      <c r="G95" s="94" cm="1">
        <f t="array" ref="G95">SUM(SUMIFS('caseload data'!I:I,'caseload data'!$D:$D,"PSO",'caseload data'!$C:$C,'community caseload'!$B$92,'caseload data'!$B:$B,{"licence","community"}))</f>
        <v>0</v>
      </c>
      <c r="H95" s="94" cm="1">
        <f t="array" ref="H95">SUM(SUMIFS('caseload data'!J:J,'caseload data'!$D:$D,"PSO",'caseload data'!$C:$C,'community caseload'!$B$92,'caseload data'!$B:$B,{"licence","community"}))</f>
        <v>0</v>
      </c>
      <c r="I95" s="94" cm="1">
        <f t="array" ref="I95">SUM(SUMIFS('caseload data'!K:K,'caseload data'!$D:$D,"PSO",'caseload data'!$C:$C,'community caseload'!$B$92,'caseload data'!$B:$B,{"licence","community"}))</f>
        <v>0</v>
      </c>
      <c r="J95" s="94" cm="1">
        <f t="array" ref="J95">SUM(SUMIFS('caseload data'!L:L,'caseload data'!$D:$D,"PSO",'caseload data'!$C:$C,'community caseload'!$B$92,'caseload data'!$B:$B,{"licence","community"}))</f>
        <v>0</v>
      </c>
      <c r="K95" s="94" cm="1">
        <f t="array" ref="K95">SUM(SUMIFS('caseload data'!M:M,'caseload data'!$D:$D,"PSO",'caseload data'!$C:$C,'community caseload'!$B$92,'caseload data'!$B:$B,{"licence","community"}))</f>
        <v>0</v>
      </c>
      <c r="L95" s="94" cm="1">
        <f t="array" ref="L95">SUM(SUMIFS('caseload data'!N:N,'caseload data'!$D:$D,"PSO",'caseload data'!$C:$C,'community caseload'!$B$92,'caseload data'!$B:$B,{"licence","community"}))</f>
        <v>0</v>
      </c>
      <c r="M95" s="94" cm="1">
        <f t="array" ref="M95">SUM(SUMIFS('caseload data'!O:O,'caseload data'!$D:$D,"PSO",'caseload data'!$C:$C,'community caseload'!$B$92,'caseload data'!$B:$B,{"licence","community"}))</f>
        <v>0</v>
      </c>
      <c r="N95" s="94" cm="1">
        <f t="array" ref="N95">SUM(SUMIFS('caseload data'!P:P,'caseload data'!$D:$D,"PSO",'caseload data'!$C:$C,'community caseload'!$B$92,'caseload data'!$B:$B,{"licence","community"}))</f>
        <v>0</v>
      </c>
      <c r="O95" s="94" cm="1">
        <f t="array" ref="O95">SUM(SUMIFS('caseload data'!Q:Q,'caseload data'!$D:$D,"PSO",'caseload data'!$C:$C,'community caseload'!$B$92,'caseload data'!$B:$B,{"licence","community"}))</f>
        <v>0</v>
      </c>
      <c r="P95" s="94" cm="1">
        <f t="array" ref="P95">SUM(SUMIFS('caseload data'!R:R,'caseload data'!$D:$D,"PSO",'caseload data'!$C:$C,'community caseload'!$B$92,'caseload data'!$B:$B,{"licence","community"}))</f>
        <v>0</v>
      </c>
      <c r="Q95" s="94" cm="1">
        <f t="array" ref="Q95">SUM(SUMIFS('caseload data'!S:S,'caseload data'!$D:$D,"PSO",'caseload data'!$C:$C,'community caseload'!$B$92,'caseload data'!$B:$B,{"licence","community"}))</f>
        <v>0</v>
      </c>
      <c r="R95" s="94" cm="1">
        <f t="array" ref="R95">SUM(SUMIFS('caseload data'!T:T,'caseload data'!$D:$D,"PSO",'caseload data'!$C:$C,'community caseload'!$B$92,'caseload data'!$B:$B,{"licence","community"}))</f>
        <v>0</v>
      </c>
      <c r="T95" s="97" t="s">
        <v>1002</v>
      </c>
      <c r="U95" s="94" cm="1">
        <f t="array" ref="U95">SUM(SUMIFS('caseload data'!E:E,'caseload data'!$D:$D,"PSO",'caseload data'!$C:$C,'community caseload'!$T$92,'caseload data'!$B:$B,{"licence","community"}))</f>
        <v>0</v>
      </c>
      <c r="V95" s="94" cm="1">
        <f t="array" ref="V95">SUM(SUMIFS('caseload data'!F:F,'caseload data'!$D:$D,"PSO",'caseload data'!$C:$C,'community caseload'!$T$92,'caseload data'!$B:$B,{"licence","community"}))</f>
        <v>0</v>
      </c>
      <c r="W95" s="94" cm="1">
        <f t="array" ref="W95">SUM(SUMIFS('caseload data'!G:G,'caseload data'!$D:$D,"PSO",'caseload data'!$C:$C,'community caseload'!$T$92,'caseload data'!$B:$B,{"licence","community"}))</f>
        <v>0</v>
      </c>
      <c r="X95" s="94" cm="1">
        <f t="array" ref="X95">SUM(SUMIFS('caseload data'!H:H,'caseload data'!$D:$D,"PSO",'caseload data'!$C:$C,'community caseload'!$T$92,'caseload data'!$B:$B,{"licence","community"}))</f>
        <v>0</v>
      </c>
      <c r="Y95" s="94" cm="1">
        <f t="array" ref="Y95">SUM(SUMIFS('caseload data'!I:I,'caseload data'!$D:$D,"PSO",'caseload data'!$C:$C,'community caseload'!$T$92,'caseload data'!$B:$B,{"licence","community"}))</f>
        <v>0</v>
      </c>
      <c r="Z95" s="94" cm="1">
        <f t="array" ref="Z95">SUM(SUMIFS('caseload data'!J:J,'caseload data'!$D:$D,"PSO",'caseload data'!$C:$C,'community caseload'!$T$92,'caseload data'!$B:$B,{"licence","community"}))</f>
        <v>0</v>
      </c>
      <c r="AA95" s="94" cm="1">
        <f t="array" ref="AA95">SUM(SUMIFS('caseload data'!K:K,'caseload data'!$D:$D,"PSO",'caseload data'!$C:$C,'community caseload'!$T$92,'caseload data'!$B:$B,{"licence","community"}))</f>
        <v>0</v>
      </c>
      <c r="AB95" s="94" cm="1">
        <f t="array" ref="AB95">SUM(SUMIFS('caseload data'!L:L,'caseload data'!$D:$D,"PSO",'caseload data'!$C:$C,'community caseload'!$T$92,'caseload data'!$B:$B,{"licence","community"}))</f>
        <v>0</v>
      </c>
      <c r="AC95" s="94" cm="1">
        <f t="array" ref="AC95">SUM(SUMIFS('caseload data'!M:M,'caseload data'!$D:$D,"PSO",'caseload data'!$C:$C,'community caseload'!$T$92,'caseload data'!$B:$B,{"licence","community"}))</f>
        <v>0</v>
      </c>
      <c r="AD95" s="94" cm="1">
        <f t="array" ref="AD95">SUM(SUMIFS('caseload data'!N:N,'caseload data'!$D:$D,"PSO",'caseload data'!$C:$C,'community caseload'!$T$92,'caseload data'!$B:$B,{"licence","community"}))</f>
        <v>0</v>
      </c>
      <c r="AE95" s="94" cm="1">
        <f t="array" ref="AE95">SUM(SUMIFS('caseload data'!O:O,'caseload data'!$D:$D,"PSO",'caseload data'!$C:$C,'community caseload'!$T$92,'caseload data'!$B:$B,{"licence","community"}))</f>
        <v>0</v>
      </c>
      <c r="AF95" s="94" cm="1">
        <f t="array" ref="AF95">SUM(SUMIFS('caseload data'!P:P,'caseload data'!$D:$D,"PSO",'caseload data'!$C:$C,'community caseload'!$T$92,'caseload data'!$B:$B,{"licence","community"}))</f>
        <v>0</v>
      </c>
      <c r="AG95" s="94" cm="1">
        <f t="array" ref="AG95">SUM(SUMIFS('caseload data'!Q:Q,'caseload data'!$D:$D,"PSO",'caseload data'!$C:$C,'community caseload'!$T$92,'caseload data'!$B:$B,{"licence","community"}))</f>
        <v>0</v>
      </c>
      <c r="AH95" s="94" cm="1">
        <f t="array" ref="AH95">SUM(SUMIFS('caseload data'!R:R,'caseload data'!$D:$D,"PSO",'caseload data'!$C:$C,'community caseload'!$T$92,'caseload data'!$B:$B,{"licence","community"}))</f>
        <v>0</v>
      </c>
      <c r="AI95" s="94" cm="1">
        <f t="array" ref="AI95">SUM(SUMIFS('caseload data'!S:S,'caseload data'!$D:$D,"PSO",'caseload data'!$C:$C,'community caseload'!$T$92,'caseload data'!$B:$B,{"licence","community"}))</f>
        <v>0</v>
      </c>
      <c r="AJ95" s="94" cm="1">
        <f t="array" ref="AJ95">SUM(SUMIFS('caseload data'!T:T,'caseload data'!$D:$D,"PSO",'caseload data'!$C:$C,'community caseload'!$T$92,'caseload data'!$B:$B,{"licence","community"}))</f>
        <v>0</v>
      </c>
    </row>
    <row r="96" spans="2:36" x14ac:dyDescent="0.15">
      <c r="B96" s="97" t="s">
        <v>1003</v>
      </c>
      <c r="C96" s="94" cm="1">
        <f t="array" ref="C96">SUM(SUMIFS('caseload data'!E:E,'caseload data'!$D:$D,"TPO",'caseload data'!$C:$C,'community caseload'!$B$92,'caseload data'!$B:$B,{"licence","community"}))</f>
        <v>0</v>
      </c>
      <c r="D96" s="94" cm="1">
        <f t="array" ref="D96">SUM(SUMIFS('caseload data'!F:F,'caseload data'!$D:$D,"TPO",'caseload data'!$C:$C,'community caseload'!$B$92,'caseload data'!$B:$B,{"licence","community"}))</f>
        <v>0</v>
      </c>
      <c r="E96" s="94" cm="1">
        <f t="array" ref="E96">SUM(SUMIFS('caseload data'!G:G,'caseload data'!$D:$D,"TPO",'caseload data'!$C:$C,'community caseload'!$B$92,'caseload data'!$B:$B,{"licence","community"}))</f>
        <v>0</v>
      </c>
      <c r="F96" s="94" cm="1">
        <f t="array" ref="F96">SUM(SUMIFS('caseload data'!H:H,'caseload data'!$D:$D,"TPO",'caseload data'!$C:$C,'community caseload'!$B$92,'caseload data'!$B:$B,{"licence","community"}))</f>
        <v>0</v>
      </c>
      <c r="G96" s="94" cm="1">
        <f t="array" ref="G96">SUM(SUMIFS('caseload data'!I:I,'caseload data'!$D:$D,"TPO",'caseload data'!$C:$C,'community caseload'!$B$92,'caseload data'!$B:$B,{"licence","community"}))</f>
        <v>0</v>
      </c>
      <c r="H96" s="94" cm="1">
        <f t="array" ref="H96">SUM(SUMIFS('caseload data'!J:J,'caseload data'!$D:$D,"TPO",'caseload data'!$C:$C,'community caseload'!$B$92,'caseload data'!$B:$B,{"licence","community"}))</f>
        <v>0</v>
      </c>
      <c r="I96" s="94" cm="1">
        <f t="array" ref="I96">SUM(SUMIFS('caseload data'!K:K,'caseload data'!$D:$D,"TPO",'caseload data'!$C:$C,'community caseload'!$B$92,'caseload data'!$B:$B,{"licence","community"}))</f>
        <v>0</v>
      </c>
      <c r="J96" s="94" cm="1">
        <f t="array" ref="J96">SUM(SUMIFS('caseload data'!L:L,'caseload data'!$D:$D,"TPO",'caseload data'!$C:$C,'community caseload'!$B$92,'caseload data'!$B:$B,{"licence","community"}))</f>
        <v>0</v>
      </c>
      <c r="K96" s="94" cm="1">
        <f t="array" ref="K96">SUM(SUMIFS('caseload data'!M:M,'caseload data'!$D:$D,"TPO",'caseload data'!$C:$C,'community caseload'!$B$92,'caseload data'!$B:$B,{"licence","community"}))</f>
        <v>0</v>
      </c>
      <c r="L96" s="94" cm="1">
        <f t="array" ref="L96">SUM(SUMIFS('caseload data'!N:N,'caseload data'!$D:$D,"TPO",'caseload data'!$C:$C,'community caseload'!$B$92,'caseload data'!$B:$B,{"licence","community"}))</f>
        <v>0</v>
      </c>
      <c r="M96" s="94" cm="1">
        <f t="array" ref="M96">SUM(SUMIFS('caseload data'!O:O,'caseload data'!$D:$D,"TPO",'caseload data'!$C:$C,'community caseload'!$B$92,'caseload data'!$B:$B,{"licence","community"}))</f>
        <v>0</v>
      </c>
      <c r="N96" s="94" cm="1">
        <f t="array" ref="N96">SUM(SUMIFS('caseload data'!P:P,'caseload data'!$D:$D,"TPO",'caseload data'!$C:$C,'community caseload'!$B$92,'caseload data'!$B:$B,{"licence","community"}))</f>
        <v>0</v>
      </c>
      <c r="O96" s="94" cm="1">
        <f t="array" ref="O96">SUM(SUMIFS('caseload data'!Q:Q,'caseload data'!$D:$D,"TPO",'caseload data'!$C:$C,'community caseload'!$B$92,'caseload data'!$B:$B,{"licence","community"}))</f>
        <v>0</v>
      </c>
      <c r="P96" s="94" cm="1">
        <f t="array" ref="P96">SUM(SUMIFS('caseload data'!R:R,'caseload data'!$D:$D,"TPO",'caseload data'!$C:$C,'community caseload'!$B$92,'caseload data'!$B:$B,{"licence","community"}))</f>
        <v>0</v>
      </c>
      <c r="Q96" s="94" cm="1">
        <f t="array" ref="Q96">SUM(SUMIFS('caseload data'!S:S,'caseload data'!$D:$D,"TPO",'caseload data'!$C:$C,'community caseload'!$B$92,'caseload data'!$B:$B,{"licence","community"}))</f>
        <v>0</v>
      </c>
      <c r="R96" s="94" cm="1">
        <f t="array" ref="R96">SUM(SUMIFS('caseload data'!T:T,'caseload data'!$D:$D,"TPO",'caseload data'!$C:$C,'community caseload'!$B$92,'caseload data'!$B:$B,{"licence","community"}))</f>
        <v>0</v>
      </c>
      <c r="T96" s="97" t="s">
        <v>1003</v>
      </c>
      <c r="U96" s="94" cm="1">
        <f t="array" ref="U96">SUM(SUMIFS('caseload data'!E:E,'caseload data'!$D:$D,"TPO",'caseload data'!$C:$C,'community caseload'!$T$92,'caseload data'!$B:$B,{"licence","community"}))</f>
        <v>0</v>
      </c>
      <c r="V96" s="94" cm="1">
        <f t="array" ref="V96">SUM(SUMIFS('caseload data'!F:F,'caseload data'!$D:$D,"TPO",'caseload data'!$C:$C,'community caseload'!$T$92,'caseload data'!$B:$B,{"licence","community"}))</f>
        <v>0</v>
      </c>
      <c r="W96" s="94" cm="1">
        <f t="array" ref="W96">SUM(SUMIFS('caseload data'!G:G,'caseload data'!$D:$D,"TPO",'caseload data'!$C:$C,'community caseload'!$T$92,'caseload data'!$B:$B,{"licence","community"}))</f>
        <v>0</v>
      </c>
      <c r="X96" s="94" cm="1">
        <f t="array" ref="X96">SUM(SUMIFS('caseload data'!H:H,'caseload data'!$D:$D,"TPO",'caseload data'!$C:$C,'community caseload'!$T$92,'caseload data'!$B:$B,{"licence","community"}))</f>
        <v>0</v>
      </c>
      <c r="Y96" s="94" cm="1">
        <f t="array" ref="Y96">SUM(SUMIFS('caseload data'!I:I,'caseload data'!$D:$D,"TPO",'caseload data'!$C:$C,'community caseload'!$T$92,'caseload data'!$B:$B,{"licence","community"}))</f>
        <v>0</v>
      </c>
      <c r="Z96" s="94" cm="1">
        <f t="array" ref="Z96">SUM(SUMIFS('caseload data'!J:J,'caseload data'!$D:$D,"TPO",'caseload data'!$C:$C,'community caseload'!$T$92,'caseload data'!$B:$B,{"licence","community"}))</f>
        <v>0</v>
      </c>
      <c r="AA96" s="94" cm="1">
        <f t="array" ref="AA96">SUM(SUMIFS('caseload data'!K:K,'caseload data'!$D:$D,"TPO",'caseload data'!$C:$C,'community caseload'!$T$92,'caseload data'!$B:$B,{"licence","community"}))</f>
        <v>0</v>
      </c>
      <c r="AB96" s="94" cm="1">
        <f t="array" ref="AB96">SUM(SUMIFS('caseload data'!L:L,'caseload data'!$D:$D,"TPO",'caseload data'!$C:$C,'community caseload'!$T$92,'caseload data'!$B:$B,{"licence","community"}))</f>
        <v>0</v>
      </c>
      <c r="AC96" s="94" cm="1">
        <f t="array" ref="AC96">SUM(SUMIFS('caseload data'!M:M,'caseload data'!$D:$D,"TPO",'caseload data'!$C:$C,'community caseload'!$T$92,'caseload data'!$B:$B,{"licence","community"}))</f>
        <v>0</v>
      </c>
      <c r="AD96" s="94" cm="1">
        <f t="array" ref="AD96">SUM(SUMIFS('caseload data'!N:N,'caseload data'!$D:$D,"TPO",'caseload data'!$C:$C,'community caseload'!$T$92,'caseload data'!$B:$B,{"licence","community"}))</f>
        <v>0</v>
      </c>
      <c r="AE96" s="94" cm="1">
        <f t="array" ref="AE96">SUM(SUMIFS('caseload data'!O:O,'caseload data'!$D:$D,"TPO",'caseload data'!$C:$C,'community caseload'!$T$92,'caseload data'!$B:$B,{"licence","community"}))</f>
        <v>0</v>
      </c>
      <c r="AF96" s="94" cm="1">
        <f t="array" ref="AF96">SUM(SUMIFS('caseload data'!P:P,'caseload data'!$D:$D,"TPO",'caseload data'!$C:$C,'community caseload'!$T$92,'caseload data'!$B:$B,{"licence","community"}))</f>
        <v>0</v>
      </c>
      <c r="AG96" s="94" cm="1">
        <f t="array" ref="AG96">SUM(SUMIFS('caseload data'!Q:Q,'caseload data'!$D:$D,"TPO",'caseload data'!$C:$C,'community caseload'!$T$92,'caseload data'!$B:$B,{"licence","community"}))</f>
        <v>0</v>
      </c>
      <c r="AH96" s="94" cm="1">
        <f t="array" ref="AH96">SUM(SUMIFS('caseload data'!R:R,'caseload data'!$D:$D,"TPO",'caseload data'!$C:$C,'community caseload'!$T$92,'caseload data'!$B:$B,{"licence","community"}))</f>
        <v>0</v>
      </c>
      <c r="AI96" s="94" cm="1">
        <f t="array" ref="AI96">SUM(SUMIFS('caseload data'!S:S,'caseload data'!$D:$D,"TPO",'caseload data'!$C:$C,'community caseload'!$T$92,'caseload data'!$B:$B,{"licence","community"}))</f>
        <v>0</v>
      </c>
      <c r="AJ96" s="94" cm="1">
        <f t="array" ref="AJ96">SUM(SUMIFS('caseload data'!T:T,'caseload data'!$D:$D,"TPO",'caseload data'!$C:$C,'community caseload'!$T$92,'caseload data'!$B:$B,{"licence","community"}))</f>
        <v>0</v>
      </c>
    </row>
    <row r="97" spans="2:36" x14ac:dyDescent="0.15">
      <c r="B97" s="98" t="s">
        <v>1004</v>
      </c>
      <c r="C97" s="94" cm="1">
        <f t="array" ref="C97">SUM(SUMIFS('caseload data'!E:E,'caseload data'!$D:$D,"SPO",'caseload data'!$C:$C,'community caseload'!$B$92,'caseload data'!$B:$B,{"licence","community"}))</f>
        <v>0</v>
      </c>
      <c r="D97" s="94" cm="1">
        <f t="array" ref="D97">SUM(SUMIFS('caseload data'!F:F,'caseload data'!$D:$D,"SPO",'caseload data'!$C:$C,'community caseload'!$B$92,'caseload data'!$B:$B,{"licence","community"}))</f>
        <v>0</v>
      </c>
      <c r="E97" s="94" cm="1">
        <f t="array" ref="E97">SUM(SUMIFS('caseload data'!G:G,'caseload data'!$D:$D,"SPO",'caseload data'!$C:$C,'community caseload'!$B$92,'caseload data'!$B:$B,{"licence","community"}))</f>
        <v>0</v>
      </c>
      <c r="F97" s="94" cm="1">
        <f t="array" ref="F97">SUM(SUMIFS('caseload data'!H:H,'caseload data'!$D:$D,"SPO",'caseload data'!$C:$C,'community caseload'!$B$92,'caseload data'!$B:$B,{"licence","community"}))</f>
        <v>0</v>
      </c>
      <c r="G97" s="94" cm="1">
        <f t="array" ref="G97">SUM(SUMIFS('caseload data'!I:I,'caseload data'!$D:$D,"SPO",'caseload data'!$C:$C,'community caseload'!$B$92,'caseload data'!$B:$B,{"licence","community"}))</f>
        <v>0</v>
      </c>
      <c r="H97" s="94" cm="1">
        <f t="array" ref="H97">SUM(SUMIFS('caseload data'!J:J,'caseload data'!$D:$D,"SPO",'caseload data'!$C:$C,'community caseload'!$B$92,'caseload data'!$B:$B,{"licence","community"}))</f>
        <v>0</v>
      </c>
      <c r="I97" s="94" cm="1">
        <f t="array" ref="I97">SUM(SUMIFS('caseload data'!K:K,'caseload data'!$D:$D,"SPO",'caseload data'!$C:$C,'community caseload'!$B$92,'caseload data'!$B:$B,{"licence","community"}))</f>
        <v>0</v>
      </c>
      <c r="J97" s="94" cm="1">
        <f t="array" ref="J97">SUM(SUMIFS('caseload data'!L:L,'caseload data'!$D:$D,"SPO",'caseload data'!$C:$C,'community caseload'!$B$92,'caseload data'!$B:$B,{"licence","community"}))</f>
        <v>0</v>
      </c>
      <c r="K97" s="94" cm="1">
        <f t="array" ref="K97">SUM(SUMIFS('caseload data'!M:M,'caseload data'!$D:$D,"SPO",'caseload data'!$C:$C,'community caseload'!$B$92,'caseload data'!$B:$B,{"licence","community"}))</f>
        <v>0</v>
      </c>
      <c r="L97" s="94" cm="1">
        <f t="array" ref="L97">SUM(SUMIFS('caseload data'!N:N,'caseload data'!$D:$D,"SPO",'caseload data'!$C:$C,'community caseload'!$B$92,'caseload data'!$B:$B,{"licence","community"}))</f>
        <v>0</v>
      </c>
      <c r="M97" s="94" cm="1">
        <f t="array" ref="M97">SUM(SUMIFS('caseload data'!O:O,'caseload data'!$D:$D,"SPO",'caseload data'!$C:$C,'community caseload'!$B$92,'caseload data'!$B:$B,{"licence","community"}))</f>
        <v>0</v>
      </c>
      <c r="N97" s="94" cm="1">
        <f t="array" ref="N97">SUM(SUMIFS('caseload data'!P:P,'caseload data'!$D:$D,"SPO",'caseload data'!$C:$C,'community caseload'!$B$92,'caseload data'!$B:$B,{"licence","community"}))</f>
        <v>0</v>
      </c>
      <c r="O97" s="94" cm="1">
        <f t="array" ref="O97">SUM(SUMIFS('caseload data'!Q:Q,'caseload data'!$D:$D,"SPO",'caseload data'!$C:$C,'community caseload'!$B$92,'caseload data'!$B:$B,{"licence","community"}))</f>
        <v>0</v>
      </c>
      <c r="P97" s="94" cm="1">
        <f t="array" ref="P97">SUM(SUMIFS('caseload data'!R:R,'caseload data'!$D:$D,"SPO",'caseload data'!$C:$C,'community caseload'!$B$92,'caseload data'!$B:$B,{"licence","community"}))</f>
        <v>0</v>
      </c>
      <c r="Q97" s="94" cm="1">
        <f t="array" ref="Q97">SUM(SUMIFS('caseload data'!S:S,'caseload data'!$D:$D,"SPO",'caseload data'!$C:$C,'community caseload'!$B$92,'caseload data'!$B:$B,{"licence","community"}))</f>
        <v>0</v>
      </c>
      <c r="R97" s="94" cm="1">
        <f t="array" ref="R97">SUM(SUMIFS('caseload data'!T:T,'caseload data'!$D:$D,"SPO",'caseload data'!$C:$C,'community caseload'!$B$92,'caseload data'!$B:$B,{"licence","community"}))</f>
        <v>0</v>
      </c>
      <c r="T97" s="98" t="s">
        <v>1004</v>
      </c>
      <c r="U97" s="94" cm="1">
        <f t="array" ref="U97">SUM(SUMIFS('caseload data'!E:E,'caseload data'!$D:$D,"SPO",'caseload data'!$C:$C,'community caseload'!$T$92,'caseload data'!$B:$B,{"licence","community"}))</f>
        <v>0</v>
      </c>
      <c r="V97" s="94" cm="1">
        <f t="array" ref="V97">SUM(SUMIFS('caseload data'!F:F,'caseload data'!$D:$D,"SPO",'caseload data'!$C:$C,'community caseload'!$T$92,'caseload data'!$B:$B,{"licence","community"}))</f>
        <v>0</v>
      </c>
      <c r="W97" s="94" cm="1">
        <f t="array" ref="W97">SUM(SUMIFS('caseload data'!G:G,'caseload data'!$D:$D,"SPO",'caseload data'!$C:$C,'community caseload'!$T$92,'caseload data'!$B:$B,{"licence","community"}))</f>
        <v>0</v>
      </c>
      <c r="X97" s="94" cm="1">
        <f t="array" ref="X97">SUM(SUMIFS('caseload data'!H:H,'caseload data'!$D:$D,"SPO",'caseload data'!$C:$C,'community caseload'!$T$92,'caseload data'!$B:$B,{"licence","community"}))</f>
        <v>0</v>
      </c>
      <c r="Y97" s="94" cm="1">
        <f t="array" ref="Y97">SUM(SUMIFS('caseload data'!I:I,'caseload data'!$D:$D,"SPO",'caseload data'!$C:$C,'community caseload'!$T$92,'caseload data'!$B:$B,{"licence","community"}))</f>
        <v>0</v>
      </c>
      <c r="Z97" s="94" cm="1">
        <f t="array" ref="Z97">SUM(SUMIFS('caseload data'!J:J,'caseload data'!$D:$D,"SPO",'caseload data'!$C:$C,'community caseload'!$T$92,'caseload data'!$B:$B,{"licence","community"}))</f>
        <v>0</v>
      </c>
      <c r="AA97" s="94" cm="1">
        <f t="array" ref="AA97">SUM(SUMIFS('caseload data'!K:K,'caseload data'!$D:$D,"SPO",'caseload data'!$C:$C,'community caseload'!$T$92,'caseload data'!$B:$B,{"licence","community"}))</f>
        <v>0</v>
      </c>
      <c r="AB97" s="94" cm="1">
        <f t="array" ref="AB97">SUM(SUMIFS('caseload data'!L:L,'caseload data'!$D:$D,"SPO",'caseload data'!$C:$C,'community caseload'!$T$92,'caseload data'!$B:$B,{"licence","community"}))</f>
        <v>0</v>
      </c>
      <c r="AC97" s="94" cm="1">
        <f t="array" ref="AC97">SUM(SUMIFS('caseload data'!M:M,'caseload data'!$D:$D,"SPO",'caseload data'!$C:$C,'community caseload'!$T$92,'caseload data'!$B:$B,{"licence","community"}))</f>
        <v>0</v>
      </c>
      <c r="AD97" s="94" cm="1">
        <f t="array" ref="AD97">SUM(SUMIFS('caseload data'!N:N,'caseload data'!$D:$D,"SPO",'caseload data'!$C:$C,'community caseload'!$T$92,'caseload data'!$B:$B,{"licence","community"}))</f>
        <v>0</v>
      </c>
      <c r="AE97" s="94" cm="1">
        <f t="array" ref="AE97">SUM(SUMIFS('caseload data'!O:O,'caseload data'!$D:$D,"SPO",'caseload data'!$C:$C,'community caseload'!$T$92,'caseload data'!$B:$B,{"licence","community"}))</f>
        <v>0</v>
      </c>
      <c r="AF97" s="94" cm="1">
        <f t="array" ref="AF97">SUM(SUMIFS('caseload data'!P:P,'caseload data'!$D:$D,"SPO",'caseload data'!$C:$C,'community caseload'!$T$92,'caseload data'!$B:$B,{"licence","community"}))</f>
        <v>0</v>
      </c>
      <c r="AG97" s="94" cm="1">
        <f t="array" ref="AG97">SUM(SUMIFS('caseload data'!Q:Q,'caseload data'!$D:$D,"SPO",'caseload data'!$C:$C,'community caseload'!$T$92,'caseload data'!$B:$B,{"licence","community"}))</f>
        <v>0</v>
      </c>
      <c r="AH97" s="94" cm="1">
        <f t="array" ref="AH97">SUM(SUMIFS('caseload data'!R:R,'caseload data'!$D:$D,"SPO",'caseload data'!$C:$C,'community caseload'!$T$92,'caseload data'!$B:$B,{"licence","community"}))</f>
        <v>0</v>
      </c>
      <c r="AI97" s="94" cm="1">
        <f t="array" ref="AI97">SUM(SUMIFS('caseload data'!S:S,'caseload data'!$D:$D,"SPO",'caseload data'!$C:$C,'community caseload'!$T$92,'caseload data'!$B:$B,{"licence","community"}))</f>
        <v>0</v>
      </c>
      <c r="AJ97" s="94" cm="1">
        <f t="array" ref="AJ97">SUM(SUMIFS('caseload data'!T:T,'caseload data'!$D:$D,"SPO",'caseload data'!$C:$C,'community caseload'!$T$92,'caseload data'!$B:$B,{"licence","community"}))</f>
        <v>0</v>
      </c>
    </row>
    <row r="99" spans="2:36" ht="24.75" customHeight="1" x14ac:dyDescent="0.15">
      <c r="B99" s="289">
        <f>HLOOKUP($B$5,Region_Table,28,0)</f>
        <v>0</v>
      </c>
      <c r="C99" s="509" t="s">
        <v>1130</v>
      </c>
      <c r="D99" s="510"/>
      <c r="E99" s="510"/>
      <c r="F99" s="510"/>
      <c r="G99" s="510"/>
      <c r="H99" s="510"/>
      <c r="I99" s="510"/>
      <c r="J99" s="510"/>
      <c r="K99" s="510"/>
      <c r="L99" s="510"/>
      <c r="M99" s="539"/>
      <c r="N99" s="539"/>
      <c r="O99" s="540"/>
      <c r="P99" s="512" cm="1">
        <f t="array" ref="P99">SUM(SUMIFS('caseload data'!V:V,'caseload data'!B:B,{"licence","community"},'caseload data'!$C:$C,'community caseload'!B99))</f>
        <v>0</v>
      </c>
      <c r="Q99" s="529"/>
      <c r="R99" s="530"/>
    </row>
    <row r="100" spans="2:36" x14ac:dyDescent="0.15">
      <c r="B100" s="290" t="s">
        <v>1000</v>
      </c>
      <c r="C100" s="38" t="s">
        <v>864</v>
      </c>
      <c r="D100" s="38" t="s">
        <v>865</v>
      </c>
      <c r="E100" s="38" t="s">
        <v>866</v>
      </c>
      <c r="F100" s="38" t="s">
        <v>867</v>
      </c>
      <c r="G100" s="38" t="s">
        <v>868</v>
      </c>
      <c r="H100" s="38" t="s">
        <v>869</v>
      </c>
      <c r="I100" s="38" t="s">
        <v>870</v>
      </c>
      <c r="J100" s="38" t="s">
        <v>871</v>
      </c>
      <c r="K100" s="38" t="s">
        <v>872</v>
      </c>
      <c r="L100" s="38" t="s">
        <v>873</v>
      </c>
      <c r="M100" s="38" t="s">
        <v>874</v>
      </c>
      <c r="N100" s="38" t="s">
        <v>875</v>
      </c>
      <c r="O100" s="38" t="s">
        <v>876</v>
      </c>
      <c r="P100" s="38" t="s">
        <v>877</v>
      </c>
      <c r="Q100" s="38" t="s">
        <v>878</v>
      </c>
      <c r="R100" s="38" t="s">
        <v>879</v>
      </c>
    </row>
    <row r="101" spans="2:36" x14ac:dyDescent="0.15">
      <c r="B101" s="96" t="s">
        <v>997</v>
      </c>
      <c r="C101" s="94" cm="1">
        <f t="array" ref="C101">SUM(SUMIFS('caseload data'!E:E,'caseload data'!$D:$D,"PO",'caseload data'!$C:$C,'community caseload'!$B$99,'caseload data'!$B:$B,{"licence","community"}))</f>
        <v>0</v>
      </c>
      <c r="D101" s="94" cm="1">
        <f t="array" ref="D101">SUM(SUMIFS('caseload data'!F:F,'caseload data'!$D:$D,"PO",'caseload data'!$C:$C,'community caseload'!$B$99,'caseload data'!$B:$B,{"licence","community"}))</f>
        <v>0</v>
      </c>
      <c r="E101" s="94" cm="1">
        <f t="array" ref="E101">SUM(SUMIFS('caseload data'!G:G,'caseload data'!$D:$D,"PO",'caseload data'!$C:$C,'community caseload'!$B$99,'caseload data'!$B:$B,{"licence","community"}))</f>
        <v>0</v>
      </c>
      <c r="F101" s="94" cm="1">
        <f t="array" ref="F101">SUM(SUMIFS('caseload data'!H:H,'caseload data'!$D:$D,"PO",'caseload data'!$C:$C,'community caseload'!$B$99,'caseload data'!$B:$B,{"licence","community"}))</f>
        <v>0</v>
      </c>
      <c r="G101" s="94" cm="1">
        <f t="array" ref="G101">SUM(SUMIFS('caseload data'!I:I,'caseload data'!$D:$D,"PO",'caseload data'!$C:$C,'community caseload'!$B$99,'caseload data'!$B:$B,{"licence","community"}))</f>
        <v>0</v>
      </c>
      <c r="H101" s="94" cm="1">
        <f t="array" ref="H101">SUM(SUMIFS('caseload data'!J:J,'caseload data'!$D:$D,"PO",'caseload data'!$C:$C,'community caseload'!$B$99,'caseload data'!$B:$B,{"licence","community"}))</f>
        <v>0</v>
      </c>
      <c r="I101" s="94" cm="1">
        <f t="array" ref="I101">SUM(SUMIFS('caseload data'!K:K,'caseload data'!$D:$D,"PO",'caseload data'!$C:$C,'community caseload'!$B$99,'caseload data'!$B:$B,{"licence","community"}))</f>
        <v>0</v>
      </c>
      <c r="J101" s="94" cm="1">
        <f t="array" ref="J101">SUM(SUMIFS('caseload data'!L:L,'caseload data'!$D:$D,"PO",'caseload data'!$C:$C,'community caseload'!$B$99,'caseload data'!$B:$B,{"licence","community"}))</f>
        <v>0</v>
      </c>
      <c r="K101" s="94" cm="1">
        <f t="array" ref="K101">SUM(SUMIFS('caseload data'!M:M,'caseload data'!$D:$D,"PO",'caseload data'!$C:$C,'community caseload'!$B$99,'caseload data'!$B:$B,{"licence","community"}))</f>
        <v>0</v>
      </c>
      <c r="L101" s="94" cm="1">
        <f t="array" ref="L101">SUM(SUMIFS('caseload data'!N:N,'caseload data'!$D:$D,"PO",'caseload data'!$C:$C,'community caseload'!$B$99,'caseload data'!$B:$B,{"licence","community"}))</f>
        <v>0</v>
      </c>
      <c r="M101" s="94" cm="1">
        <f t="array" ref="M101">SUM(SUMIFS('caseload data'!O:O,'caseload data'!$D:$D,"PO",'caseload data'!$C:$C,'community caseload'!$B$99,'caseload data'!$B:$B,{"licence","community"}))</f>
        <v>0</v>
      </c>
      <c r="N101" s="94" cm="1">
        <f t="array" ref="N101">SUM(SUMIFS('caseload data'!P:P,'caseload data'!$D:$D,"PO",'caseload data'!$C:$C,'community caseload'!$B$99,'caseload data'!$B:$B,{"licence","community"}))</f>
        <v>0</v>
      </c>
      <c r="O101" s="94" cm="1">
        <f t="array" ref="O101">SUM(SUMIFS('caseload data'!Q:Q,'caseload data'!$D:$D,"PO",'caseload data'!$C:$C,'community caseload'!$B$99,'caseload data'!$B:$B,{"licence","community"}))</f>
        <v>0</v>
      </c>
      <c r="P101" s="94" cm="1">
        <f t="array" ref="P101">SUM(SUMIFS('caseload data'!R:R,'caseload data'!$D:$D,"PO",'caseload data'!$C:$C,'community caseload'!$B$99,'caseload data'!$B:$B,{"licence","community"}))</f>
        <v>0</v>
      </c>
      <c r="Q101" s="94" cm="1">
        <f t="array" ref="Q101">SUM(SUMIFS('caseload data'!S:S,'caseload data'!$D:$D,"PO",'caseload data'!$C:$C,'community caseload'!$B$99,'caseload data'!$B:$B,{"licence","community"}))</f>
        <v>0</v>
      </c>
      <c r="R101" s="94" cm="1">
        <f t="array" ref="R101">SUM(SUMIFS('caseload data'!T:T,'caseload data'!$D:$D,"PO",'caseload data'!$C:$C,'community caseload'!$B$99,'caseload data'!$B:$B,{"licence","community"}))</f>
        <v>0</v>
      </c>
    </row>
    <row r="102" spans="2:36" x14ac:dyDescent="0.15">
      <c r="B102" s="97" t="s">
        <v>1002</v>
      </c>
      <c r="C102" s="94" cm="1">
        <f t="array" ref="C102">SUM(SUMIFS('caseload data'!E:E,'caseload data'!$D:$D,"PSO",'caseload data'!$C:$C,'community caseload'!$B$99,'caseload data'!$B:$B,{"licence","community"}))</f>
        <v>0</v>
      </c>
      <c r="D102" s="94" cm="1">
        <f t="array" ref="D102">SUM(SUMIFS('caseload data'!F:F,'caseload data'!$D:$D,"PSO",'caseload data'!$C:$C,'community caseload'!$B$99,'caseload data'!$B:$B,{"licence","community"}))</f>
        <v>0</v>
      </c>
      <c r="E102" s="94" cm="1">
        <f t="array" ref="E102">SUM(SUMIFS('caseload data'!G:G,'caseload data'!$D:$D,"PSO",'caseload data'!$C:$C,'community caseload'!$B$99,'caseload data'!$B:$B,{"licence","community"}))</f>
        <v>0</v>
      </c>
      <c r="F102" s="94" cm="1">
        <f t="array" ref="F102">SUM(SUMIFS('caseload data'!H:H,'caseload data'!$D:$D,"PSO",'caseload data'!$C:$C,'community caseload'!$B$99,'caseload data'!$B:$B,{"licence","community"}))</f>
        <v>0</v>
      </c>
      <c r="G102" s="94" cm="1">
        <f t="array" ref="G102">SUM(SUMIFS('caseload data'!I:I,'caseload data'!$D:$D,"PSO",'caseload data'!$C:$C,'community caseload'!$B$99,'caseload data'!$B:$B,{"licence","community"}))</f>
        <v>0</v>
      </c>
      <c r="H102" s="94" cm="1">
        <f t="array" ref="H102">SUM(SUMIFS('caseload data'!J:J,'caseload data'!$D:$D,"PSO",'caseload data'!$C:$C,'community caseload'!$B$99,'caseload data'!$B:$B,{"licence","community"}))</f>
        <v>0</v>
      </c>
      <c r="I102" s="94" cm="1">
        <f t="array" ref="I102">SUM(SUMIFS('caseload data'!K:K,'caseload data'!$D:$D,"PSO",'caseload data'!$C:$C,'community caseload'!$B$99,'caseload data'!$B:$B,{"licence","community"}))</f>
        <v>0</v>
      </c>
      <c r="J102" s="94" cm="1">
        <f t="array" ref="J102">SUM(SUMIFS('caseload data'!L:L,'caseload data'!$D:$D,"PSO",'caseload data'!$C:$C,'community caseload'!$B$99,'caseload data'!$B:$B,{"licence","community"}))</f>
        <v>0</v>
      </c>
      <c r="K102" s="94" cm="1">
        <f t="array" ref="K102">SUM(SUMIFS('caseload data'!M:M,'caseload data'!$D:$D,"PSO",'caseload data'!$C:$C,'community caseload'!$B$99,'caseload data'!$B:$B,{"licence","community"}))</f>
        <v>0</v>
      </c>
      <c r="L102" s="94" cm="1">
        <f t="array" ref="L102">SUM(SUMIFS('caseload data'!N:N,'caseload data'!$D:$D,"PSO",'caseload data'!$C:$C,'community caseload'!$B$99,'caseload data'!$B:$B,{"licence","community"}))</f>
        <v>0</v>
      </c>
      <c r="M102" s="94" cm="1">
        <f t="array" ref="M102">SUM(SUMIFS('caseload data'!O:O,'caseload data'!$D:$D,"PSO",'caseload data'!$C:$C,'community caseload'!$B$99,'caseload data'!$B:$B,{"licence","community"}))</f>
        <v>0</v>
      </c>
      <c r="N102" s="94" cm="1">
        <f t="array" ref="N102">SUM(SUMIFS('caseload data'!P:P,'caseload data'!$D:$D,"PSO",'caseload data'!$C:$C,'community caseload'!$B$99,'caseload data'!$B:$B,{"licence","community"}))</f>
        <v>0</v>
      </c>
      <c r="O102" s="94" cm="1">
        <f t="array" ref="O102">SUM(SUMIFS('caseload data'!Q:Q,'caseload data'!$D:$D,"PSO",'caseload data'!$C:$C,'community caseload'!$B$99,'caseload data'!$B:$B,{"licence","community"}))</f>
        <v>0</v>
      </c>
      <c r="P102" s="94" cm="1">
        <f t="array" ref="P102">SUM(SUMIFS('caseload data'!R:R,'caseload data'!$D:$D,"PSO",'caseload data'!$C:$C,'community caseload'!$B$99,'caseload data'!$B:$B,{"licence","community"}))</f>
        <v>0</v>
      </c>
      <c r="Q102" s="94" cm="1">
        <f t="array" ref="Q102">SUM(SUMIFS('caseload data'!S:S,'caseload data'!$D:$D,"PSO",'caseload data'!$C:$C,'community caseload'!$B$99,'caseload data'!$B:$B,{"licence","community"}))</f>
        <v>0</v>
      </c>
      <c r="R102" s="94" cm="1">
        <f t="array" ref="R102">SUM(SUMIFS('caseload data'!T:T,'caseload data'!$D:$D,"PSO",'caseload data'!$C:$C,'community caseload'!$B$99,'caseload data'!$B:$B,{"licence","community"}))</f>
        <v>0</v>
      </c>
    </row>
    <row r="103" spans="2:36" x14ac:dyDescent="0.15">
      <c r="B103" s="97" t="s">
        <v>1003</v>
      </c>
      <c r="C103" s="94" cm="1">
        <f t="array" ref="C103">SUM(SUMIFS('caseload data'!E:E,'caseload data'!$D:$D,"TPO",'caseload data'!$C:$C,'community caseload'!$B$99,'caseload data'!$B:$B,{"licence","community"}))</f>
        <v>0</v>
      </c>
      <c r="D103" s="94" cm="1">
        <f t="array" ref="D103">SUM(SUMIFS('caseload data'!F:F,'caseload data'!$D:$D,"TPO",'caseload data'!$C:$C,'community caseload'!$B$99,'caseload data'!$B:$B,{"licence","community"}))</f>
        <v>0</v>
      </c>
      <c r="E103" s="94" cm="1">
        <f t="array" ref="E103">SUM(SUMIFS('caseload data'!G:G,'caseload data'!$D:$D,"TPO",'caseload data'!$C:$C,'community caseload'!$B$99,'caseload data'!$B:$B,{"licence","community"}))</f>
        <v>0</v>
      </c>
      <c r="F103" s="94" cm="1">
        <f t="array" ref="F103">SUM(SUMIFS('caseload data'!H:H,'caseload data'!$D:$D,"TPO",'caseload data'!$C:$C,'community caseload'!$B$99,'caseload data'!$B:$B,{"licence","community"}))</f>
        <v>0</v>
      </c>
      <c r="G103" s="94" cm="1">
        <f t="array" ref="G103">SUM(SUMIFS('caseload data'!I:I,'caseload data'!$D:$D,"TPO",'caseload data'!$C:$C,'community caseload'!$B$99,'caseload data'!$B:$B,{"licence","community"}))</f>
        <v>0</v>
      </c>
      <c r="H103" s="94" cm="1">
        <f t="array" ref="H103">SUM(SUMIFS('caseload data'!J:J,'caseload data'!$D:$D,"TPO",'caseload data'!$C:$C,'community caseload'!$B$99,'caseload data'!$B:$B,{"licence","community"}))</f>
        <v>0</v>
      </c>
      <c r="I103" s="94" cm="1">
        <f t="array" ref="I103">SUM(SUMIFS('caseload data'!K:K,'caseload data'!$D:$D,"TPO",'caseload data'!$C:$C,'community caseload'!$B$99,'caseload data'!$B:$B,{"licence","community"}))</f>
        <v>0</v>
      </c>
      <c r="J103" s="94" cm="1">
        <f t="array" ref="J103">SUM(SUMIFS('caseload data'!L:L,'caseload data'!$D:$D,"TPO",'caseload data'!$C:$C,'community caseload'!$B$99,'caseload data'!$B:$B,{"licence","community"}))</f>
        <v>0</v>
      </c>
      <c r="K103" s="94" cm="1">
        <f t="array" ref="K103">SUM(SUMIFS('caseload data'!M:M,'caseload data'!$D:$D,"TPO",'caseload data'!$C:$C,'community caseload'!$B$99,'caseload data'!$B:$B,{"licence","community"}))</f>
        <v>0</v>
      </c>
      <c r="L103" s="94" cm="1">
        <f t="array" ref="L103">SUM(SUMIFS('caseload data'!N:N,'caseload data'!$D:$D,"TPO",'caseload data'!$C:$C,'community caseload'!$B$99,'caseload data'!$B:$B,{"licence","community"}))</f>
        <v>0</v>
      </c>
      <c r="M103" s="94" cm="1">
        <f t="array" ref="M103">SUM(SUMIFS('caseload data'!O:O,'caseload data'!$D:$D,"TPO",'caseload data'!$C:$C,'community caseload'!$B$99,'caseload data'!$B:$B,{"licence","community"}))</f>
        <v>0</v>
      </c>
      <c r="N103" s="94" cm="1">
        <f t="array" ref="N103">SUM(SUMIFS('caseload data'!P:P,'caseload data'!$D:$D,"TPO",'caseload data'!$C:$C,'community caseload'!$B$99,'caseload data'!$B:$B,{"licence","community"}))</f>
        <v>0</v>
      </c>
      <c r="O103" s="94" cm="1">
        <f t="array" ref="O103">SUM(SUMIFS('caseload data'!Q:Q,'caseload data'!$D:$D,"TPO",'caseload data'!$C:$C,'community caseload'!$B$99,'caseload data'!$B:$B,{"licence","community"}))</f>
        <v>0</v>
      </c>
      <c r="P103" s="94" cm="1">
        <f t="array" ref="P103">SUM(SUMIFS('caseload data'!R:R,'caseload data'!$D:$D,"TPO",'caseload data'!$C:$C,'community caseload'!$B$99,'caseload data'!$B:$B,{"licence","community"}))</f>
        <v>0</v>
      </c>
      <c r="Q103" s="94" cm="1">
        <f t="array" ref="Q103">SUM(SUMIFS('caseload data'!S:S,'caseload data'!$D:$D,"TPO",'caseload data'!$C:$C,'community caseload'!$B$99,'caseload data'!$B:$B,{"licence","community"}))</f>
        <v>0</v>
      </c>
      <c r="R103" s="94" cm="1">
        <f t="array" ref="R103">SUM(SUMIFS('caseload data'!T:T,'caseload data'!$D:$D,"TPO",'caseload data'!$C:$C,'community caseload'!$B$99,'caseload data'!$B:$B,{"licence","community"}))</f>
        <v>0</v>
      </c>
    </row>
    <row r="104" spans="2:36" x14ac:dyDescent="0.15">
      <c r="B104" s="98" t="s">
        <v>1004</v>
      </c>
      <c r="C104" s="94" cm="1">
        <f t="array" ref="C104">SUM(SUMIFS('caseload data'!E:E,'caseload data'!$D:$D,"SPO",'caseload data'!$C:$C,'community caseload'!$B$99,'caseload data'!$B:$B,{"licence","community"}))</f>
        <v>0</v>
      </c>
      <c r="D104" s="94" cm="1">
        <f t="array" ref="D104">SUM(SUMIFS('caseload data'!F:F,'caseload data'!$D:$D,"SPO",'caseload data'!$C:$C,'community caseload'!$B$99,'caseload data'!$B:$B,{"licence","community"}))</f>
        <v>0</v>
      </c>
      <c r="E104" s="94" cm="1">
        <f t="array" ref="E104">SUM(SUMIFS('caseload data'!G:G,'caseload data'!$D:$D,"SPO",'caseload data'!$C:$C,'community caseload'!$B$99,'caseload data'!$B:$B,{"licence","community"}))</f>
        <v>0</v>
      </c>
      <c r="F104" s="94" cm="1">
        <f t="array" ref="F104">SUM(SUMIFS('caseload data'!H:H,'caseload data'!$D:$D,"SPO",'caseload data'!$C:$C,'community caseload'!$B$99,'caseload data'!$B:$B,{"licence","community"}))</f>
        <v>0</v>
      </c>
      <c r="G104" s="94" cm="1">
        <f t="array" ref="G104">SUM(SUMIFS('caseload data'!I:I,'caseload data'!$D:$D,"SPO",'caseload data'!$C:$C,'community caseload'!$B$99,'caseload data'!$B:$B,{"licence","community"}))</f>
        <v>0</v>
      </c>
      <c r="H104" s="94" cm="1">
        <f t="array" ref="H104">SUM(SUMIFS('caseload data'!J:J,'caseload data'!$D:$D,"SPO",'caseload data'!$C:$C,'community caseload'!$B$99,'caseload data'!$B:$B,{"licence","community"}))</f>
        <v>0</v>
      </c>
      <c r="I104" s="94" cm="1">
        <f t="array" ref="I104">SUM(SUMIFS('caseload data'!K:K,'caseload data'!$D:$D,"SPO",'caseload data'!$C:$C,'community caseload'!$B$99,'caseload data'!$B:$B,{"licence","community"}))</f>
        <v>0</v>
      </c>
      <c r="J104" s="94" cm="1">
        <f t="array" ref="J104">SUM(SUMIFS('caseload data'!L:L,'caseload data'!$D:$D,"SPO",'caseload data'!$C:$C,'community caseload'!$B$99,'caseload data'!$B:$B,{"licence","community"}))</f>
        <v>0</v>
      </c>
      <c r="K104" s="94" cm="1">
        <f t="array" ref="K104">SUM(SUMIFS('caseload data'!M:M,'caseload data'!$D:$D,"SPO",'caseload data'!$C:$C,'community caseload'!$B$99,'caseload data'!$B:$B,{"licence","community"}))</f>
        <v>0</v>
      </c>
      <c r="L104" s="94" cm="1">
        <f t="array" ref="L104">SUM(SUMIFS('caseload data'!N:N,'caseload data'!$D:$D,"SPO",'caseload data'!$C:$C,'community caseload'!$B$99,'caseload data'!$B:$B,{"licence","community"}))</f>
        <v>0</v>
      </c>
      <c r="M104" s="94" cm="1">
        <f t="array" ref="M104">SUM(SUMIFS('caseload data'!O:O,'caseload data'!$D:$D,"SPO",'caseload data'!$C:$C,'community caseload'!$B$99,'caseload data'!$B:$B,{"licence","community"}))</f>
        <v>0</v>
      </c>
      <c r="N104" s="94" cm="1">
        <f t="array" ref="N104">SUM(SUMIFS('caseload data'!P:P,'caseload data'!$D:$D,"SPO",'caseload data'!$C:$C,'community caseload'!$B$99,'caseload data'!$B:$B,{"licence","community"}))</f>
        <v>0</v>
      </c>
      <c r="O104" s="94" cm="1">
        <f t="array" ref="O104">SUM(SUMIFS('caseload data'!Q:Q,'caseload data'!$D:$D,"SPO",'caseload data'!$C:$C,'community caseload'!$B$99,'caseload data'!$B:$B,{"licence","community"}))</f>
        <v>0</v>
      </c>
      <c r="P104" s="94" cm="1">
        <f t="array" ref="P104">SUM(SUMIFS('caseload data'!R:R,'caseload data'!$D:$D,"SPO",'caseload data'!$C:$C,'community caseload'!$B$99,'caseload data'!$B:$B,{"licence","community"}))</f>
        <v>0</v>
      </c>
      <c r="Q104" s="94" cm="1">
        <f t="array" ref="Q104">SUM(SUMIFS('caseload data'!S:S,'caseload data'!$D:$D,"SPO",'caseload data'!$C:$C,'community caseload'!$B$99,'caseload data'!$B:$B,{"licence","community"}))</f>
        <v>0</v>
      </c>
      <c r="R104" s="94" cm="1">
        <f t="array" ref="R104">SUM(SUMIFS('caseload data'!T:T,'caseload data'!$D:$D,"SPO",'caseload data'!$C:$C,'community caseload'!$B$99,'caseload data'!$B:$B,{"licence","community"}))</f>
        <v>0</v>
      </c>
    </row>
  </sheetData>
  <mergeCells count="56">
    <mergeCell ref="C99:O99"/>
    <mergeCell ref="P99:R99"/>
    <mergeCell ref="U71:AG71"/>
    <mergeCell ref="AH71:AJ71"/>
    <mergeCell ref="U78:AG78"/>
    <mergeCell ref="AH78:AJ78"/>
    <mergeCell ref="U85:AG85"/>
    <mergeCell ref="AH85:AJ85"/>
    <mergeCell ref="U92:AG92"/>
    <mergeCell ref="AH92:AJ92"/>
    <mergeCell ref="C78:O78"/>
    <mergeCell ref="P78:R78"/>
    <mergeCell ref="C85:O85"/>
    <mergeCell ref="P85:R85"/>
    <mergeCell ref="C92:O92"/>
    <mergeCell ref="P92:R92"/>
    <mergeCell ref="C71:O71"/>
    <mergeCell ref="P71:R71"/>
    <mergeCell ref="C64:O64"/>
    <mergeCell ref="P64:R64"/>
    <mergeCell ref="U64:AG64"/>
    <mergeCell ref="AH64:AJ64"/>
    <mergeCell ref="C8:O8"/>
    <mergeCell ref="P8:R8"/>
    <mergeCell ref="U8:AG8"/>
    <mergeCell ref="AH8:AJ8"/>
    <mergeCell ref="C15:O15"/>
    <mergeCell ref="P15:R15"/>
    <mergeCell ref="U15:AG15"/>
    <mergeCell ref="AH15:AJ15"/>
    <mergeCell ref="C22:O22"/>
    <mergeCell ref="P22:R22"/>
    <mergeCell ref="U22:AG22"/>
    <mergeCell ref="AH22:AJ22"/>
    <mergeCell ref="C29:O29"/>
    <mergeCell ref="AH29:AJ29"/>
    <mergeCell ref="C36:O36"/>
    <mergeCell ref="P36:R36"/>
    <mergeCell ref="U36:AG36"/>
    <mergeCell ref="AH36:AJ36"/>
    <mergeCell ref="A1:AJ1"/>
    <mergeCell ref="A2:AJ2"/>
    <mergeCell ref="P29:R29"/>
    <mergeCell ref="U29:AG29"/>
    <mergeCell ref="C57:O57"/>
    <mergeCell ref="P57:R57"/>
    <mergeCell ref="U57:AG57"/>
    <mergeCell ref="AH57:AJ57"/>
    <mergeCell ref="C43:O43"/>
    <mergeCell ref="P43:R43"/>
    <mergeCell ref="U43:AG43"/>
    <mergeCell ref="AH43:AJ43"/>
    <mergeCell ref="C50:O50"/>
    <mergeCell ref="P50:R50"/>
    <mergeCell ref="U50:AG50"/>
    <mergeCell ref="AH50:AJ50"/>
  </mergeCells>
  <conditionalFormatting sqref="C11:C12">
    <cfRule type="cellIs" dxfId="1321" priority="647" operator="equal">
      <formula>0</formula>
    </cfRule>
    <cfRule type="cellIs" dxfId="1320" priority="648" operator="notEqual">
      <formula>0</formula>
    </cfRule>
  </conditionalFormatting>
  <conditionalFormatting sqref="D11:D12">
    <cfRule type="cellIs" dxfId="1319" priority="645" operator="equal">
      <formula>0</formula>
    </cfRule>
    <cfRule type="cellIs" dxfId="1318" priority="646" operator="notEqual">
      <formula>0</formula>
    </cfRule>
  </conditionalFormatting>
  <conditionalFormatting sqref="E11:E12">
    <cfRule type="cellIs" dxfId="1317" priority="643" operator="equal">
      <formula>0</formula>
    </cfRule>
    <cfRule type="cellIs" dxfId="1316" priority="644" operator="notEqual">
      <formula>0</formula>
    </cfRule>
  </conditionalFormatting>
  <conditionalFormatting sqref="F11:F12">
    <cfRule type="cellIs" dxfId="1315" priority="641" operator="equal">
      <formula>0</formula>
    </cfRule>
    <cfRule type="cellIs" dxfId="1314" priority="642" operator="notEqual">
      <formula>0</formula>
    </cfRule>
  </conditionalFormatting>
  <conditionalFormatting sqref="G11:G12">
    <cfRule type="cellIs" dxfId="1313" priority="639" operator="equal">
      <formula>0</formula>
    </cfRule>
    <cfRule type="cellIs" dxfId="1312" priority="640" operator="notEqual">
      <formula>0</formula>
    </cfRule>
  </conditionalFormatting>
  <conditionalFormatting sqref="H11:H12">
    <cfRule type="cellIs" dxfId="1311" priority="637" operator="equal">
      <formula>0</formula>
    </cfRule>
    <cfRule type="cellIs" dxfId="1310" priority="638" operator="notEqual">
      <formula>0</formula>
    </cfRule>
  </conditionalFormatting>
  <conditionalFormatting sqref="I11:I12">
    <cfRule type="cellIs" dxfId="1309" priority="635" operator="equal">
      <formula>0</formula>
    </cfRule>
    <cfRule type="cellIs" dxfId="1308" priority="636" operator="notEqual">
      <formula>0</formula>
    </cfRule>
  </conditionalFormatting>
  <conditionalFormatting sqref="J11:J12">
    <cfRule type="cellIs" dxfId="1307" priority="633" operator="equal">
      <formula>0</formula>
    </cfRule>
    <cfRule type="cellIs" dxfId="1306" priority="634" operator="notEqual">
      <formula>0</formula>
    </cfRule>
  </conditionalFormatting>
  <conditionalFormatting sqref="O10">
    <cfRule type="cellIs" dxfId="1305" priority="631" operator="equal">
      <formula>0</formula>
    </cfRule>
    <cfRule type="cellIs" dxfId="1304" priority="632" operator="notEqual">
      <formula>0</formula>
    </cfRule>
  </conditionalFormatting>
  <conditionalFormatting sqref="P10">
    <cfRule type="cellIs" dxfId="1303" priority="629" operator="equal">
      <formula>0</formula>
    </cfRule>
    <cfRule type="cellIs" dxfId="1302" priority="630" operator="notEqual">
      <formula>0</formula>
    </cfRule>
  </conditionalFormatting>
  <conditionalFormatting sqref="Q10">
    <cfRule type="cellIs" dxfId="1301" priority="627" operator="equal">
      <formula>0</formula>
    </cfRule>
    <cfRule type="cellIs" dxfId="1300" priority="628" operator="notEqual">
      <formula>0</formula>
    </cfRule>
  </conditionalFormatting>
  <conditionalFormatting sqref="R10">
    <cfRule type="cellIs" dxfId="1299" priority="625" operator="equal">
      <formula>0</formula>
    </cfRule>
    <cfRule type="cellIs" dxfId="1298" priority="626" operator="notEqual">
      <formula>0</formula>
    </cfRule>
  </conditionalFormatting>
  <conditionalFormatting sqref="C18:C19">
    <cfRule type="cellIs" dxfId="1297" priority="623" operator="equal">
      <formula>0</formula>
    </cfRule>
    <cfRule type="cellIs" dxfId="1296" priority="624" operator="notEqual">
      <formula>0</formula>
    </cfRule>
  </conditionalFormatting>
  <conditionalFormatting sqref="D18:D19">
    <cfRule type="cellIs" dxfId="1295" priority="621" operator="equal">
      <formula>0</formula>
    </cfRule>
    <cfRule type="cellIs" dxfId="1294" priority="622" operator="notEqual">
      <formula>0</formula>
    </cfRule>
  </conditionalFormatting>
  <conditionalFormatting sqref="E18:E19">
    <cfRule type="cellIs" dxfId="1293" priority="619" operator="equal">
      <formula>0</formula>
    </cfRule>
    <cfRule type="cellIs" dxfId="1292" priority="620" operator="notEqual">
      <formula>0</formula>
    </cfRule>
  </conditionalFormatting>
  <conditionalFormatting sqref="F18:F19">
    <cfRule type="cellIs" dxfId="1291" priority="617" operator="equal">
      <formula>0</formula>
    </cfRule>
    <cfRule type="cellIs" dxfId="1290" priority="618" operator="notEqual">
      <formula>0</formula>
    </cfRule>
  </conditionalFormatting>
  <conditionalFormatting sqref="G18:G19">
    <cfRule type="cellIs" dxfId="1289" priority="615" operator="equal">
      <formula>0</formula>
    </cfRule>
    <cfRule type="cellIs" dxfId="1288" priority="616" operator="notEqual">
      <formula>0</formula>
    </cfRule>
  </conditionalFormatting>
  <conditionalFormatting sqref="H18:H19">
    <cfRule type="cellIs" dxfId="1287" priority="613" operator="equal">
      <formula>0</formula>
    </cfRule>
    <cfRule type="cellIs" dxfId="1286" priority="614" operator="notEqual">
      <formula>0</formula>
    </cfRule>
  </conditionalFormatting>
  <conditionalFormatting sqref="I18:I19">
    <cfRule type="cellIs" dxfId="1285" priority="611" operator="equal">
      <formula>0</formula>
    </cfRule>
    <cfRule type="cellIs" dxfId="1284" priority="612" operator="notEqual">
      <formula>0</formula>
    </cfRule>
  </conditionalFormatting>
  <conditionalFormatting sqref="J18:J19">
    <cfRule type="cellIs" dxfId="1283" priority="609" operator="equal">
      <formula>0</formula>
    </cfRule>
    <cfRule type="cellIs" dxfId="1282" priority="610" operator="notEqual">
      <formula>0</formula>
    </cfRule>
  </conditionalFormatting>
  <conditionalFormatting sqref="O17">
    <cfRule type="cellIs" dxfId="1281" priority="607" operator="equal">
      <formula>0</formula>
    </cfRule>
    <cfRule type="cellIs" dxfId="1280" priority="608" operator="notEqual">
      <formula>0</formula>
    </cfRule>
  </conditionalFormatting>
  <conditionalFormatting sqref="P17">
    <cfRule type="cellIs" dxfId="1279" priority="605" operator="equal">
      <formula>0</formula>
    </cfRule>
    <cfRule type="cellIs" dxfId="1278" priority="606" operator="notEqual">
      <formula>0</formula>
    </cfRule>
  </conditionalFormatting>
  <conditionalFormatting sqref="Q17">
    <cfRule type="cellIs" dxfId="1277" priority="603" operator="equal">
      <formula>0</formula>
    </cfRule>
    <cfRule type="cellIs" dxfId="1276" priority="604" operator="notEqual">
      <formula>0</formula>
    </cfRule>
  </conditionalFormatting>
  <conditionalFormatting sqref="R17">
    <cfRule type="cellIs" dxfId="1275" priority="601" operator="equal">
      <formula>0</formula>
    </cfRule>
    <cfRule type="cellIs" dxfId="1274" priority="602" operator="notEqual">
      <formula>0</formula>
    </cfRule>
  </conditionalFormatting>
  <conditionalFormatting sqref="C25:C26">
    <cfRule type="cellIs" dxfId="1273" priority="599" operator="equal">
      <formula>0</formula>
    </cfRule>
    <cfRule type="cellIs" dxfId="1272" priority="600" operator="notEqual">
      <formula>0</formula>
    </cfRule>
  </conditionalFormatting>
  <conditionalFormatting sqref="D25:D26">
    <cfRule type="cellIs" dxfId="1271" priority="597" operator="equal">
      <formula>0</formula>
    </cfRule>
    <cfRule type="cellIs" dxfId="1270" priority="598" operator="notEqual">
      <formula>0</formula>
    </cfRule>
  </conditionalFormatting>
  <conditionalFormatting sqref="E25:E26">
    <cfRule type="cellIs" dxfId="1269" priority="595" operator="equal">
      <formula>0</formula>
    </cfRule>
    <cfRule type="cellIs" dxfId="1268" priority="596" operator="notEqual">
      <formula>0</formula>
    </cfRule>
  </conditionalFormatting>
  <conditionalFormatting sqref="F25:F26">
    <cfRule type="cellIs" dxfId="1267" priority="593" operator="equal">
      <formula>0</formula>
    </cfRule>
    <cfRule type="cellIs" dxfId="1266" priority="594" operator="notEqual">
      <formula>0</formula>
    </cfRule>
  </conditionalFormatting>
  <conditionalFormatting sqref="G25:G26">
    <cfRule type="cellIs" dxfId="1265" priority="591" operator="equal">
      <formula>0</formula>
    </cfRule>
    <cfRule type="cellIs" dxfId="1264" priority="592" operator="notEqual">
      <formula>0</formula>
    </cfRule>
  </conditionalFormatting>
  <conditionalFormatting sqref="H25:H26">
    <cfRule type="cellIs" dxfId="1263" priority="589" operator="equal">
      <formula>0</formula>
    </cfRule>
    <cfRule type="cellIs" dxfId="1262" priority="590" operator="notEqual">
      <formula>0</formula>
    </cfRule>
  </conditionalFormatting>
  <conditionalFormatting sqref="I25:I26">
    <cfRule type="cellIs" dxfId="1261" priority="587" operator="equal">
      <formula>0</formula>
    </cfRule>
    <cfRule type="cellIs" dxfId="1260" priority="588" operator="notEqual">
      <formula>0</formula>
    </cfRule>
  </conditionalFormatting>
  <conditionalFormatting sqref="J25:J26">
    <cfRule type="cellIs" dxfId="1259" priority="585" operator="equal">
      <formula>0</formula>
    </cfRule>
    <cfRule type="cellIs" dxfId="1258" priority="586" operator="notEqual">
      <formula>0</formula>
    </cfRule>
  </conditionalFormatting>
  <conditionalFormatting sqref="O24">
    <cfRule type="cellIs" dxfId="1257" priority="583" operator="equal">
      <formula>0</formula>
    </cfRule>
    <cfRule type="cellIs" dxfId="1256" priority="584" operator="notEqual">
      <formula>0</formula>
    </cfRule>
  </conditionalFormatting>
  <conditionalFormatting sqref="P24">
    <cfRule type="cellIs" dxfId="1255" priority="581" operator="equal">
      <formula>0</formula>
    </cfRule>
    <cfRule type="cellIs" dxfId="1254" priority="582" operator="notEqual">
      <formula>0</formula>
    </cfRule>
  </conditionalFormatting>
  <conditionalFormatting sqref="Q24">
    <cfRule type="cellIs" dxfId="1253" priority="579" operator="equal">
      <formula>0</formula>
    </cfRule>
    <cfRule type="cellIs" dxfId="1252" priority="580" operator="notEqual">
      <formula>0</formula>
    </cfRule>
  </conditionalFormatting>
  <conditionalFormatting sqref="R24">
    <cfRule type="cellIs" dxfId="1251" priority="577" operator="equal">
      <formula>0</formula>
    </cfRule>
    <cfRule type="cellIs" dxfId="1250" priority="578" operator="notEqual">
      <formula>0</formula>
    </cfRule>
  </conditionalFormatting>
  <conditionalFormatting sqref="C32:C33">
    <cfRule type="cellIs" dxfId="1249" priority="575" operator="equal">
      <formula>0</formula>
    </cfRule>
    <cfRule type="cellIs" dxfId="1248" priority="576" operator="notEqual">
      <formula>0</formula>
    </cfRule>
  </conditionalFormatting>
  <conditionalFormatting sqref="D32:D33">
    <cfRule type="cellIs" dxfId="1247" priority="573" operator="equal">
      <formula>0</formula>
    </cfRule>
    <cfRule type="cellIs" dxfId="1246" priority="574" operator="notEqual">
      <formula>0</formula>
    </cfRule>
  </conditionalFormatting>
  <conditionalFormatting sqref="E32:E33">
    <cfRule type="cellIs" dxfId="1245" priority="571" operator="equal">
      <formula>0</formula>
    </cfRule>
    <cfRule type="cellIs" dxfId="1244" priority="572" operator="notEqual">
      <formula>0</formula>
    </cfRule>
  </conditionalFormatting>
  <conditionalFormatting sqref="F32:F33">
    <cfRule type="cellIs" dxfId="1243" priority="569" operator="equal">
      <formula>0</formula>
    </cfRule>
    <cfRule type="cellIs" dxfId="1242" priority="570" operator="notEqual">
      <formula>0</formula>
    </cfRule>
  </conditionalFormatting>
  <conditionalFormatting sqref="G32:G33">
    <cfRule type="cellIs" dxfId="1241" priority="567" operator="equal">
      <formula>0</formula>
    </cfRule>
    <cfRule type="cellIs" dxfId="1240" priority="568" operator="notEqual">
      <formula>0</formula>
    </cfRule>
  </conditionalFormatting>
  <conditionalFormatting sqref="H32:H33">
    <cfRule type="cellIs" dxfId="1239" priority="565" operator="equal">
      <formula>0</formula>
    </cfRule>
    <cfRule type="cellIs" dxfId="1238" priority="566" operator="notEqual">
      <formula>0</formula>
    </cfRule>
  </conditionalFormatting>
  <conditionalFormatting sqref="I32:I33">
    <cfRule type="cellIs" dxfId="1237" priority="563" operator="equal">
      <formula>0</formula>
    </cfRule>
    <cfRule type="cellIs" dxfId="1236" priority="564" operator="notEqual">
      <formula>0</formula>
    </cfRule>
  </conditionalFormatting>
  <conditionalFormatting sqref="J32:J33">
    <cfRule type="cellIs" dxfId="1235" priority="561" operator="equal">
      <formula>0</formula>
    </cfRule>
    <cfRule type="cellIs" dxfId="1234" priority="562" operator="notEqual">
      <formula>0</formula>
    </cfRule>
  </conditionalFormatting>
  <conditionalFormatting sqref="O31">
    <cfRule type="cellIs" dxfId="1233" priority="559" operator="equal">
      <formula>0</formula>
    </cfRule>
    <cfRule type="cellIs" dxfId="1232" priority="560" operator="notEqual">
      <formula>0</formula>
    </cfRule>
  </conditionalFormatting>
  <conditionalFormatting sqref="P31">
    <cfRule type="cellIs" dxfId="1231" priority="557" operator="equal">
      <formula>0</formula>
    </cfRule>
    <cfRule type="cellIs" dxfId="1230" priority="558" operator="notEqual">
      <formula>0</formula>
    </cfRule>
  </conditionalFormatting>
  <conditionalFormatting sqref="Q31">
    <cfRule type="cellIs" dxfId="1229" priority="555" operator="equal">
      <formula>0</formula>
    </cfRule>
    <cfRule type="cellIs" dxfId="1228" priority="556" operator="notEqual">
      <formula>0</formula>
    </cfRule>
  </conditionalFormatting>
  <conditionalFormatting sqref="R31">
    <cfRule type="cellIs" dxfId="1227" priority="553" operator="equal">
      <formula>0</formula>
    </cfRule>
    <cfRule type="cellIs" dxfId="1226" priority="554" operator="notEqual">
      <formula>0</formula>
    </cfRule>
  </conditionalFormatting>
  <conditionalFormatting sqref="C39:C40">
    <cfRule type="cellIs" dxfId="1225" priority="551" operator="equal">
      <formula>0</formula>
    </cfRule>
    <cfRule type="cellIs" dxfId="1224" priority="552" operator="notEqual">
      <formula>0</formula>
    </cfRule>
  </conditionalFormatting>
  <conditionalFormatting sqref="D39:D40">
    <cfRule type="cellIs" dxfId="1223" priority="549" operator="equal">
      <formula>0</formula>
    </cfRule>
    <cfRule type="cellIs" dxfId="1222" priority="550" operator="notEqual">
      <formula>0</formula>
    </cfRule>
  </conditionalFormatting>
  <conditionalFormatting sqref="E39:E40">
    <cfRule type="cellIs" dxfId="1221" priority="547" operator="equal">
      <formula>0</formula>
    </cfRule>
    <cfRule type="cellIs" dxfId="1220" priority="548" operator="notEqual">
      <formula>0</formula>
    </cfRule>
  </conditionalFormatting>
  <conditionalFormatting sqref="F39:F40">
    <cfRule type="cellIs" dxfId="1219" priority="545" operator="equal">
      <formula>0</formula>
    </cfRule>
    <cfRule type="cellIs" dxfId="1218" priority="546" operator="notEqual">
      <formula>0</formula>
    </cfRule>
  </conditionalFormatting>
  <conditionalFormatting sqref="G39:G40">
    <cfRule type="cellIs" dxfId="1217" priority="543" operator="equal">
      <formula>0</formula>
    </cfRule>
    <cfRule type="cellIs" dxfId="1216" priority="544" operator="notEqual">
      <formula>0</formula>
    </cfRule>
  </conditionalFormatting>
  <conditionalFormatting sqref="H39:H40">
    <cfRule type="cellIs" dxfId="1215" priority="541" operator="equal">
      <formula>0</formula>
    </cfRule>
    <cfRule type="cellIs" dxfId="1214" priority="542" operator="notEqual">
      <formula>0</formula>
    </cfRule>
  </conditionalFormatting>
  <conditionalFormatting sqref="I39:I40">
    <cfRule type="cellIs" dxfId="1213" priority="539" operator="equal">
      <formula>0</formula>
    </cfRule>
    <cfRule type="cellIs" dxfId="1212" priority="540" operator="notEqual">
      <formula>0</formula>
    </cfRule>
  </conditionalFormatting>
  <conditionalFormatting sqref="J39:J40">
    <cfRule type="cellIs" dxfId="1211" priority="537" operator="equal">
      <formula>0</formula>
    </cfRule>
    <cfRule type="cellIs" dxfId="1210" priority="538" operator="notEqual">
      <formula>0</formula>
    </cfRule>
  </conditionalFormatting>
  <conditionalFormatting sqref="O38">
    <cfRule type="cellIs" dxfId="1209" priority="535" operator="equal">
      <formula>0</formula>
    </cfRule>
    <cfRule type="cellIs" dxfId="1208" priority="536" operator="notEqual">
      <formula>0</formula>
    </cfRule>
  </conditionalFormatting>
  <conditionalFormatting sqref="P38">
    <cfRule type="cellIs" dxfId="1207" priority="533" operator="equal">
      <formula>0</formula>
    </cfRule>
    <cfRule type="cellIs" dxfId="1206" priority="534" operator="notEqual">
      <formula>0</formula>
    </cfRule>
  </conditionalFormatting>
  <conditionalFormatting sqref="Q38">
    <cfRule type="cellIs" dxfId="1205" priority="531" operator="equal">
      <formula>0</formula>
    </cfRule>
    <cfRule type="cellIs" dxfId="1204" priority="532" operator="notEqual">
      <formula>0</formula>
    </cfRule>
  </conditionalFormatting>
  <conditionalFormatting sqref="R38">
    <cfRule type="cellIs" dxfId="1203" priority="529" operator="equal">
      <formula>0</formula>
    </cfRule>
    <cfRule type="cellIs" dxfId="1202" priority="530" operator="notEqual">
      <formula>0</formula>
    </cfRule>
  </conditionalFormatting>
  <conditionalFormatting sqref="C46:C47">
    <cfRule type="cellIs" dxfId="1201" priority="527" operator="equal">
      <formula>0</formula>
    </cfRule>
    <cfRule type="cellIs" dxfId="1200" priority="528" operator="notEqual">
      <formula>0</formula>
    </cfRule>
  </conditionalFormatting>
  <conditionalFormatting sqref="D46:D47">
    <cfRule type="cellIs" dxfId="1199" priority="525" operator="equal">
      <formula>0</formula>
    </cfRule>
    <cfRule type="cellIs" dxfId="1198" priority="526" operator="notEqual">
      <formula>0</formula>
    </cfRule>
  </conditionalFormatting>
  <conditionalFormatting sqref="E46:E47">
    <cfRule type="cellIs" dxfId="1197" priority="523" operator="equal">
      <formula>0</formula>
    </cfRule>
    <cfRule type="cellIs" dxfId="1196" priority="524" operator="notEqual">
      <formula>0</formula>
    </cfRule>
  </conditionalFormatting>
  <conditionalFormatting sqref="F46:F47">
    <cfRule type="cellIs" dxfId="1195" priority="521" operator="equal">
      <formula>0</formula>
    </cfRule>
    <cfRule type="cellIs" dxfId="1194" priority="522" operator="notEqual">
      <formula>0</formula>
    </cfRule>
  </conditionalFormatting>
  <conditionalFormatting sqref="G46:G47">
    <cfRule type="cellIs" dxfId="1193" priority="519" operator="equal">
      <formula>0</formula>
    </cfRule>
    <cfRule type="cellIs" dxfId="1192" priority="520" operator="notEqual">
      <formula>0</formula>
    </cfRule>
  </conditionalFormatting>
  <conditionalFormatting sqref="H46:H47">
    <cfRule type="cellIs" dxfId="1191" priority="517" operator="equal">
      <formula>0</formula>
    </cfRule>
    <cfRule type="cellIs" dxfId="1190" priority="518" operator="notEqual">
      <formula>0</formula>
    </cfRule>
  </conditionalFormatting>
  <conditionalFormatting sqref="I46:I47">
    <cfRule type="cellIs" dxfId="1189" priority="515" operator="equal">
      <formula>0</formula>
    </cfRule>
    <cfRule type="cellIs" dxfId="1188" priority="516" operator="notEqual">
      <formula>0</formula>
    </cfRule>
  </conditionalFormatting>
  <conditionalFormatting sqref="J46:J47">
    <cfRule type="cellIs" dxfId="1187" priority="513" operator="equal">
      <formula>0</formula>
    </cfRule>
    <cfRule type="cellIs" dxfId="1186" priority="514" operator="notEqual">
      <formula>0</formula>
    </cfRule>
  </conditionalFormatting>
  <conditionalFormatting sqref="O45">
    <cfRule type="cellIs" dxfId="1185" priority="511" operator="equal">
      <formula>0</formula>
    </cfRule>
    <cfRule type="cellIs" dxfId="1184" priority="512" operator="notEqual">
      <formula>0</formula>
    </cfRule>
  </conditionalFormatting>
  <conditionalFormatting sqref="P45">
    <cfRule type="cellIs" dxfId="1183" priority="509" operator="equal">
      <formula>0</formula>
    </cfRule>
    <cfRule type="cellIs" dxfId="1182" priority="510" operator="notEqual">
      <formula>0</formula>
    </cfRule>
  </conditionalFormatting>
  <conditionalFormatting sqref="Q45">
    <cfRule type="cellIs" dxfId="1181" priority="507" operator="equal">
      <formula>0</formula>
    </cfRule>
    <cfRule type="cellIs" dxfId="1180" priority="508" operator="notEqual">
      <formula>0</formula>
    </cfRule>
  </conditionalFormatting>
  <conditionalFormatting sqref="R45">
    <cfRule type="cellIs" dxfId="1179" priority="505" operator="equal">
      <formula>0</formula>
    </cfRule>
    <cfRule type="cellIs" dxfId="1178" priority="506" operator="notEqual">
      <formula>0</formula>
    </cfRule>
  </conditionalFormatting>
  <conditionalFormatting sqref="C53:C54">
    <cfRule type="cellIs" dxfId="1177" priority="503" operator="equal">
      <formula>0</formula>
    </cfRule>
    <cfRule type="cellIs" dxfId="1176" priority="504" operator="notEqual">
      <formula>0</formula>
    </cfRule>
  </conditionalFormatting>
  <conditionalFormatting sqref="D53:D54">
    <cfRule type="cellIs" dxfId="1175" priority="501" operator="equal">
      <formula>0</formula>
    </cfRule>
    <cfRule type="cellIs" dxfId="1174" priority="502" operator="notEqual">
      <formula>0</formula>
    </cfRule>
  </conditionalFormatting>
  <conditionalFormatting sqref="E53:E54">
    <cfRule type="cellIs" dxfId="1173" priority="499" operator="equal">
      <formula>0</formula>
    </cfRule>
    <cfRule type="cellIs" dxfId="1172" priority="500" operator="notEqual">
      <formula>0</formula>
    </cfRule>
  </conditionalFormatting>
  <conditionalFormatting sqref="F53:F54">
    <cfRule type="cellIs" dxfId="1171" priority="497" operator="equal">
      <formula>0</formula>
    </cfRule>
    <cfRule type="cellIs" dxfId="1170" priority="498" operator="notEqual">
      <formula>0</formula>
    </cfRule>
  </conditionalFormatting>
  <conditionalFormatting sqref="G53:G54">
    <cfRule type="cellIs" dxfId="1169" priority="495" operator="equal">
      <formula>0</formula>
    </cfRule>
    <cfRule type="cellIs" dxfId="1168" priority="496" operator="notEqual">
      <formula>0</formula>
    </cfRule>
  </conditionalFormatting>
  <conditionalFormatting sqref="H53:H54">
    <cfRule type="cellIs" dxfId="1167" priority="493" operator="equal">
      <formula>0</formula>
    </cfRule>
    <cfRule type="cellIs" dxfId="1166" priority="494" operator="notEqual">
      <formula>0</formula>
    </cfRule>
  </conditionalFormatting>
  <conditionalFormatting sqref="I53:I54">
    <cfRule type="cellIs" dxfId="1165" priority="491" operator="equal">
      <formula>0</formula>
    </cfRule>
    <cfRule type="cellIs" dxfId="1164" priority="492" operator="notEqual">
      <formula>0</formula>
    </cfRule>
  </conditionalFormatting>
  <conditionalFormatting sqref="J53:J54">
    <cfRule type="cellIs" dxfId="1163" priority="489" operator="equal">
      <formula>0</formula>
    </cfRule>
    <cfRule type="cellIs" dxfId="1162" priority="490" operator="notEqual">
      <formula>0</formula>
    </cfRule>
  </conditionalFormatting>
  <conditionalFormatting sqref="O52">
    <cfRule type="cellIs" dxfId="1161" priority="487" operator="equal">
      <formula>0</formula>
    </cfRule>
    <cfRule type="cellIs" dxfId="1160" priority="488" operator="notEqual">
      <formula>0</formula>
    </cfRule>
  </conditionalFormatting>
  <conditionalFormatting sqref="P52">
    <cfRule type="cellIs" dxfId="1159" priority="485" operator="equal">
      <formula>0</formula>
    </cfRule>
    <cfRule type="cellIs" dxfId="1158" priority="486" operator="notEqual">
      <formula>0</formula>
    </cfRule>
  </conditionalFormatting>
  <conditionalFormatting sqref="Q52">
    <cfRule type="cellIs" dxfId="1157" priority="483" operator="equal">
      <formula>0</formula>
    </cfRule>
    <cfRule type="cellIs" dxfId="1156" priority="484" operator="notEqual">
      <formula>0</formula>
    </cfRule>
  </conditionalFormatting>
  <conditionalFormatting sqref="R52">
    <cfRule type="cellIs" dxfId="1155" priority="481" operator="equal">
      <formula>0</formula>
    </cfRule>
    <cfRule type="cellIs" dxfId="1154" priority="482" operator="notEqual">
      <formula>0</formula>
    </cfRule>
  </conditionalFormatting>
  <conditionalFormatting sqref="C60:C61">
    <cfRule type="cellIs" dxfId="1153" priority="479" operator="equal">
      <formula>0</formula>
    </cfRule>
    <cfRule type="cellIs" dxfId="1152" priority="480" operator="notEqual">
      <formula>0</formula>
    </cfRule>
  </conditionalFormatting>
  <conditionalFormatting sqref="D60:D61">
    <cfRule type="cellIs" dxfId="1151" priority="477" operator="equal">
      <formula>0</formula>
    </cfRule>
    <cfRule type="cellIs" dxfId="1150" priority="478" operator="notEqual">
      <formula>0</formula>
    </cfRule>
  </conditionalFormatting>
  <conditionalFormatting sqref="E60:E61">
    <cfRule type="cellIs" dxfId="1149" priority="475" operator="equal">
      <formula>0</formula>
    </cfRule>
    <cfRule type="cellIs" dxfId="1148" priority="476" operator="notEqual">
      <formula>0</formula>
    </cfRule>
  </conditionalFormatting>
  <conditionalFormatting sqref="F60:F61">
    <cfRule type="cellIs" dxfId="1147" priority="473" operator="equal">
      <formula>0</formula>
    </cfRule>
    <cfRule type="cellIs" dxfId="1146" priority="474" operator="notEqual">
      <formula>0</formula>
    </cfRule>
  </conditionalFormatting>
  <conditionalFormatting sqref="G60:G61">
    <cfRule type="cellIs" dxfId="1145" priority="471" operator="equal">
      <formula>0</formula>
    </cfRule>
    <cfRule type="cellIs" dxfId="1144" priority="472" operator="notEqual">
      <formula>0</formula>
    </cfRule>
  </conditionalFormatting>
  <conditionalFormatting sqref="H60:H61">
    <cfRule type="cellIs" dxfId="1143" priority="469" operator="equal">
      <formula>0</formula>
    </cfRule>
    <cfRule type="cellIs" dxfId="1142" priority="470" operator="notEqual">
      <formula>0</formula>
    </cfRule>
  </conditionalFormatting>
  <conditionalFormatting sqref="I60:I61">
    <cfRule type="cellIs" dxfId="1141" priority="467" operator="equal">
      <formula>0</formula>
    </cfRule>
    <cfRule type="cellIs" dxfId="1140" priority="468" operator="notEqual">
      <formula>0</formula>
    </cfRule>
  </conditionalFormatting>
  <conditionalFormatting sqref="J60:J61">
    <cfRule type="cellIs" dxfId="1139" priority="465" operator="equal">
      <formula>0</formula>
    </cfRule>
    <cfRule type="cellIs" dxfId="1138" priority="466" operator="notEqual">
      <formula>0</formula>
    </cfRule>
  </conditionalFormatting>
  <conditionalFormatting sqref="O59">
    <cfRule type="cellIs" dxfId="1137" priority="463" operator="equal">
      <formula>0</formula>
    </cfRule>
    <cfRule type="cellIs" dxfId="1136" priority="464" operator="notEqual">
      <formula>0</formula>
    </cfRule>
  </conditionalFormatting>
  <conditionalFormatting sqref="P59">
    <cfRule type="cellIs" dxfId="1135" priority="461" operator="equal">
      <formula>0</formula>
    </cfRule>
    <cfRule type="cellIs" dxfId="1134" priority="462" operator="notEqual">
      <formula>0</formula>
    </cfRule>
  </conditionalFormatting>
  <conditionalFormatting sqref="Q59">
    <cfRule type="cellIs" dxfId="1133" priority="459" operator="equal">
      <formula>0</formula>
    </cfRule>
    <cfRule type="cellIs" dxfId="1132" priority="460" operator="notEqual">
      <formula>0</formula>
    </cfRule>
  </conditionalFormatting>
  <conditionalFormatting sqref="R59">
    <cfRule type="cellIs" dxfId="1131" priority="457" operator="equal">
      <formula>0</formula>
    </cfRule>
    <cfRule type="cellIs" dxfId="1130" priority="458" operator="notEqual">
      <formula>0</formula>
    </cfRule>
  </conditionalFormatting>
  <conditionalFormatting sqref="C67:C68">
    <cfRule type="cellIs" dxfId="1129" priority="455" operator="equal">
      <formula>0</formula>
    </cfRule>
    <cfRule type="cellIs" dxfId="1128" priority="456" operator="notEqual">
      <formula>0</formula>
    </cfRule>
  </conditionalFormatting>
  <conditionalFormatting sqref="D67:D68">
    <cfRule type="cellIs" dxfId="1127" priority="453" operator="equal">
      <formula>0</formula>
    </cfRule>
    <cfRule type="cellIs" dxfId="1126" priority="454" operator="notEqual">
      <formula>0</formula>
    </cfRule>
  </conditionalFormatting>
  <conditionalFormatting sqref="E67:E68">
    <cfRule type="cellIs" dxfId="1125" priority="451" operator="equal">
      <formula>0</formula>
    </cfRule>
    <cfRule type="cellIs" dxfId="1124" priority="452" operator="notEqual">
      <formula>0</formula>
    </cfRule>
  </conditionalFormatting>
  <conditionalFormatting sqref="F67:F68">
    <cfRule type="cellIs" dxfId="1123" priority="449" operator="equal">
      <formula>0</formula>
    </cfRule>
    <cfRule type="cellIs" dxfId="1122" priority="450" operator="notEqual">
      <formula>0</formula>
    </cfRule>
  </conditionalFormatting>
  <conditionalFormatting sqref="G67:G68">
    <cfRule type="cellIs" dxfId="1121" priority="447" operator="equal">
      <formula>0</formula>
    </cfRule>
    <cfRule type="cellIs" dxfId="1120" priority="448" operator="notEqual">
      <formula>0</formula>
    </cfRule>
  </conditionalFormatting>
  <conditionalFormatting sqref="H67:H68">
    <cfRule type="cellIs" dxfId="1119" priority="445" operator="equal">
      <formula>0</formula>
    </cfRule>
    <cfRule type="cellIs" dxfId="1118" priority="446" operator="notEqual">
      <formula>0</formula>
    </cfRule>
  </conditionalFormatting>
  <conditionalFormatting sqref="I67:I68">
    <cfRule type="cellIs" dxfId="1117" priority="443" operator="equal">
      <formula>0</formula>
    </cfRule>
    <cfRule type="cellIs" dxfId="1116" priority="444" operator="notEqual">
      <formula>0</formula>
    </cfRule>
  </conditionalFormatting>
  <conditionalFormatting sqref="J67:J68">
    <cfRule type="cellIs" dxfId="1115" priority="441" operator="equal">
      <formula>0</formula>
    </cfRule>
    <cfRule type="cellIs" dxfId="1114" priority="442" operator="notEqual">
      <formula>0</formula>
    </cfRule>
  </conditionalFormatting>
  <conditionalFormatting sqref="O66">
    <cfRule type="cellIs" dxfId="1113" priority="439" operator="equal">
      <formula>0</formula>
    </cfRule>
    <cfRule type="cellIs" dxfId="1112" priority="440" operator="notEqual">
      <formula>0</formula>
    </cfRule>
  </conditionalFormatting>
  <conditionalFormatting sqref="P66">
    <cfRule type="cellIs" dxfId="1111" priority="437" operator="equal">
      <formula>0</formula>
    </cfRule>
    <cfRule type="cellIs" dxfId="1110" priority="438" operator="notEqual">
      <formula>0</formula>
    </cfRule>
  </conditionalFormatting>
  <conditionalFormatting sqref="Q66">
    <cfRule type="cellIs" dxfId="1109" priority="435" operator="equal">
      <formula>0</formula>
    </cfRule>
    <cfRule type="cellIs" dxfId="1108" priority="436" operator="notEqual">
      <formula>0</formula>
    </cfRule>
  </conditionalFormatting>
  <conditionalFormatting sqref="R66">
    <cfRule type="cellIs" dxfId="1107" priority="433" operator="equal">
      <formula>0</formula>
    </cfRule>
    <cfRule type="cellIs" dxfId="1106" priority="434" operator="notEqual">
      <formula>0</formula>
    </cfRule>
  </conditionalFormatting>
  <conditionalFormatting sqref="C74:C75">
    <cfRule type="cellIs" dxfId="1105" priority="431" operator="equal">
      <formula>0</formula>
    </cfRule>
    <cfRule type="cellIs" dxfId="1104" priority="432" operator="notEqual">
      <formula>0</formula>
    </cfRule>
  </conditionalFormatting>
  <conditionalFormatting sqref="D74:D75">
    <cfRule type="cellIs" dxfId="1103" priority="429" operator="equal">
      <formula>0</formula>
    </cfRule>
    <cfRule type="cellIs" dxfId="1102" priority="430" operator="notEqual">
      <formula>0</formula>
    </cfRule>
  </conditionalFormatting>
  <conditionalFormatting sqref="E74:E75">
    <cfRule type="cellIs" dxfId="1101" priority="427" operator="equal">
      <formula>0</formula>
    </cfRule>
    <cfRule type="cellIs" dxfId="1100" priority="428" operator="notEqual">
      <formula>0</formula>
    </cfRule>
  </conditionalFormatting>
  <conditionalFormatting sqref="F74:F75">
    <cfRule type="cellIs" dxfId="1099" priority="425" operator="equal">
      <formula>0</formula>
    </cfRule>
    <cfRule type="cellIs" dxfId="1098" priority="426" operator="notEqual">
      <formula>0</formula>
    </cfRule>
  </conditionalFormatting>
  <conditionalFormatting sqref="G74:G75">
    <cfRule type="cellIs" dxfId="1097" priority="423" operator="equal">
      <formula>0</formula>
    </cfRule>
    <cfRule type="cellIs" dxfId="1096" priority="424" operator="notEqual">
      <formula>0</formula>
    </cfRule>
  </conditionalFormatting>
  <conditionalFormatting sqref="H74:H75">
    <cfRule type="cellIs" dxfId="1095" priority="421" operator="equal">
      <formula>0</formula>
    </cfRule>
    <cfRule type="cellIs" dxfId="1094" priority="422" operator="notEqual">
      <formula>0</formula>
    </cfRule>
  </conditionalFormatting>
  <conditionalFormatting sqref="I74:I75">
    <cfRule type="cellIs" dxfId="1093" priority="419" operator="equal">
      <formula>0</formula>
    </cfRule>
    <cfRule type="cellIs" dxfId="1092" priority="420" operator="notEqual">
      <formula>0</formula>
    </cfRule>
  </conditionalFormatting>
  <conditionalFormatting sqref="J74:J75">
    <cfRule type="cellIs" dxfId="1091" priority="417" operator="equal">
      <formula>0</formula>
    </cfRule>
    <cfRule type="cellIs" dxfId="1090" priority="418" operator="notEqual">
      <formula>0</formula>
    </cfRule>
  </conditionalFormatting>
  <conditionalFormatting sqref="O73">
    <cfRule type="cellIs" dxfId="1089" priority="415" operator="equal">
      <formula>0</formula>
    </cfRule>
    <cfRule type="cellIs" dxfId="1088" priority="416" operator="notEqual">
      <formula>0</formula>
    </cfRule>
  </conditionalFormatting>
  <conditionalFormatting sqref="P73">
    <cfRule type="cellIs" dxfId="1087" priority="413" operator="equal">
      <formula>0</formula>
    </cfRule>
    <cfRule type="cellIs" dxfId="1086" priority="414" operator="notEqual">
      <formula>0</formula>
    </cfRule>
  </conditionalFormatting>
  <conditionalFormatting sqref="Q73">
    <cfRule type="cellIs" dxfId="1085" priority="411" operator="equal">
      <formula>0</formula>
    </cfRule>
    <cfRule type="cellIs" dxfId="1084" priority="412" operator="notEqual">
      <formula>0</formula>
    </cfRule>
  </conditionalFormatting>
  <conditionalFormatting sqref="R73">
    <cfRule type="cellIs" dxfId="1083" priority="409" operator="equal">
      <formula>0</formula>
    </cfRule>
    <cfRule type="cellIs" dxfId="1082" priority="410" operator="notEqual">
      <formula>0</formula>
    </cfRule>
  </conditionalFormatting>
  <conditionalFormatting sqref="U67:U68">
    <cfRule type="cellIs" dxfId="1081" priority="407" operator="equal">
      <formula>0</formula>
    </cfRule>
    <cfRule type="cellIs" dxfId="1080" priority="408" operator="notEqual">
      <formula>0</formula>
    </cfRule>
  </conditionalFormatting>
  <conditionalFormatting sqref="V67:V68">
    <cfRule type="cellIs" dxfId="1079" priority="405" operator="equal">
      <formula>0</formula>
    </cfRule>
    <cfRule type="cellIs" dxfId="1078" priority="406" operator="notEqual">
      <formula>0</formula>
    </cfRule>
  </conditionalFormatting>
  <conditionalFormatting sqref="W67:W68">
    <cfRule type="cellIs" dxfId="1077" priority="403" operator="equal">
      <formula>0</formula>
    </cfRule>
    <cfRule type="cellIs" dxfId="1076" priority="404" operator="notEqual">
      <formula>0</formula>
    </cfRule>
  </conditionalFormatting>
  <conditionalFormatting sqref="X67:X68">
    <cfRule type="cellIs" dxfId="1075" priority="401" operator="equal">
      <formula>0</formula>
    </cfRule>
    <cfRule type="cellIs" dxfId="1074" priority="402" operator="notEqual">
      <formula>0</formula>
    </cfRule>
  </conditionalFormatting>
  <conditionalFormatting sqref="Y67:Y68">
    <cfRule type="cellIs" dxfId="1073" priority="399" operator="equal">
      <formula>0</formula>
    </cfRule>
    <cfRule type="cellIs" dxfId="1072" priority="400" operator="notEqual">
      <formula>0</formula>
    </cfRule>
  </conditionalFormatting>
  <conditionalFormatting sqref="Z67:Z68">
    <cfRule type="cellIs" dxfId="1071" priority="397" operator="equal">
      <formula>0</formula>
    </cfRule>
    <cfRule type="cellIs" dxfId="1070" priority="398" operator="notEqual">
      <formula>0</formula>
    </cfRule>
  </conditionalFormatting>
  <conditionalFormatting sqref="AA67:AA68">
    <cfRule type="cellIs" dxfId="1069" priority="395" operator="equal">
      <formula>0</formula>
    </cfRule>
    <cfRule type="cellIs" dxfId="1068" priority="396" operator="notEqual">
      <formula>0</formula>
    </cfRule>
  </conditionalFormatting>
  <conditionalFormatting sqref="AB67:AB68">
    <cfRule type="cellIs" dxfId="1067" priority="393" operator="equal">
      <formula>0</formula>
    </cfRule>
    <cfRule type="cellIs" dxfId="1066" priority="394" operator="notEqual">
      <formula>0</formula>
    </cfRule>
  </conditionalFormatting>
  <conditionalFormatting sqref="AG66">
    <cfRule type="cellIs" dxfId="1065" priority="391" operator="equal">
      <formula>0</formula>
    </cfRule>
    <cfRule type="cellIs" dxfId="1064" priority="392" operator="notEqual">
      <formula>0</formula>
    </cfRule>
  </conditionalFormatting>
  <conditionalFormatting sqref="AH66">
    <cfRule type="cellIs" dxfId="1063" priority="389" operator="equal">
      <formula>0</formula>
    </cfRule>
    <cfRule type="cellIs" dxfId="1062" priority="390" operator="notEqual">
      <formula>0</formula>
    </cfRule>
  </conditionalFormatting>
  <conditionalFormatting sqref="AI66">
    <cfRule type="cellIs" dxfId="1061" priority="387" operator="equal">
      <formula>0</formula>
    </cfRule>
    <cfRule type="cellIs" dxfId="1060" priority="388" operator="notEqual">
      <formula>0</formula>
    </cfRule>
  </conditionalFormatting>
  <conditionalFormatting sqref="AJ66">
    <cfRule type="cellIs" dxfId="1059" priority="385" operator="equal">
      <formula>0</formula>
    </cfRule>
    <cfRule type="cellIs" dxfId="1058" priority="386" operator="notEqual">
      <formula>0</formula>
    </cfRule>
  </conditionalFormatting>
  <conditionalFormatting sqref="U60:U61">
    <cfRule type="cellIs" dxfId="1057" priority="383" operator="equal">
      <formula>0</formula>
    </cfRule>
    <cfRule type="cellIs" dxfId="1056" priority="384" operator="notEqual">
      <formula>0</formula>
    </cfRule>
  </conditionalFormatting>
  <conditionalFormatting sqref="V60:V61">
    <cfRule type="cellIs" dxfId="1055" priority="381" operator="equal">
      <formula>0</formula>
    </cfRule>
    <cfRule type="cellIs" dxfId="1054" priority="382" operator="notEqual">
      <formula>0</formula>
    </cfRule>
  </conditionalFormatting>
  <conditionalFormatting sqref="W60:W61">
    <cfRule type="cellIs" dxfId="1053" priority="379" operator="equal">
      <formula>0</formula>
    </cfRule>
    <cfRule type="cellIs" dxfId="1052" priority="380" operator="notEqual">
      <formula>0</formula>
    </cfRule>
  </conditionalFormatting>
  <conditionalFormatting sqref="X60:X61">
    <cfRule type="cellIs" dxfId="1051" priority="377" operator="equal">
      <formula>0</formula>
    </cfRule>
    <cfRule type="cellIs" dxfId="1050" priority="378" operator="notEqual">
      <formula>0</formula>
    </cfRule>
  </conditionalFormatting>
  <conditionalFormatting sqref="Y60:Y61">
    <cfRule type="cellIs" dxfId="1049" priority="375" operator="equal">
      <formula>0</formula>
    </cfRule>
    <cfRule type="cellIs" dxfId="1048" priority="376" operator="notEqual">
      <formula>0</formula>
    </cfRule>
  </conditionalFormatting>
  <conditionalFormatting sqref="Z60:Z61">
    <cfRule type="cellIs" dxfId="1047" priority="373" operator="equal">
      <formula>0</formula>
    </cfRule>
    <cfRule type="cellIs" dxfId="1046" priority="374" operator="notEqual">
      <formula>0</formula>
    </cfRule>
  </conditionalFormatting>
  <conditionalFormatting sqref="AA60:AA61">
    <cfRule type="cellIs" dxfId="1045" priority="371" operator="equal">
      <formula>0</formula>
    </cfRule>
    <cfRule type="cellIs" dxfId="1044" priority="372" operator="notEqual">
      <formula>0</formula>
    </cfRule>
  </conditionalFormatting>
  <conditionalFormatting sqref="AB60:AB61">
    <cfRule type="cellIs" dxfId="1043" priority="369" operator="equal">
      <formula>0</formula>
    </cfRule>
    <cfRule type="cellIs" dxfId="1042" priority="370" operator="notEqual">
      <formula>0</formula>
    </cfRule>
  </conditionalFormatting>
  <conditionalFormatting sqref="AG59">
    <cfRule type="cellIs" dxfId="1041" priority="367" operator="equal">
      <formula>0</formula>
    </cfRule>
    <cfRule type="cellIs" dxfId="1040" priority="368" operator="notEqual">
      <formula>0</formula>
    </cfRule>
  </conditionalFormatting>
  <conditionalFormatting sqref="AH59">
    <cfRule type="cellIs" dxfId="1039" priority="365" operator="equal">
      <formula>0</formula>
    </cfRule>
    <cfRule type="cellIs" dxfId="1038" priority="366" operator="notEqual">
      <formula>0</formula>
    </cfRule>
  </conditionalFormatting>
  <conditionalFormatting sqref="AI59">
    <cfRule type="cellIs" dxfId="1037" priority="363" operator="equal">
      <formula>0</formula>
    </cfRule>
    <cfRule type="cellIs" dxfId="1036" priority="364" operator="notEqual">
      <formula>0</formula>
    </cfRule>
  </conditionalFormatting>
  <conditionalFormatting sqref="AJ59">
    <cfRule type="cellIs" dxfId="1035" priority="361" operator="equal">
      <formula>0</formula>
    </cfRule>
    <cfRule type="cellIs" dxfId="1034" priority="362" operator="notEqual">
      <formula>0</formula>
    </cfRule>
  </conditionalFormatting>
  <conditionalFormatting sqref="U53:U54">
    <cfRule type="cellIs" dxfId="1033" priority="359" operator="equal">
      <formula>0</formula>
    </cfRule>
    <cfRule type="cellIs" dxfId="1032" priority="360" operator="notEqual">
      <formula>0</formula>
    </cfRule>
  </conditionalFormatting>
  <conditionalFormatting sqref="V53:V54">
    <cfRule type="cellIs" dxfId="1031" priority="357" operator="equal">
      <formula>0</formula>
    </cfRule>
    <cfRule type="cellIs" dxfId="1030" priority="358" operator="notEqual">
      <formula>0</formula>
    </cfRule>
  </conditionalFormatting>
  <conditionalFormatting sqref="W53:W54">
    <cfRule type="cellIs" dxfId="1029" priority="355" operator="equal">
      <formula>0</formula>
    </cfRule>
    <cfRule type="cellIs" dxfId="1028" priority="356" operator="notEqual">
      <formula>0</formula>
    </cfRule>
  </conditionalFormatting>
  <conditionalFormatting sqref="X53:X54">
    <cfRule type="cellIs" dxfId="1027" priority="353" operator="equal">
      <formula>0</formula>
    </cfRule>
    <cfRule type="cellIs" dxfId="1026" priority="354" operator="notEqual">
      <formula>0</formula>
    </cfRule>
  </conditionalFormatting>
  <conditionalFormatting sqref="Y53:Y54">
    <cfRule type="cellIs" dxfId="1025" priority="351" operator="equal">
      <formula>0</formula>
    </cfRule>
    <cfRule type="cellIs" dxfId="1024" priority="352" operator="notEqual">
      <formula>0</formula>
    </cfRule>
  </conditionalFormatting>
  <conditionalFormatting sqref="Z53:Z54">
    <cfRule type="cellIs" dxfId="1023" priority="349" operator="equal">
      <formula>0</formula>
    </cfRule>
    <cfRule type="cellIs" dxfId="1022" priority="350" operator="notEqual">
      <formula>0</formula>
    </cfRule>
  </conditionalFormatting>
  <conditionalFormatting sqref="AA53:AA54">
    <cfRule type="cellIs" dxfId="1021" priority="347" operator="equal">
      <formula>0</formula>
    </cfRule>
    <cfRule type="cellIs" dxfId="1020" priority="348" operator="notEqual">
      <formula>0</formula>
    </cfRule>
  </conditionalFormatting>
  <conditionalFormatting sqref="AB53:AB54">
    <cfRule type="cellIs" dxfId="1019" priority="345" operator="equal">
      <formula>0</formula>
    </cfRule>
    <cfRule type="cellIs" dxfId="1018" priority="346" operator="notEqual">
      <formula>0</formula>
    </cfRule>
  </conditionalFormatting>
  <conditionalFormatting sqref="AG52">
    <cfRule type="cellIs" dxfId="1017" priority="343" operator="equal">
      <formula>0</formula>
    </cfRule>
    <cfRule type="cellIs" dxfId="1016" priority="344" operator="notEqual">
      <formula>0</formula>
    </cfRule>
  </conditionalFormatting>
  <conditionalFormatting sqref="AH52">
    <cfRule type="cellIs" dxfId="1015" priority="341" operator="equal">
      <formula>0</formula>
    </cfRule>
    <cfRule type="cellIs" dxfId="1014" priority="342" operator="notEqual">
      <formula>0</formula>
    </cfRule>
  </conditionalFormatting>
  <conditionalFormatting sqref="AI52">
    <cfRule type="cellIs" dxfId="1013" priority="339" operator="equal">
      <formula>0</formula>
    </cfRule>
    <cfRule type="cellIs" dxfId="1012" priority="340" operator="notEqual">
      <formula>0</formula>
    </cfRule>
  </conditionalFormatting>
  <conditionalFormatting sqref="AJ52">
    <cfRule type="cellIs" dxfId="1011" priority="337" operator="equal">
      <formula>0</formula>
    </cfRule>
    <cfRule type="cellIs" dxfId="1010" priority="338" operator="notEqual">
      <formula>0</formula>
    </cfRule>
  </conditionalFormatting>
  <conditionalFormatting sqref="U46:U47">
    <cfRule type="cellIs" dxfId="1009" priority="335" operator="equal">
      <formula>0</formula>
    </cfRule>
    <cfRule type="cellIs" dxfId="1008" priority="336" operator="notEqual">
      <formula>0</formula>
    </cfRule>
  </conditionalFormatting>
  <conditionalFormatting sqref="V46:V47">
    <cfRule type="cellIs" dxfId="1007" priority="333" operator="equal">
      <formula>0</formula>
    </cfRule>
    <cfRule type="cellIs" dxfId="1006" priority="334" operator="notEqual">
      <formula>0</formula>
    </cfRule>
  </conditionalFormatting>
  <conditionalFormatting sqref="W46:W47">
    <cfRule type="cellIs" dxfId="1005" priority="331" operator="equal">
      <formula>0</formula>
    </cfRule>
    <cfRule type="cellIs" dxfId="1004" priority="332" operator="notEqual">
      <formula>0</formula>
    </cfRule>
  </conditionalFormatting>
  <conditionalFormatting sqref="X46:X47">
    <cfRule type="cellIs" dxfId="1003" priority="329" operator="equal">
      <formula>0</formula>
    </cfRule>
    <cfRule type="cellIs" dxfId="1002" priority="330" operator="notEqual">
      <formula>0</formula>
    </cfRule>
  </conditionalFormatting>
  <conditionalFormatting sqref="Y46:Y47">
    <cfRule type="cellIs" dxfId="1001" priority="327" operator="equal">
      <formula>0</formula>
    </cfRule>
    <cfRule type="cellIs" dxfId="1000" priority="328" operator="notEqual">
      <formula>0</formula>
    </cfRule>
  </conditionalFormatting>
  <conditionalFormatting sqref="Z46:Z47">
    <cfRule type="cellIs" dxfId="999" priority="325" operator="equal">
      <formula>0</formula>
    </cfRule>
    <cfRule type="cellIs" dxfId="998" priority="326" operator="notEqual">
      <formula>0</formula>
    </cfRule>
  </conditionalFormatting>
  <conditionalFormatting sqref="AA46:AA47">
    <cfRule type="cellIs" dxfId="997" priority="323" operator="equal">
      <formula>0</formula>
    </cfRule>
    <cfRule type="cellIs" dxfId="996" priority="324" operator="notEqual">
      <formula>0</formula>
    </cfRule>
  </conditionalFormatting>
  <conditionalFormatting sqref="AB46:AB47">
    <cfRule type="cellIs" dxfId="995" priority="321" operator="equal">
      <formula>0</formula>
    </cfRule>
    <cfRule type="cellIs" dxfId="994" priority="322" operator="notEqual">
      <formula>0</formula>
    </cfRule>
  </conditionalFormatting>
  <conditionalFormatting sqref="AG45">
    <cfRule type="cellIs" dxfId="993" priority="319" operator="equal">
      <formula>0</formula>
    </cfRule>
    <cfRule type="cellIs" dxfId="992" priority="320" operator="notEqual">
      <formula>0</formula>
    </cfRule>
  </conditionalFormatting>
  <conditionalFormatting sqref="AH45">
    <cfRule type="cellIs" dxfId="991" priority="317" operator="equal">
      <formula>0</formula>
    </cfRule>
    <cfRule type="cellIs" dxfId="990" priority="318" operator="notEqual">
      <formula>0</formula>
    </cfRule>
  </conditionalFormatting>
  <conditionalFormatting sqref="AI45">
    <cfRule type="cellIs" dxfId="989" priority="315" operator="equal">
      <formula>0</formula>
    </cfRule>
    <cfRule type="cellIs" dxfId="988" priority="316" operator="notEqual">
      <formula>0</formula>
    </cfRule>
  </conditionalFormatting>
  <conditionalFormatting sqref="AJ45">
    <cfRule type="cellIs" dxfId="987" priority="313" operator="equal">
      <formula>0</formula>
    </cfRule>
    <cfRule type="cellIs" dxfId="986" priority="314" operator="notEqual">
      <formula>0</formula>
    </cfRule>
  </conditionalFormatting>
  <conditionalFormatting sqref="U39:U40">
    <cfRule type="cellIs" dxfId="985" priority="311" operator="equal">
      <formula>0</formula>
    </cfRule>
    <cfRule type="cellIs" dxfId="984" priority="312" operator="notEqual">
      <formula>0</formula>
    </cfRule>
  </conditionalFormatting>
  <conditionalFormatting sqref="V39:V40">
    <cfRule type="cellIs" dxfId="983" priority="309" operator="equal">
      <formula>0</formula>
    </cfRule>
    <cfRule type="cellIs" dxfId="982" priority="310" operator="notEqual">
      <formula>0</formula>
    </cfRule>
  </conditionalFormatting>
  <conditionalFormatting sqref="W39:W40">
    <cfRule type="cellIs" dxfId="981" priority="307" operator="equal">
      <formula>0</formula>
    </cfRule>
    <cfRule type="cellIs" dxfId="980" priority="308" operator="notEqual">
      <formula>0</formula>
    </cfRule>
  </conditionalFormatting>
  <conditionalFormatting sqref="X39:X40">
    <cfRule type="cellIs" dxfId="979" priority="305" operator="equal">
      <formula>0</formula>
    </cfRule>
    <cfRule type="cellIs" dxfId="978" priority="306" operator="notEqual">
      <formula>0</formula>
    </cfRule>
  </conditionalFormatting>
  <conditionalFormatting sqref="Y39:Y40">
    <cfRule type="cellIs" dxfId="977" priority="303" operator="equal">
      <formula>0</formula>
    </cfRule>
    <cfRule type="cellIs" dxfId="976" priority="304" operator="notEqual">
      <formula>0</formula>
    </cfRule>
  </conditionalFormatting>
  <conditionalFormatting sqref="Z39:Z40">
    <cfRule type="cellIs" dxfId="975" priority="301" operator="equal">
      <formula>0</formula>
    </cfRule>
    <cfRule type="cellIs" dxfId="974" priority="302" operator="notEqual">
      <formula>0</formula>
    </cfRule>
  </conditionalFormatting>
  <conditionalFormatting sqref="AA39:AA40">
    <cfRule type="cellIs" dxfId="973" priority="299" operator="equal">
      <formula>0</formula>
    </cfRule>
    <cfRule type="cellIs" dxfId="972" priority="300" operator="notEqual">
      <formula>0</formula>
    </cfRule>
  </conditionalFormatting>
  <conditionalFormatting sqref="AB39:AB40">
    <cfRule type="cellIs" dxfId="971" priority="297" operator="equal">
      <formula>0</formula>
    </cfRule>
    <cfRule type="cellIs" dxfId="970" priority="298" operator="notEqual">
      <formula>0</formula>
    </cfRule>
  </conditionalFormatting>
  <conditionalFormatting sqref="AG38">
    <cfRule type="cellIs" dxfId="969" priority="295" operator="equal">
      <formula>0</formula>
    </cfRule>
    <cfRule type="cellIs" dxfId="968" priority="296" operator="notEqual">
      <formula>0</formula>
    </cfRule>
  </conditionalFormatting>
  <conditionalFormatting sqref="AH38">
    <cfRule type="cellIs" dxfId="967" priority="293" operator="equal">
      <formula>0</formula>
    </cfRule>
    <cfRule type="cellIs" dxfId="966" priority="294" operator="notEqual">
      <formula>0</formula>
    </cfRule>
  </conditionalFormatting>
  <conditionalFormatting sqref="AI38">
    <cfRule type="cellIs" dxfId="965" priority="291" operator="equal">
      <formula>0</formula>
    </cfRule>
    <cfRule type="cellIs" dxfId="964" priority="292" operator="notEqual">
      <formula>0</formula>
    </cfRule>
  </conditionalFormatting>
  <conditionalFormatting sqref="AJ38">
    <cfRule type="cellIs" dxfId="963" priority="289" operator="equal">
      <formula>0</formula>
    </cfRule>
    <cfRule type="cellIs" dxfId="962" priority="290" operator="notEqual">
      <formula>0</formula>
    </cfRule>
  </conditionalFormatting>
  <conditionalFormatting sqref="U32:U33">
    <cfRule type="cellIs" dxfId="961" priority="287" operator="equal">
      <formula>0</formula>
    </cfRule>
    <cfRule type="cellIs" dxfId="960" priority="288" operator="notEqual">
      <formula>0</formula>
    </cfRule>
  </conditionalFormatting>
  <conditionalFormatting sqref="V32:V33">
    <cfRule type="cellIs" dxfId="959" priority="285" operator="equal">
      <formula>0</formula>
    </cfRule>
    <cfRule type="cellIs" dxfId="958" priority="286" operator="notEqual">
      <formula>0</formula>
    </cfRule>
  </conditionalFormatting>
  <conditionalFormatting sqref="W32:W33">
    <cfRule type="cellIs" dxfId="957" priority="283" operator="equal">
      <formula>0</formula>
    </cfRule>
    <cfRule type="cellIs" dxfId="956" priority="284" operator="notEqual">
      <formula>0</formula>
    </cfRule>
  </conditionalFormatting>
  <conditionalFormatting sqref="X32:X33">
    <cfRule type="cellIs" dxfId="955" priority="281" operator="equal">
      <formula>0</formula>
    </cfRule>
    <cfRule type="cellIs" dxfId="954" priority="282" operator="notEqual">
      <formula>0</formula>
    </cfRule>
  </conditionalFormatting>
  <conditionalFormatting sqref="Y32:Y33">
    <cfRule type="cellIs" dxfId="953" priority="279" operator="equal">
      <formula>0</formula>
    </cfRule>
    <cfRule type="cellIs" dxfId="952" priority="280" operator="notEqual">
      <formula>0</formula>
    </cfRule>
  </conditionalFormatting>
  <conditionalFormatting sqref="Z32:Z33">
    <cfRule type="cellIs" dxfId="951" priority="277" operator="equal">
      <formula>0</formula>
    </cfRule>
    <cfRule type="cellIs" dxfId="950" priority="278" operator="notEqual">
      <formula>0</formula>
    </cfRule>
  </conditionalFormatting>
  <conditionalFormatting sqref="AA32:AA33">
    <cfRule type="cellIs" dxfId="949" priority="275" operator="equal">
      <formula>0</formula>
    </cfRule>
    <cfRule type="cellIs" dxfId="948" priority="276" operator="notEqual">
      <formula>0</formula>
    </cfRule>
  </conditionalFormatting>
  <conditionalFormatting sqref="AB32:AB33">
    <cfRule type="cellIs" dxfId="947" priority="273" operator="equal">
      <formula>0</formula>
    </cfRule>
    <cfRule type="cellIs" dxfId="946" priority="274" operator="notEqual">
      <formula>0</formula>
    </cfRule>
  </conditionalFormatting>
  <conditionalFormatting sqref="AG31">
    <cfRule type="cellIs" dxfId="945" priority="271" operator="equal">
      <formula>0</formula>
    </cfRule>
    <cfRule type="cellIs" dxfId="944" priority="272" operator="notEqual">
      <formula>0</formula>
    </cfRule>
  </conditionalFormatting>
  <conditionalFormatting sqref="AH31">
    <cfRule type="cellIs" dxfId="943" priority="269" operator="equal">
      <formula>0</formula>
    </cfRule>
    <cfRule type="cellIs" dxfId="942" priority="270" operator="notEqual">
      <formula>0</formula>
    </cfRule>
  </conditionalFormatting>
  <conditionalFormatting sqref="AI31">
    <cfRule type="cellIs" dxfId="941" priority="267" operator="equal">
      <formula>0</formula>
    </cfRule>
    <cfRule type="cellIs" dxfId="940" priority="268" operator="notEqual">
      <formula>0</formula>
    </cfRule>
  </conditionalFormatting>
  <conditionalFormatting sqref="AJ31">
    <cfRule type="cellIs" dxfId="939" priority="265" operator="equal">
      <formula>0</formula>
    </cfRule>
    <cfRule type="cellIs" dxfId="938" priority="266" operator="notEqual">
      <formula>0</formula>
    </cfRule>
  </conditionalFormatting>
  <conditionalFormatting sqref="U25:U26">
    <cfRule type="cellIs" dxfId="937" priority="263" operator="equal">
      <formula>0</formula>
    </cfRule>
    <cfRule type="cellIs" dxfId="936" priority="264" operator="notEqual">
      <formula>0</formula>
    </cfRule>
  </conditionalFormatting>
  <conditionalFormatting sqref="V25:V26">
    <cfRule type="cellIs" dxfId="935" priority="261" operator="equal">
      <formula>0</formula>
    </cfRule>
    <cfRule type="cellIs" dxfId="934" priority="262" operator="notEqual">
      <formula>0</formula>
    </cfRule>
  </conditionalFormatting>
  <conditionalFormatting sqref="W25:W26">
    <cfRule type="cellIs" dxfId="933" priority="259" operator="equal">
      <formula>0</formula>
    </cfRule>
    <cfRule type="cellIs" dxfId="932" priority="260" operator="notEqual">
      <formula>0</formula>
    </cfRule>
  </conditionalFormatting>
  <conditionalFormatting sqref="X25:X26">
    <cfRule type="cellIs" dxfId="931" priority="257" operator="equal">
      <formula>0</formula>
    </cfRule>
    <cfRule type="cellIs" dxfId="930" priority="258" operator="notEqual">
      <formula>0</formula>
    </cfRule>
  </conditionalFormatting>
  <conditionalFormatting sqref="Y25:Y26">
    <cfRule type="cellIs" dxfId="929" priority="255" operator="equal">
      <formula>0</formula>
    </cfRule>
    <cfRule type="cellIs" dxfId="928" priority="256" operator="notEqual">
      <formula>0</formula>
    </cfRule>
  </conditionalFormatting>
  <conditionalFormatting sqref="Z25:Z26">
    <cfRule type="cellIs" dxfId="927" priority="253" operator="equal">
      <formula>0</formula>
    </cfRule>
    <cfRule type="cellIs" dxfId="926" priority="254" operator="notEqual">
      <formula>0</formula>
    </cfRule>
  </conditionalFormatting>
  <conditionalFormatting sqref="AA25:AA26">
    <cfRule type="cellIs" dxfId="925" priority="251" operator="equal">
      <formula>0</formula>
    </cfRule>
    <cfRule type="cellIs" dxfId="924" priority="252" operator="notEqual">
      <formula>0</formula>
    </cfRule>
  </conditionalFormatting>
  <conditionalFormatting sqref="AB25:AB26">
    <cfRule type="cellIs" dxfId="923" priority="249" operator="equal">
      <formula>0</formula>
    </cfRule>
    <cfRule type="cellIs" dxfId="922" priority="250" operator="notEqual">
      <formula>0</formula>
    </cfRule>
  </conditionalFormatting>
  <conditionalFormatting sqref="AG24">
    <cfRule type="cellIs" dxfId="921" priority="247" operator="equal">
      <formula>0</formula>
    </cfRule>
    <cfRule type="cellIs" dxfId="920" priority="248" operator="notEqual">
      <formula>0</formula>
    </cfRule>
  </conditionalFormatting>
  <conditionalFormatting sqref="AH24">
    <cfRule type="cellIs" dxfId="919" priority="245" operator="equal">
      <formula>0</formula>
    </cfRule>
    <cfRule type="cellIs" dxfId="918" priority="246" operator="notEqual">
      <formula>0</formula>
    </cfRule>
  </conditionalFormatting>
  <conditionalFormatting sqref="AI24">
    <cfRule type="cellIs" dxfId="917" priority="243" operator="equal">
      <formula>0</formula>
    </cfRule>
    <cfRule type="cellIs" dxfId="916" priority="244" operator="notEqual">
      <formula>0</formula>
    </cfRule>
  </conditionalFormatting>
  <conditionalFormatting sqref="AJ24">
    <cfRule type="cellIs" dxfId="915" priority="241" operator="equal">
      <formula>0</formula>
    </cfRule>
    <cfRule type="cellIs" dxfId="914" priority="242" operator="notEqual">
      <formula>0</formula>
    </cfRule>
  </conditionalFormatting>
  <conditionalFormatting sqref="U18:U19">
    <cfRule type="cellIs" dxfId="913" priority="239" operator="equal">
      <formula>0</formula>
    </cfRule>
    <cfRule type="cellIs" dxfId="912" priority="240" operator="notEqual">
      <formula>0</formula>
    </cfRule>
  </conditionalFormatting>
  <conditionalFormatting sqref="V18:V19">
    <cfRule type="cellIs" dxfId="911" priority="237" operator="equal">
      <formula>0</formula>
    </cfRule>
    <cfRule type="cellIs" dxfId="910" priority="238" operator="notEqual">
      <formula>0</formula>
    </cfRule>
  </conditionalFormatting>
  <conditionalFormatting sqref="W18:W19">
    <cfRule type="cellIs" dxfId="909" priority="235" operator="equal">
      <formula>0</formula>
    </cfRule>
    <cfRule type="cellIs" dxfId="908" priority="236" operator="notEqual">
      <formula>0</formula>
    </cfRule>
  </conditionalFormatting>
  <conditionalFormatting sqref="X18:X19">
    <cfRule type="cellIs" dxfId="907" priority="233" operator="equal">
      <formula>0</formula>
    </cfRule>
    <cfRule type="cellIs" dxfId="906" priority="234" operator="notEqual">
      <formula>0</formula>
    </cfRule>
  </conditionalFormatting>
  <conditionalFormatting sqref="Y18:Y19">
    <cfRule type="cellIs" dxfId="905" priority="231" operator="equal">
      <formula>0</formula>
    </cfRule>
    <cfRule type="cellIs" dxfId="904" priority="232" operator="notEqual">
      <formula>0</formula>
    </cfRule>
  </conditionalFormatting>
  <conditionalFormatting sqref="Z18:Z19">
    <cfRule type="cellIs" dxfId="903" priority="229" operator="equal">
      <formula>0</formula>
    </cfRule>
    <cfRule type="cellIs" dxfId="902" priority="230" operator="notEqual">
      <formula>0</formula>
    </cfRule>
  </conditionalFormatting>
  <conditionalFormatting sqref="AA18:AA19">
    <cfRule type="cellIs" dxfId="901" priority="227" operator="equal">
      <formula>0</formula>
    </cfRule>
    <cfRule type="cellIs" dxfId="900" priority="228" operator="notEqual">
      <formula>0</formula>
    </cfRule>
  </conditionalFormatting>
  <conditionalFormatting sqref="AB18:AB19">
    <cfRule type="cellIs" dxfId="899" priority="225" operator="equal">
      <formula>0</formula>
    </cfRule>
    <cfRule type="cellIs" dxfId="898" priority="226" operator="notEqual">
      <formula>0</formula>
    </cfRule>
  </conditionalFormatting>
  <conditionalFormatting sqref="AG17">
    <cfRule type="cellIs" dxfId="897" priority="223" operator="equal">
      <formula>0</formula>
    </cfRule>
    <cfRule type="cellIs" dxfId="896" priority="224" operator="notEqual">
      <formula>0</formula>
    </cfRule>
  </conditionalFormatting>
  <conditionalFormatting sqref="AH17">
    <cfRule type="cellIs" dxfId="895" priority="221" operator="equal">
      <formula>0</formula>
    </cfRule>
    <cfRule type="cellIs" dxfId="894" priority="222" operator="notEqual">
      <formula>0</formula>
    </cfRule>
  </conditionalFormatting>
  <conditionalFormatting sqref="AI17">
    <cfRule type="cellIs" dxfId="893" priority="219" operator="equal">
      <formula>0</formula>
    </cfRule>
    <cfRule type="cellIs" dxfId="892" priority="220" operator="notEqual">
      <formula>0</formula>
    </cfRule>
  </conditionalFormatting>
  <conditionalFormatting sqref="AJ17">
    <cfRule type="cellIs" dxfId="891" priority="217" operator="equal">
      <formula>0</formula>
    </cfRule>
    <cfRule type="cellIs" dxfId="890" priority="218" operator="notEqual">
      <formula>0</formula>
    </cfRule>
  </conditionalFormatting>
  <conditionalFormatting sqref="U11:U12">
    <cfRule type="cellIs" dxfId="889" priority="215" operator="equal">
      <formula>0</formula>
    </cfRule>
    <cfRule type="cellIs" dxfId="888" priority="216" operator="notEqual">
      <formula>0</formula>
    </cfRule>
  </conditionalFormatting>
  <conditionalFormatting sqref="V11:V12">
    <cfRule type="cellIs" dxfId="887" priority="213" operator="equal">
      <formula>0</formula>
    </cfRule>
    <cfRule type="cellIs" dxfId="886" priority="214" operator="notEqual">
      <formula>0</formula>
    </cfRule>
  </conditionalFormatting>
  <conditionalFormatting sqref="W11:W12">
    <cfRule type="cellIs" dxfId="885" priority="211" operator="equal">
      <formula>0</formula>
    </cfRule>
    <cfRule type="cellIs" dxfId="884" priority="212" operator="notEqual">
      <formula>0</formula>
    </cfRule>
  </conditionalFormatting>
  <conditionalFormatting sqref="X11:X12">
    <cfRule type="cellIs" dxfId="883" priority="209" operator="equal">
      <formula>0</formula>
    </cfRule>
    <cfRule type="cellIs" dxfId="882" priority="210" operator="notEqual">
      <formula>0</formula>
    </cfRule>
  </conditionalFormatting>
  <conditionalFormatting sqref="Y11:Y12">
    <cfRule type="cellIs" dxfId="881" priority="207" operator="equal">
      <formula>0</formula>
    </cfRule>
    <cfRule type="cellIs" dxfId="880" priority="208" operator="notEqual">
      <formula>0</formula>
    </cfRule>
  </conditionalFormatting>
  <conditionalFormatting sqref="Z11:Z12">
    <cfRule type="cellIs" dxfId="879" priority="205" operator="equal">
      <formula>0</formula>
    </cfRule>
    <cfRule type="cellIs" dxfId="878" priority="206" operator="notEqual">
      <formula>0</formula>
    </cfRule>
  </conditionalFormatting>
  <conditionalFormatting sqref="AA11:AA12">
    <cfRule type="cellIs" dxfId="877" priority="203" operator="equal">
      <formula>0</formula>
    </cfRule>
    <cfRule type="cellIs" dxfId="876" priority="204" operator="notEqual">
      <formula>0</formula>
    </cfRule>
  </conditionalFormatting>
  <conditionalFormatting sqref="AB11:AB12">
    <cfRule type="cellIs" dxfId="875" priority="201" operator="equal">
      <formula>0</formula>
    </cfRule>
    <cfRule type="cellIs" dxfId="874" priority="202" operator="notEqual">
      <formula>0</formula>
    </cfRule>
  </conditionalFormatting>
  <conditionalFormatting sqref="AG10">
    <cfRule type="cellIs" dxfId="873" priority="199" operator="equal">
      <formula>0</formula>
    </cfRule>
    <cfRule type="cellIs" dxfId="872" priority="200" operator="notEqual">
      <formula>0</formula>
    </cfRule>
  </conditionalFormatting>
  <conditionalFormatting sqref="AH10">
    <cfRule type="cellIs" dxfId="871" priority="197" operator="equal">
      <formula>0</formula>
    </cfRule>
    <cfRule type="cellIs" dxfId="870" priority="198" operator="notEqual">
      <formula>0</formula>
    </cfRule>
  </conditionalFormatting>
  <conditionalFormatting sqref="AI10">
    <cfRule type="cellIs" dxfId="869" priority="195" operator="equal">
      <formula>0</formula>
    </cfRule>
    <cfRule type="cellIs" dxfId="868" priority="196" operator="notEqual">
      <formula>0</formula>
    </cfRule>
  </conditionalFormatting>
  <conditionalFormatting sqref="AJ10">
    <cfRule type="cellIs" dxfId="867" priority="193" operator="equal">
      <formula>0</formula>
    </cfRule>
    <cfRule type="cellIs" dxfId="866" priority="194" operator="notEqual">
      <formula>0</formula>
    </cfRule>
  </conditionalFormatting>
  <conditionalFormatting sqref="C81:C82">
    <cfRule type="cellIs" dxfId="865" priority="191" operator="equal">
      <formula>0</formula>
    </cfRule>
    <cfRule type="cellIs" dxfId="864" priority="192" operator="notEqual">
      <formula>0</formula>
    </cfRule>
  </conditionalFormatting>
  <conditionalFormatting sqref="D81:D82">
    <cfRule type="cellIs" dxfId="863" priority="189" operator="equal">
      <formula>0</formula>
    </cfRule>
    <cfRule type="cellIs" dxfId="862" priority="190" operator="notEqual">
      <formula>0</formula>
    </cfRule>
  </conditionalFormatting>
  <conditionalFormatting sqref="E81:E82">
    <cfRule type="cellIs" dxfId="861" priority="187" operator="equal">
      <formula>0</formula>
    </cfRule>
    <cfRule type="cellIs" dxfId="860" priority="188" operator="notEqual">
      <formula>0</formula>
    </cfRule>
  </conditionalFormatting>
  <conditionalFormatting sqref="F81:F82">
    <cfRule type="cellIs" dxfId="859" priority="185" operator="equal">
      <formula>0</formula>
    </cfRule>
    <cfRule type="cellIs" dxfId="858" priority="186" operator="notEqual">
      <formula>0</formula>
    </cfRule>
  </conditionalFormatting>
  <conditionalFormatting sqref="G81:G82">
    <cfRule type="cellIs" dxfId="857" priority="183" operator="equal">
      <formula>0</formula>
    </cfRule>
    <cfRule type="cellIs" dxfId="856" priority="184" operator="notEqual">
      <formula>0</formula>
    </cfRule>
  </conditionalFormatting>
  <conditionalFormatting sqref="H81:H82">
    <cfRule type="cellIs" dxfId="855" priority="181" operator="equal">
      <formula>0</formula>
    </cfRule>
    <cfRule type="cellIs" dxfId="854" priority="182" operator="notEqual">
      <formula>0</formula>
    </cfRule>
  </conditionalFormatting>
  <conditionalFormatting sqref="I81:I82">
    <cfRule type="cellIs" dxfId="853" priority="179" operator="equal">
      <formula>0</formula>
    </cfRule>
    <cfRule type="cellIs" dxfId="852" priority="180" operator="notEqual">
      <formula>0</formula>
    </cfRule>
  </conditionalFormatting>
  <conditionalFormatting sqref="J81:J82">
    <cfRule type="cellIs" dxfId="851" priority="177" operator="equal">
      <formula>0</formula>
    </cfRule>
    <cfRule type="cellIs" dxfId="850" priority="178" operator="notEqual">
      <formula>0</formula>
    </cfRule>
  </conditionalFormatting>
  <conditionalFormatting sqref="O80">
    <cfRule type="cellIs" dxfId="849" priority="175" operator="equal">
      <formula>0</formula>
    </cfRule>
    <cfRule type="cellIs" dxfId="848" priority="176" operator="notEqual">
      <formula>0</formula>
    </cfRule>
  </conditionalFormatting>
  <conditionalFormatting sqref="P80">
    <cfRule type="cellIs" dxfId="847" priority="173" operator="equal">
      <formula>0</formula>
    </cfRule>
    <cfRule type="cellIs" dxfId="846" priority="174" operator="notEqual">
      <formula>0</formula>
    </cfRule>
  </conditionalFormatting>
  <conditionalFormatting sqref="Q80">
    <cfRule type="cellIs" dxfId="845" priority="171" operator="equal">
      <formula>0</formula>
    </cfRule>
    <cfRule type="cellIs" dxfId="844" priority="172" operator="notEqual">
      <formula>0</formula>
    </cfRule>
  </conditionalFormatting>
  <conditionalFormatting sqref="R80">
    <cfRule type="cellIs" dxfId="843" priority="169" operator="equal">
      <formula>0</formula>
    </cfRule>
    <cfRule type="cellIs" dxfId="842" priority="170" operator="notEqual">
      <formula>0</formula>
    </cfRule>
  </conditionalFormatting>
  <conditionalFormatting sqref="C88:C89">
    <cfRule type="cellIs" dxfId="841" priority="167" operator="equal">
      <formula>0</formula>
    </cfRule>
    <cfRule type="cellIs" dxfId="840" priority="168" operator="notEqual">
      <formula>0</formula>
    </cfRule>
  </conditionalFormatting>
  <conditionalFormatting sqref="D88:D89">
    <cfRule type="cellIs" dxfId="839" priority="165" operator="equal">
      <formula>0</formula>
    </cfRule>
    <cfRule type="cellIs" dxfId="838" priority="166" operator="notEqual">
      <formula>0</formula>
    </cfRule>
  </conditionalFormatting>
  <conditionalFormatting sqref="E88:E89">
    <cfRule type="cellIs" dxfId="837" priority="163" operator="equal">
      <formula>0</formula>
    </cfRule>
    <cfRule type="cellIs" dxfId="836" priority="164" operator="notEqual">
      <formula>0</formula>
    </cfRule>
  </conditionalFormatting>
  <conditionalFormatting sqref="F88:F89">
    <cfRule type="cellIs" dxfId="835" priority="161" operator="equal">
      <formula>0</formula>
    </cfRule>
    <cfRule type="cellIs" dxfId="834" priority="162" operator="notEqual">
      <formula>0</formula>
    </cfRule>
  </conditionalFormatting>
  <conditionalFormatting sqref="G88:G89">
    <cfRule type="cellIs" dxfId="833" priority="159" operator="equal">
      <formula>0</formula>
    </cfRule>
    <cfRule type="cellIs" dxfId="832" priority="160" operator="notEqual">
      <formula>0</formula>
    </cfRule>
  </conditionalFormatting>
  <conditionalFormatting sqref="H88:H89">
    <cfRule type="cellIs" dxfId="831" priority="157" operator="equal">
      <formula>0</formula>
    </cfRule>
    <cfRule type="cellIs" dxfId="830" priority="158" operator="notEqual">
      <formula>0</formula>
    </cfRule>
  </conditionalFormatting>
  <conditionalFormatting sqref="I88:I89">
    <cfRule type="cellIs" dxfId="829" priority="155" operator="equal">
      <formula>0</formula>
    </cfRule>
    <cfRule type="cellIs" dxfId="828" priority="156" operator="notEqual">
      <formula>0</formula>
    </cfRule>
  </conditionalFormatting>
  <conditionalFormatting sqref="J88:J89">
    <cfRule type="cellIs" dxfId="827" priority="153" operator="equal">
      <formula>0</formula>
    </cfRule>
    <cfRule type="cellIs" dxfId="826" priority="154" operator="notEqual">
      <formula>0</formula>
    </cfRule>
  </conditionalFormatting>
  <conditionalFormatting sqref="O87">
    <cfRule type="cellIs" dxfId="825" priority="151" operator="equal">
      <formula>0</formula>
    </cfRule>
    <cfRule type="cellIs" dxfId="824" priority="152" operator="notEqual">
      <formula>0</formula>
    </cfRule>
  </conditionalFormatting>
  <conditionalFormatting sqref="P87">
    <cfRule type="cellIs" dxfId="823" priority="149" operator="equal">
      <formula>0</formula>
    </cfRule>
    <cfRule type="cellIs" dxfId="822" priority="150" operator="notEqual">
      <formula>0</formula>
    </cfRule>
  </conditionalFormatting>
  <conditionalFormatting sqref="Q87">
    <cfRule type="cellIs" dxfId="821" priority="147" operator="equal">
      <formula>0</formula>
    </cfRule>
    <cfRule type="cellIs" dxfId="820" priority="148" operator="notEqual">
      <formula>0</formula>
    </cfRule>
  </conditionalFormatting>
  <conditionalFormatting sqref="R87">
    <cfRule type="cellIs" dxfId="819" priority="145" operator="equal">
      <formula>0</formula>
    </cfRule>
    <cfRule type="cellIs" dxfId="818" priority="146" operator="notEqual">
      <formula>0</formula>
    </cfRule>
  </conditionalFormatting>
  <conditionalFormatting sqref="C95:C96">
    <cfRule type="cellIs" dxfId="817" priority="143" operator="equal">
      <formula>0</formula>
    </cfRule>
    <cfRule type="cellIs" dxfId="816" priority="144" operator="notEqual">
      <formula>0</formula>
    </cfRule>
  </conditionalFormatting>
  <conditionalFormatting sqref="D95:D96">
    <cfRule type="cellIs" dxfId="815" priority="141" operator="equal">
      <formula>0</formula>
    </cfRule>
    <cfRule type="cellIs" dxfId="814" priority="142" operator="notEqual">
      <formula>0</formula>
    </cfRule>
  </conditionalFormatting>
  <conditionalFormatting sqref="E95:E96">
    <cfRule type="cellIs" dxfId="813" priority="139" operator="equal">
      <formula>0</formula>
    </cfRule>
    <cfRule type="cellIs" dxfId="812" priority="140" operator="notEqual">
      <formula>0</formula>
    </cfRule>
  </conditionalFormatting>
  <conditionalFormatting sqref="F95:F96">
    <cfRule type="cellIs" dxfId="811" priority="137" operator="equal">
      <formula>0</formula>
    </cfRule>
    <cfRule type="cellIs" dxfId="810" priority="138" operator="notEqual">
      <formula>0</formula>
    </cfRule>
  </conditionalFormatting>
  <conditionalFormatting sqref="G95:G96">
    <cfRule type="cellIs" dxfId="809" priority="135" operator="equal">
      <formula>0</formula>
    </cfRule>
    <cfRule type="cellIs" dxfId="808" priority="136" operator="notEqual">
      <formula>0</formula>
    </cfRule>
  </conditionalFormatting>
  <conditionalFormatting sqref="H95:H96">
    <cfRule type="cellIs" dxfId="807" priority="133" operator="equal">
      <formula>0</formula>
    </cfRule>
    <cfRule type="cellIs" dxfId="806" priority="134" operator="notEqual">
      <formula>0</formula>
    </cfRule>
  </conditionalFormatting>
  <conditionalFormatting sqref="I95:I96">
    <cfRule type="cellIs" dxfId="805" priority="131" operator="equal">
      <formula>0</formula>
    </cfRule>
    <cfRule type="cellIs" dxfId="804" priority="132" operator="notEqual">
      <formula>0</formula>
    </cfRule>
  </conditionalFormatting>
  <conditionalFormatting sqref="J95:J96">
    <cfRule type="cellIs" dxfId="803" priority="129" operator="equal">
      <formula>0</formula>
    </cfRule>
    <cfRule type="cellIs" dxfId="802" priority="130" operator="notEqual">
      <formula>0</formula>
    </cfRule>
  </conditionalFormatting>
  <conditionalFormatting sqref="O94">
    <cfRule type="cellIs" dxfId="801" priority="127" operator="equal">
      <formula>0</formula>
    </cfRule>
    <cfRule type="cellIs" dxfId="800" priority="128" operator="notEqual">
      <formula>0</formula>
    </cfRule>
  </conditionalFormatting>
  <conditionalFormatting sqref="P94">
    <cfRule type="cellIs" dxfId="799" priority="125" operator="equal">
      <formula>0</formula>
    </cfRule>
    <cfRule type="cellIs" dxfId="798" priority="126" operator="notEqual">
      <formula>0</formula>
    </cfRule>
  </conditionalFormatting>
  <conditionalFormatting sqref="Q94">
    <cfRule type="cellIs" dxfId="797" priority="123" operator="equal">
      <formula>0</formula>
    </cfRule>
    <cfRule type="cellIs" dxfId="796" priority="124" operator="notEqual">
      <formula>0</formula>
    </cfRule>
  </conditionalFormatting>
  <conditionalFormatting sqref="R94">
    <cfRule type="cellIs" dxfId="795" priority="121" operator="equal">
      <formula>0</formula>
    </cfRule>
    <cfRule type="cellIs" dxfId="794" priority="122" operator="notEqual">
      <formula>0</formula>
    </cfRule>
  </conditionalFormatting>
  <conditionalFormatting sqref="C102:C103">
    <cfRule type="cellIs" dxfId="793" priority="119" operator="equal">
      <formula>0</formula>
    </cfRule>
    <cfRule type="cellIs" dxfId="792" priority="120" operator="notEqual">
      <formula>0</formula>
    </cfRule>
  </conditionalFormatting>
  <conditionalFormatting sqref="D102:D103">
    <cfRule type="cellIs" dxfId="791" priority="117" operator="equal">
      <formula>0</formula>
    </cfRule>
    <cfRule type="cellIs" dxfId="790" priority="118" operator="notEqual">
      <formula>0</formula>
    </cfRule>
  </conditionalFormatting>
  <conditionalFormatting sqref="E102:E103">
    <cfRule type="cellIs" dxfId="789" priority="115" operator="equal">
      <formula>0</formula>
    </cfRule>
    <cfRule type="cellIs" dxfId="788" priority="116" operator="notEqual">
      <formula>0</formula>
    </cfRule>
  </conditionalFormatting>
  <conditionalFormatting sqref="F102:F103">
    <cfRule type="cellIs" dxfId="787" priority="113" operator="equal">
      <formula>0</formula>
    </cfRule>
    <cfRule type="cellIs" dxfId="786" priority="114" operator="notEqual">
      <formula>0</formula>
    </cfRule>
  </conditionalFormatting>
  <conditionalFormatting sqref="G102:G103">
    <cfRule type="cellIs" dxfId="785" priority="111" operator="equal">
      <formula>0</formula>
    </cfRule>
    <cfRule type="cellIs" dxfId="784" priority="112" operator="notEqual">
      <formula>0</formula>
    </cfRule>
  </conditionalFormatting>
  <conditionalFormatting sqref="H102:H103">
    <cfRule type="cellIs" dxfId="783" priority="109" operator="equal">
      <formula>0</formula>
    </cfRule>
    <cfRule type="cellIs" dxfId="782" priority="110" operator="notEqual">
      <formula>0</formula>
    </cfRule>
  </conditionalFormatting>
  <conditionalFormatting sqref="I102:I103">
    <cfRule type="cellIs" dxfId="781" priority="107" operator="equal">
      <formula>0</formula>
    </cfRule>
    <cfRule type="cellIs" dxfId="780" priority="108" operator="notEqual">
      <formula>0</formula>
    </cfRule>
  </conditionalFormatting>
  <conditionalFormatting sqref="J102:J103">
    <cfRule type="cellIs" dxfId="779" priority="105" operator="equal">
      <formula>0</formula>
    </cfRule>
    <cfRule type="cellIs" dxfId="778" priority="106" operator="notEqual">
      <formula>0</formula>
    </cfRule>
  </conditionalFormatting>
  <conditionalFormatting sqref="O101">
    <cfRule type="cellIs" dxfId="777" priority="103" operator="equal">
      <formula>0</formula>
    </cfRule>
    <cfRule type="cellIs" dxfId="776" priority="104" operator="notEqual">
      <formula>0</formula>
    </cfRule>
  </conditionalFormatting>
  <conditionalFormatting sqref="P101">
    <cfRule type="cellIs" dxfId="775" priority="101" operator="equal">
      <formula>0</formula>
    </cfRule>
    <cfRule type="cellIs" dxfId="774" priority="102" operator="notEqual">
      <formula>0</formula>
    </cfRule>
  </conditionalFormatting>
  <conditionalFormatting sqref="Q101">
    <cfRule type="cellIs" dxfId="773" priority="99" operator="equal">
      <formula>0</formula>
    </cfRule>
    <cfRule type="cellIs" dxfId="772" priority="100" operator="notEqual">
      <formula>0</formula>
    </cfRule>
  </conditionalFormatting>
  <conditionalFormatting sqref="R101">
    <cfRule type="cellIs" dxfId="771" priority="97" operator="equal">
      <formula>0</formula>
    </cfRule>
    <cfRule type="cellIs" dxfId="770" priority="98" operator="notEqual">
      <formula>0</formula>
    </cfRule>
  </conditionalFormatting>
  <conditionalFormatting sqref="U74:U75">
    <cfRule type="cellIs" dxfId="769" priority="95" operator="equal">
      <formula>0</formula>
    </cfRule>
    <cfRule type="cellIs" dxfId="768" priority="96" operator="notEqual">
      <formula>0</formula>
    </cfRule>
  </conditionalFormatting>
  <conditionalFormatting sqref="V74:V75">
    <cfRule type="cellIs" dxfId="767" priority="93" operator="equal">
      <formula>0</formula>
    </cfRule>
    <cfRule type="cellIs" dxfId="766" priority="94" operator="notEqual">
      <formula>0</formula>
    </cfRule>
  </conditionalFormatting>
  <conditionalFormatting sqref="W74:W75">
    <cfRule type="cellIs" dxfId="765" priority="91" operator="equal">
      <formula>0</formula>
    </cfRule>
    <cfRule type="cellIs" dxfId="764" priority="92" operator="notEqual">
      <formula>0</formula>
    </cfRule>
  </conditionalFormatting>
  <conditionalFormatting sqref="X74:X75">
    <cfRule type="cellIs" dxfId="763" priority="89" operator="equal">
      <formula>0</formula>
    </cfRule>
    <cfRule type="cellIs" dxfId="762" priority="90" operator="notEqual">
      <formula>0</formula>
    </cfRule>
  </conditionalFormatting>
  <conditionalFormatting sqref="Y74:Y75">
    <cfRule type="cellIs" dxfId="761" priority="87" operator="equal">
      <formula>0</formula>
    </cfRule>
    <cfRule type="cellIs" dxfId="760" priority="88" operator="notEqual">
      <formula>0</formula>
    </cfRule>
  </conditionalFormatting>
  <conditionalFormatting sqref="Z74:Z75">
    <cfRule type="cellIs" dxfId="759" priority="85" operator="equal">
      <formula>0</formula>
    </cfRule>
    <cfRule type="cellIs" dxfId="758" priority="86" operator="notEqual">
      <formula>0</formula>
    </cfRule>
  </conditionalFormatting>
  <conditionalFormatting sqref="AA74:AA75">
    <cfRule type="cellIs" dxfId="757" priority="83" operator="equal">
      <formula>0</formula>
    </cfRule>
    <cfRule type="cellIs" dxfId="756" priority="84" operator="notEqual">
      <formula>0</formula>
    </cfRule>
  </conditionalFormatting>
  <conditionalFormatting sqref="AB74:AB75">
    <cfRule type="cellIs" dxfId="755" priority="81" operator="equal">
      <formula>0</formula>
    </cfRule>
    <cfRule type="cellIs" dxfId="754" priority="82" operator="notEqual">
      <formula>0</formula>
    </cfRule>
  </conditionalFormatting>
  <conditionalFormatting sqref="AG73">
    <cfRule type="cellIs" dxfId="753" priority="79" operator="equal">
      <formula>0</formula>
    </cfRule>
    <cfRule type="cellIs" dxfId="752" priority="80" operator="notEqual">
      <formula>0</formula>
    </cfRule>
  </conditionalFormatting>
  <conditionalFormatting sqref="AH73">
    <cfRule type="cellIs" dxfId="751" priority="77" operator="equal">
      <formula>0</formula>
    </cfRule>
    <cfRule type="cellIs" dxfId="750" priority="78" operator="notEqual">
      <formula>0</formula>
    </cfRule>
  </conditionalFormatting>
  <conditionalFormatting sqref="AI73">
    <cfRule type="cellIs" dxfId="749" priority="75" operator="equal">
      <formula>0</formula>
    </cfRule>
    <cfRule type="cellIs" dxfId="748" priority="76" operator="notEqual">
      <formula>0</formula>
    </cfRule>
  </conditionalFormatting>
  <conditionalFormatting sqref="AJ73">
    <cfRule type="cellIs" dxfId="747" priority="73" operator="equal">
      <formula>0</formula>
    </cfRule>
    <cfRule type="cellIs" dxfId="746" priority="74" operator="notEqual">
      <formula>0</formula>
    </cfRule>
  </conditionalFormatting>
  <conditionalFormatting sqref="U81:U82">
    <cfRule type="cellIs" dxfId="745" priority="71" operator="equal">
      <formula>0</formula>
    </cfRule>
    <cfRule type="cellIs" dxfId="744" priority="72" operator="notEqual">
      <formula>0</formula>
    </cfRule>
  </conditionalFormatting>
  <conditionalFormatting sqref="V81:V82">
    <cfRule type="cellIs" dxfId="743" priority="69" operator="equal">
      <formula>0</formula>
    </cfRule>
    <cfRule type="cellIs" dxfId="742" priority="70" operator="notEqual">
      <formula>0</formula>
    </cfRule>
  </conditionalFormatting>
  <conditionalFormatting sqref="W81:W82">
    <cfRule type="cellIs" dxfId="741" priority="67" operator="equal">
      <formula>0</formula>
    </cfRule>
    <cfRule type="cellIs" dxfId="740" priority="68" operator="notEqual">
      <formula>0</formula>
    </cfRule>
  </conditionalFormatting>
  <conditionalFormatting sqref="X81:X82">
    <cfRule type="cellIs" dxfId="739" priority="65" operator="equal">
      <formula>0</formula>
    </cfRule>
    <cfRule type="cellIs" dxfId="738" priority="66" operator="notEqual">
      <formula>0</formula>
    </cfRule>
  </conditionalFormatting>
  <conditionalFormatting sqref="Y81:Y82">
    <cfRule type="cellIs" dxfId="737" priority="63" operator="equal">
      <formula>0</formula>
    </cfRule>
    <cfRule type="cellIs" dxfId="736" priority="64" operator="notEqual">
      <formula>0</formula>
    </cfRule>
  </conditionalFormatting>
  <conditionalFormatting sqref="Z81:Z82">
    <cfRule type="cellIs" dxfId="735" priority="61" operator="equal">
      <formula>0</formula>
    </cfRule>
    <cfRule type="cellIs" dxfId="734" priority="62" operator="notEqual">
      <formula>0</formula>
    </cfRule>
  </conditionalFormatting>
  <conditionalFormatting sqref="AA81:AA82">
    <cfRule type="cellIs" dxfId="733" priority="59" operator="equal">
      <formula>0</formula>
    </cfRule>
    <cfRule type="cellIs" dxfId="732" priority="60" operator="notEqual">
      <formula>0</formula>
    </cfRule>
  </conditionalFormatting>
  <conditionalFormatting sqref="AB81:AB82">
    <cfRule type="cellIs" dxfId="731" priority="57" operator="equal">
      <formula>0</formula>
    </cfRule>
    <cfRule type="cellIs" dxfId="730" priority="58" operator="notEqual">
      <formula>0</formula>
    </cfRule>
  </conditionalFormatting>
  <conditionalFormatting sqref="AG80">
    <cfRule type="cellIs" dxfId="729" priority="55" operator="equal">
      <formula>0</formula>
    </cfRule>
    <cfRule type="cellIs" dxfId="728" priority="56" operator="notEqual">
      <formula>0</formula>
    </cfRule>
  </conditionalFormatting>
  <conditionalFormatting sqref="AH80">
    <cfRule type="cellIs" dxfId="727" priority="53" operator="equal">
      <formula>0</formula>
    </cfRule>
    <cfRule type="cellIs" dxfId="726" priority="54" operator="notEqual">
      <formula>0</formula>
    </cfRule>
  </conditionalFormatting>
  <conditionalFormatting sqref="AI80">
    <cfRule type="cellIs" dxfId="725" priority="51" operator="equal">
      <formula>0</formula>
    </cfRule>
    <cfRule type="cellIs" dxfId="724" priority="52" operator="notEqual">
      <formula>0</formula>
    </cfRule>
  </conditionalFormatting>
  <conditionalFormatting sqref="AJ80">
    <cfRule type="cellIs" dxfId="723" priority="49" operator="equal">
      <formula>0</formula>
    </cfRule>
    <cfRule type="cellIs" dxfId="722" priority="50" operator="notEqual">
      <formula>0</formula>
    </cfRule>
  </conditionalFormatting>
  <conditionalFormatting sqref="U88:U89">
    <cfRule type="cellIs" dxfId="721" priority="47" operator="equal">
      <formula>0</formula>
    </cfRule>
    <cfRule type="cellIs" dxfId="720" priority="48" operator="notEqual">
      <formula>0</formula>
    </cfRule>
  </conditionalFormatting>
  <conditionalFormatting sqref="V88:V89">
    <cfRule type="cellIs" dxfId="719" priority="45" operator="equal">
      <formula>0</formula>
    </cfRule>
    <cfRule type="cellIs" dxfId="718" priority="46" operator="notEqual">
      <formula>0</formula>
    </cfRule>
  </conditionalFormatting>
  <conditionalFormatting sqref="W88:W89">
    <cfRule type="cellIs" dxfId="717" priority="43" operator="equal">
      <formula>0</formula>
    </cfRule>
    <cfRule type="cellIs" dxfId="716" priority="44" operator="notEqual">
      <formula>0</formula>
    </cfRule>
  </conditionalFormatting>
  <conditionalFormatting sqref="X88:X89">
    <cfRule type="cellIs" dxfId="715" priority="41" operator="equal">
      <formula>0</formula>
    </cfRule>
    <cfRule type="cellIs" dxfId="714" priority="42" operator="notEqual">
      <formula>0</formula>
    </cfRule>
  </conditionalFormatting>
  <conditionalFormatting sqref="Y88:Y89">
    <cfRule type="cellIs" dxfId="713" priority="39" operator="equal">
      <formula>0</formula>
    </cfRule>
    <cfRule type="cellIs" dxfId="712" priority="40" operator="notEqual">
      <formula>0</formula>
    </cfRule>
  </conditionalFormatting>
  <conditionalFormatting sqref="Z88:Z89">
    <cfRule type="cellIs" dxfId="711" priority="37" operator="equal">
      <formula>0</formula>
    </cfRule>
    <cfRule type="cellIs" dxfId="710" priority="38" operator="notEqual">
      <formula>0</formula>
    </cfRule>
  </conditionalFormatting>
  <conditionalFormatting sqref="AA88:AA89">
    <cfRule type="cellIs" dxfId="709" priority="35" operator="equal">
      <formula>0</formula>
    </cfRule>
    <cfRule type="cellIs" dxfId="708" priority="36" operator="notEqual">
      <formula>0</formula>
    </cfRule>
  </conditionalFormatting>
  <conditionalFormatting sqref="AB88:AB89">
    <cfRule type="cellIs" dxfId="707" priority="33" operator="equal">
      <formula>0</formula>
    </cfRule>
    <cfRule type="cellIs" dxfId="706" priority="34" operator="notEqual">
      <formula>0</formula>
    </cfRule>
  </conditionalFormatting>
  <conditionalFormatting sqref="AG87">
    <cfRule type="cellIs" dxfId="705" priority="31" operator="equal">
      <formula>0</formula>
    </cfRule>
    <cfRule type="cellIs" dxfId="704" priority="32" operator="notEqual">
      <formula>0</formula>
    </cfRule>
  </conditionalFormatting>
  <conditionalFormatting sqref="AH87">
    <cfRule type="cellIs" dxfId="703" priority="29" operator="equal">
      <formula>0</formula>
    </cfRule>
    <cfRule type="cellIs" dxfId="702" priority="30" operator="notEqual">
      <formula>0</formula>
    </cfRule>
  </conditionalFormatting>
  <conditionalFormatting sqref="AI87">
    <cfRule type="cellIs" dxfId="701" priority="27" operator="equal">
      <formula>0</formula>
    </cfRule>
    <cfRule type="cellIs" dxfId="700" priority="28" operator="notEqual">
      <formula>0</formula>
    </cfRule>
  </conditionalFormatting>
  <conditionalFormatting sqref="AJ87">
    <cfRule type="cellIs" dxfId="699" priority="25" operator="equal">
      <formula>0</formula>
    </cfRule>
    <cfRule type="cellIs" dxfId="698" priority="26" operator="notEqual">
      <formula>0</formula>
    </cfRule>
  </conditionalFormatting>
  <conditionalFormatting sqref="U95:U96">
    <cfRule type="cellIs" dxfId="697" priority="23" operator="equal">
      <formula>0</formula>
    </cfRule>
    <cfRule type="cellIs" dxfId="696" priority="24" operator="notEqual">
      <formula>0</formula>
    </cfRule>
  </conditionalFormatting>
  <conditionalFormatting sqref="V95:V96">
    <cfRule type="cellIs" dxfId="695" priority="21" operator="equal">
      <formula>0</formula>
    </cfRule>
    <cfRule type="cellIs" dxfId="694" priority="22" operator="notEqual">
      <formula>0</formula>
    </cfRule>
  </conditionalFormatting>
  <conditionalFormatting sqref="W95:W96">
    <cfRule type="cellIs" dxfId="693" priority="19" operator="equal">
      <formula>0</formula>
    </cfRule>
    <cfRule type="cellIs" dxfId="692" priority="20" operator="notEqual">
      <formula>0</formula>
    </cfRule>
  </conditionalFormatting>
  <conditionalFormatting sqref="X95:X96">
    <cfRule type="cellIs" dxfId="691" priority="17" operator="equal">
      <formula>0</formula>
    </cfRule>
    <cfRule type="cellIs" dxfId="690" priority="18" operator="notEqual">
      <formula>0</formula>
    </cfRule>
  </conditionalFormatting>
  <conditionalFormatting sqref="Y95:Y96">
    <cfRule type="cellIs" dxfId="689" priority="15" operator="equal">
      <formula>0</formula>
    </cfRule>
    <cfRule type="cellIs" dxfId="688" priority="16" operator="notEqual">
      <formula>0</formula>
    </cfRule>
  </conditionalFormatting>
  <conditionalFormatting sqref="Z95:Z96">
    <cfRule type="cellIs" dxfId="687" priority="13" operator="equal">
      <formula>0</formula>
    </cfRule>
    <cfRule type="cellIs" dxfId="686" priority="14" operator="notEqual">
      <formula>0</formula>
    </cfRule>
  </conditionalFormatting>
  <conditionalFormatting sqref="AA95:AA96">
    <cfRule type="cellIs" dxfId="685" priority="11" operator="equal">
      <formula>0</formula>
    </cfRule>
    <cfRule type="cellIs" dxfId="684" priority="12" operator="notEqual">
      <formula>0</formula>
    </cfRule>
  </conditionalFormatting>
  <conditionalFormatting sqref="AB95:AB96">
    <cfRule type="cellIs" dxfId="683" priority="9" operator="equal">
      <formula>0</formula>
    </cfRule>
    <cfRule type="cellIs" dxfId="682" priority="10" operator="notEqual">
      <formula>0</formula>
    </cfRule>
  </conditionalFormatting>
  <conditionalFormatting sqref="AG94">
    <cfRule type="cellIs" dxfId="681" priority="7" operator="equal">
      <formula>0</formula>
    </cfRule>
    <cfRule type="cellIs" dxfId="680" priority="8" operator="notEqual">
      <formula>0</formula>
    </cfRule>
  </conditionalFormatting>
  <conditionalFormatting sqref="AH94">
    <cfRule type="cellIs" dxfId="679" priority="5" operator="equal">
      <formula>0</formula>
    </cfRule>
    <cfRule type="cellIs" dxfId="678" priority="6" operator="notEqual">
      <formula>0</formula>
    </cfRule>
  </conditionalFormatting>
  <conditionalFormatting sqref="AI94">
    <cfRule type="cellIs" dxfId="677" priority="3" operator="equal">
      <formula>0</formula>
    </cfRule>
    <cfRule type="cellIs" dxfId="676" priority="4" operator="notEqual">
      <formula>0</formula>
    </cfRule>
  </conditionalFormatting>
  <conditionalFormatting sqref="AJ94">
    <cfRule type="cellIs" dxfId="675" priority="1" operator="equal">
      <formula>0</formula>
    </cfRule>
    <cfRule type="cellIs" dxfId="674" priority="2" operator="notEqual">
      <formula>0</formula>
    </cfRule>
  </conditionalFormatting>
  <dataValidations count="1">
    <dataValidation type="list" allowBlank="1" showInputMessage="1" showErrorMessage="1" sqref="B5" xr:uid="{06BFA5DE-4C4E-45B5-8AA6-1CDB4F7763C4}">
      <formula1>Regions</formula1>
    </dataValidation>
  </dataValidation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8"/>
  <dimension ref="A1:AX104"/>
  <sheetViews>
    <sheetView showGridLines="0" topLeftCell="A58" zoomScale="70" zoomScaleNormal="70" workbookViewId="0">
      <selection sqref="A1:AJ1"/>
    </sheetView>
  </sheetViews>
  <sheetFormatPr baseColWidth="10" defaultColWidth="9.1640625" defaultRowHeight="14" x14ac:dyDescent="0.15"/>
  <cols>
    <col min="1" max="1" width="2.5" customWidth="1"/>
    <col min="2" max="2" width="36.1640625" customWidth="1"/>
    <col min="20" max="20" width="33" customWidth="1"/>
  </cols>
  <sheetData>
    <row r="1" spans="1:50" ht="72" customHeight="1" x14ac:dyDescent="0.15">
      <c r="A1" s="533" t="s">
        <v>1132</v>
      </c>
      <c r="B1" s="533"/>
      <c r="C1" s="533"/>
      <c r="D1" s="533"/>
      <c r="E1" s="533"/>
      <c r="F1" s="533"/>
      <c r="G1" s="533"/>
      <c r="H1" s="533"/>
      <c r="I1" s="533"/>
      <c r="J1" s="533"/>
      <c r="K1" s="533"/>
      <c r="L1" s="533"/>
      <c r="M1" s="533"/>
      <c r="N1" s="533"/>
      <c r="O1" s="533"/>
      <c r="P1" s="533"/>
      <c r="Q1" s="533"/>
      <c r="R1" s="533"/>
      <c r="S1" s="533"/>
      <c r="T1" s="533"/>
      <c r="U1" s="533"/>
      <c r="V1" s="533"/>
      <c r="W1" s="533"/>
      <c r="X1" s="533"/>
      <c r="Y1" s="533"/>
      <c r="Z1" s="533"/>
      <c r="AA1" s="533"/>
      <c r="AB1" s="533"/>
      <c r="AC1" s="533"/>
      <c r="AD1" s="533"/>
      <c r="AE1" s="533"/>
      <c r="AF1" s="533"/>
      <c r="AG1" s="533"/>
      <c r="AH1" s="533"/>
      <c r="AI1" s="533"/>
      <c r="AJ1" s="533"/>
      <c r="AK1" s="261"/>
      <c r="AL1" s="261"/>
      <c r="AM1" s="261"/>
      <c r="AN1" s="261"/>
      <c r="AO1" s="261"/>
      <c r="AP1" s="261"/>
      <c r="AQ1" s="261"/>
      <c r="AR1" s="261"/>
      <c r="AS1" s="261"/>
      <c r="AT1" s="261"/>
      <c r="AU1" s="261"/>
      <c r="AV1" s="261"/>
      <c r="AW1" s="261"/>
      <c r="AX1" s="261"/>
    </row>
    <row r="2" spans="1:50" ht="66" customHeight="1" x14ac:dyDescent="0.15">
      <c r="A2" s="542"/>
      <c r="B2" s="542"/>
      <c r="C2" s="542"/>
      <c r="D2" s="542"/>
      <c r="E2" s="542"/>
      <c r="F2" s="542"/>
      <c r="G2" s="542"/>
      <c r="H2" s="542"/>
      <c r="I2" s="542"/>
      <c r="J2" s="542"/>
      <c r="K2" s="542"/>
      <c r="L2" s="542"/>
      <c r="M2" s="542"/>
      <c r="N2" s="542"/>
      <c r="O2" s="542"/>
      <c r="P2" s="542"/>
      <c r="Q2" s="542"/>
      <c r="R2" s="542"/>
      <c r="S2" s="542"/>
      <c r="T2" s="542"/>
      <c r="U2" s="542"/>
      <c r="V2" s="542"/>
      <c r="W2" s="542"/>
      <c r="X2" s="542"/>
      <c r="Y2" s="542"/>
      <c r="Z2" s="542"/>
      <c r="AA2" s="542"/>
      <c r="AB2" s="542"/>
      <c r="AC2" s="542"/>
      <c r="AD2" s="542"/>
      <c r="AE2" s="542"/>
      <c r="AF2" s="542"/>
      <c r="AG2" s="542"/>
      <c r="AH2" s="542"/>
      <c r="AI2" s="542"/>
      <c r="AJ2" s="542"/>
      <c r="AK2" s="542"/>
      <c r="AL2" s="542"/>
      <c r="AM2" s="542"/>
      <c r="AN2" s="542"/>
      <c r="AO2" s="542"/>
      <c r="AP2" s="542"/>
      <c r="AQ2" s="542"/>
      <c r="AR2" s="542"/>
      <c r="AS2" s="542"/>
      <c r="AT2" s="542"/>
      <c r="AU2" s="542"/>
      <c r="AV2" s="542"/>
      <c r="AW2" s="542"/>
      <c r="AX2" s="542"/>
    </row>
    <row r="3" spans="1:50" s="48" customFormat="1" ht="16" x14ac:dyDescent="0.15">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row>
    <row r="4" spans="1:50" x14ac:dyDescent="0.15">
      <c r="B4" s="143" t="s">
        <v>1133</v>
      </c>
    </row>
    <row r="5" spans="1:50" ht="27.75" customHeight="1" x14ac:dyDescent="0.15">
      <c r="B5" s="242" t="s">
        <v>17</v>
      </c>
      <c r="P5" s="40"/>
    </row>
    <row r="6" spans="1:50" x14ac:dyDescent="0.15">
      <c r="B6" s="46"/>
    </row>
    <row r="8" spans="1:50" ht="25.5" customHeight="1" x14ac:dyDescent="0.15">
      <c r="B8" s="289" t="str">
        <f>HLOOKUP($B$5,Region_Table,2,0)</f>
        <v>All East Midlands Region</v>
      </c>
      <c r="C8" s="509" t="s">
        <v>1134</v>
      </c>
      <c r="D8" s="510"/>
      <c r="E8" s="510"/>
      <c r="F8" s="510"/>
      <c r="G8" s="510"/>
      <c r="H8" s="510"/>
      <c r="I8" s="510"/>
      <c r="J8" s="510"/>
      <c r="K8" s="510"/>
      <c r="L8" s="510"/>
      <c r="M8" s="539"/>
      <c r="N8" s="539"/>
      <c r="O8" s="540"/>
      <c r="P8" s="512">
        <f>SUM(SUMIFS('caseload data'!V:V,'caseload data'!B:B,{"licence","community"},'caseload data'!C:C,B8))</f>
        <v>0</v>
      </c>
      <c r="Q8" s="529"/>
      <c r="R8" s="530"/>
      <c r="S8" s="64"/>
      <c r="T8" s="289" t="str">
        <f>HLOOKUP($B$5,Region_Table,3,0)</f>
        <v>Derby City - N53</v>
      </c>
      <c r="U8" s="509" t="s">
        <v>1134</v>
      </c>
      <c r="V8" s="510"/>
      <c r="W8" s="510"/>
      <c r="X8" s="510"/>
      <c r="Y8" s="510"/>
      <c r="Z8" s="510"/>
      <c r="AA8" s="510"/>
      <c r="AB8" s="510"/>
      <c r="AC8" s="510"/>
      <c r="AD8" s="510"/>
      <c r="AE8" s="539"/>
      <c r="AF8" s="539"/>
      <c r="AG8" s="540"/>
      <c r="AH8" s="512">
        <f>SUM(SUMIFS('caseload data'!V:V,'caseload data'!B:B,{"licence","community"},'caseload data'!C:C,T8))</f>
        <v>0</v>
      </c>
      <c r="AI8" s="529"/>
      <c r="AJ8" s="530"/>
    </row>
    <row r="9" spans="1:50" x14ac:dyDescent="0.15">
      <c r="B9" s="95" t="s">
        <v>1000</v>
      </c>
      <c r="C9" s="38" t="s">
        <v>864</v>
      </c>
      <c r="D9" s="38" t="s">
        <v>865</v>
      </c>
      <c r="E9" s="38" t="s">
        <v>866</v>
      </c>
      <c r="F9" s="38" t="s">
        <v>867</v>
      </c>
      <c r="G9" s="38" t="s">
        <v>868</v>
      </c>
      <c r="H9" s="38" t="s">
        <v>869</v>
      </c>
      <c r="I9" s="38" t="s">
        <v>870</v>
      </c>
      <c r="J9" s="38" t="s">
        <v>871</v>
      </c>
      <c r="K9" s="38" t="s">
        <v>872</v>
      </c>
      <c r="L9" s="38" t="s">
        <v>873</v>
      </c>
      <c r="M9" s="38" t="s">
        <v>874</v>
      </c>
      <c r="N9" s="38" t="s">
        <v>875</v>
      </c>
      <c r="O9" s="38" t="s">
        <v>876</v>
      </c>
      <c r="P9" s="38" t="s">
        <v>877</v>
      </c>
      <c r="Q9" s="38" t="s">
        <v>878</v>
      </c>
      <c r="R9" s="38" t="s">
        <v>879</v>
      </c>
      <c r="S9" s="64"/>
      <c r="T9" s="95" t="s">
        <v>1000</v>
      </c>
      <c r="U9" s="38" t="s">
        <v>864</v>
      </c>
      <c r="V9" s="38" t="s">
        <v>865</v>
      </c>
      <c r="W9" s="38" t="s">
        <v>866</v>
      </c>
      <c r="X9" s="38" t="s">
        <v>867</v>
      </c>
      <c r="Y9" s="38" t="s">
        <v>868</v>
      </c>
      <c r="Z9" s="38" t="s">
        <v>869</v>
      </c>
      <c r="AA9" s="38" t="s">
        <v>870</v>
      </c>
      <c r="AB9" s="38" t="s">
        <v>871</v>
      </c>
      <c r="AC9" s="38" t="s">
        <v>872</v>
      </c>
      <c r="AD9" s="38" t="s">
        <v>873</v>
      </c>
      <c r="AE9" s="38" t="s">
        <v>874</v>
      </c>
      <c r="AF9" s="38" t="s">
        <v>875</v>
      </c>
      <c r="AG9" s="38" t="s">
        <v>876</v>
      </c>
      <c r="AH9" s="38" t="s">
        <v>877</v>
      </c>
      <c r="AI9" s="38" t="s">
        <v>878</v>
      </c>
      <c r="AJ9" s="38" t="s">
        <v>879</v>
      </c>
    </row>
    <row r="10" spans="1:50" x14ac:dyDescent="0.15">
      <c r="B10" s="96" t="s">
        <v>997</v>
      </c>
      <c r="C10" s="167" t="str">
        <f>IFERROR(SUM(SUMIFS('caseload data'!E:E,'caseload data'!$C:$C,'community %'!$B$8,'caseload data'!$D:$D,"PO",'caseload data'!$B:$B,{"licence","community"}))/SUM(SUMIFS('caseload data'!E:E,'caseload data'!$B:$B,{"licence","community"},'caseload data'!$C:$C,'community %'!$B$8)),"")</f>
        <v/>
      </c>
      <c r="D10" s="167" t="str">
        <f>IFERROR(SUM(SUMIFS('caseload data'!F:F,'caseload data'!$C:$C,'community %'!$B$8,'caseload data'!$D:$D,"PO",'caseload data'!$B:$B,{"licence","community"}))/SUM(SUMIFS('caseload data'!F:F,'caseload data'!$B:$B,{"licence","community"},'caseload data'!$C:$C,'community %'!$B$8)),"")</f>
        <v/>
      </c>
      <c r="E10" s="167" t="str">
        <f>IFERROR(SUM(SUMIFS('caseload data'!G:G,'caseload data'!$C:$C,'community %'!$B$8,'caseload data'!$D:$D,"PO",'caseload data'!$B:$B,{"licence","community"}))/SUM(SUMIFS('caseload data'!G:G,'caseload data'!$B:$B,{"licence","community"},'caseload data'!$C:$C,'community %'!$B$8)),"")</f>
        <v/>
      </c>
      <c r="F10" s="167" t="str">
        <f>IFERROR(SUM(SUMIFS('caseload data'!H:H,'caseload data'!$C:$C,'community %'!$B$8,'caseload data'!$D:$D,"PO",'caseload data'!$B:$B,{"licence","community"}))/SUM(SUMIFS('caseload data'!H:H,'caseload data'!$B:$B,{"licence","community"},'caseload data'!$C:$C,'community %'!$B$8)),"")</f>
        <v/>
      </c>
      <c r="G10" s="167" t="str">
        <f>IFERROR(SUM(SUMIFS('caseload data'!I:I,'caseload data'!$C:$C,'community %'!$B$8,'caseload data'!$D:$D,"PO",'caseload data'!$B:$B,{"licence","community"}))/SUM(SUMIFS('caseload data'!I:I,'caseload data'!$B:$B,{"licence","community"},'caseload data'!$C:$C,'community %'!$B$8)),"")</f>
        <v/>
      </c>
      <c r="H10" s="167" t="str">
        <f>IFERROR(SUM(SUMIFS('caseload data'!J:J,'caseload data'!$C:$C,'community %'!$B$8,'caseload data'!$D:$D,"PO",'caseload data'!$B:$B,{"licence","community"}))/SUM(SUMIFS('caseload data'!J:J,'caseload data'!$B:$B,{"licence","community"},'caseload data'!$C:$C,'community %'!$B$8)),"")</f>
        <v/>
      </c>
      <c r="I10" s="167" t="str">
        <f>IFERROR(SUM(SUMIFS('caseload data'!K:K,'caseload data'!$C:$C,'community %'!$B$8,'caseload data'!$D:$D,"PO",'caseload data'!$B:$B,{"licence","community"}))/SUM(SUMIFS('caseload data'!K:K,'caseload data'!$B:$B,{"licence","community"},'caseload data'!$C:$C,'community %'!$B$8)),"")</f>
        <v/>
      </c>
      <c r="J10" s="167" t="str">
        <f>IFERROR(SUM(SUMIFS('caseload data'!L:L,'caseload data'!$C:$C,'community %'!$B$8,'caseload data'!$D:$D,"PO",'caseload data'!$B:$B,{"licence","community"}))/SUM(SUMIFS('caseload data'!L:L,'caseload data'!$B:$B,{"licence","community"},'caseload data'!$C:$C,'community %'!$B$8)),"")</f>
        <v/>
      </c>
      <c r="K10" s="167" t="str">
        <f>IFERROR(SUM(SUMIFS('caseload data'!M:M,'caseload data'!$C:$C,'community %'!$B$8,'caseload data'!$D:$D,"PO",'caseload data'!$B:$B,{"licence","community"}))/SUM(SUMIFS('caseload data'!M:M,'caseload data'!$B:$B,{"licence","community"},'caseload data'!$C:$C,'community %'!$B$8)),"")</f>
        <v/>
      </c>
      <c r="L10" s="167" t="str">
        <f>IFERROR(SUM(SUMIFS('caseload data'!N:N,'caseload data'!$C:$C,'community %'!$B$8,'caseload data'!$D:$D,"PO",'caseload data'!$B:$B,{"licence","community"}))/SUM(SUMIFS('caseload data'!N:N,'caseload data'!$B:$B,{"licence","community"},'caseload data'!$C:$C,'community %'!$B$8)),"")</f>
        <v/>
      </c>
      <c r="M10" s="167" t="str">
        <f>IFERROR(SUM(SUMIFS('caseload data'!O:O,'caseload data'!$C:$C,'community %'!$B$8,'caseload data'!$D:$D,"PO",'caseload data'!$B:$B,{"licence","community"}))/SUM(SUMIFS('caseload data'!O:O,'caseload data'!$B:$B,{"licence","community"},'caseload data'!$C:$C,'community %'!$B$8)),"")</f>
        <v/>
      </c>
      <c r="N10" s="167" t="str">
        <f>IFERROR(SUM(SUMIFS('caseload data'!P:P,'caseload data'!$C:$C,'community %'!$B$8,'caseload data'!$D:$D,"PO",'caseload data'!$B:$B,{"licence","community"}))/SUM(SUMIFS('caseload data'!P:P,'caseload data'!$B:$B,{"licence","community"},'caseload data'!$C:$C,'community %'!$B$8)),"")</f>
        <v/>
      </c>
      <c r="O10" s="167" t="str">
        <f>IFERROR(SUM(SUMIFS('caseload data'!Q:Q,'caseload data'!$C:$C,'community %'!$B$8,'caseload data'!$D:$D,"PO",'caseload data'!$B:$B,{"licence","community"}))/SUM(SUMIFS('caseload data'!Q:Q,'caseload data'!$B:$B,{"licence","community"},'caseload data'!$C:$C,'community %'!$B$8)),"")</f>
        <v/>
      </c>
      <c r="P10" s="167" t="str">
        <f>IFERROR(SUM(SUMIFS('caseload data'!R:R,'caseload data'!$C:$C,'community %'!$B$8,'caseload data'!$D:$D,"PO",'caseload data'!$B:$B,{"licence","community"}))/SUM(SUMIFS('caseload data'!R:R,'caseload data'!$B:$B,{"licence","community"},'caseload data'!$C:$C,'community %'!$B$8)),"")</f>
        <v/>
      </c>
      <c r="Q10" s="167" t="str">
        <f>IFERROR(SUM(SUMIFS('caseload data'!S:S,'caseload data'!$C:$C,'community %'!$B$8,'caseload data'!$D:$D,"PO",'caseload data'!$B:$B,{"licence","community"}))/SUM(SUMIFS('caseload data'!S:S,'caseload data'!$B:$B,{"licence","community"},'caseload data'!$C:$C,'community %'!$B$8)),"")</f>
        <v/>
      </c>
      <c r="R10" s="167" t="str">
        <f>IFERROR(SUM(SUMIFS('caseload data'!T:T,'caseload data'!$C:$C,'community %'!$B$8,'caseload data'!$D:$D,"PO",'caseload data'!$B:$B,{"licence","community"}))/SUM(SUMIFS('caseload data'!T:T,'caseload data'!$B:$B,{"licence","community"},'caseload data'!$C:$C,'community %'!$B$8)),"")</f>
        <v/>
      </c>
      <c r="S10" s="64"/>
      <c r="T10" s="96" t="s">
        <v>997</v>
      </c>
      <c r="U10" s="167" t="str">
        <f>IFERROR(SUM(SUMIFS('caseload data'!E:E,'caseload data'!$C:$C,'community %'!$T$8,'caseload data'!$D:$D,"PO",'caseload data'!$B:$B,{"licence","community"}))/SUM(SUMIFS('caseload data'!E:E,'caseload data'!$B:$B,{"licence","community"},'caseload data'!$C:$C,'community %'!$T$8)),"")</f>
        <v/>
      </c>
      <c r="V10" s="167" t="str">
        <f>IFERROR(SUM(SUMIFS('caseload data'!F:F,'caseload data'!$C:$C,'community %'!$T$8,'caseload data'!$D:$D,"PO",'caseload data'!$B:$B,{"licence","community"}))/SUM(SUMIFS('caseload data'!F:F,'caseload data'!$B:$B,{"licence","community"},'caseload data'!$C:$C,'community %'!$T$8)),"")</f>
        <v/>
      </c>
      <c r="W10" s="167" t="str">
        <f>IFERROR(SUM(SUMIFS('caseload data'!G:G,'caseload data'!$C:$C,'community %'!$T$8,'caseload data'!$D:$D,"PO",'caseload data'!$B:$B,{"licence","community"}))/SUM(SUMIFS('caseload data'!G:G,'caseload data'!$B:$B,{"licence","community"},'caseload data'!$C:$C,'community %'!$T$8)),"")</f>
        <v/>
      </c>
      <c r="X10" s="167" t="str">
        <f>IFERROR(SUM(SUMIFS('caseload data'!H:H,'caseload data'!$C:$C,'community %'!$T$8,'caseload data'!$D:$D,"PO",'caseload data'!$B:$B,{"licence","community"}))/SUM(SUMIFS('caseload data'!H:H,'caseload data'!$B:$B,{"licence","community"},'caseload data'!$C:$C,'community %'!$T$8)),"")</f>
        <v/>
      </c>
      <c r="Y10" s="167" t="str">
        <f>IFERROR(SUM(SUMIFS('caseload data'!I:I,'caseload data'!$C:$C,'community %'!$T$8,'caseload data'!$D:$D,"PO",'caseload data'!$B:$B,{"licence","community"}))/SUM(SUMIFS('caseload data'!I:I,'caseload data'!$B:$B,{"licence","community"},'caseload data'!$C:$C,'community %'!$T$8)),"")</f>
        <v/>
      </c>
      <c r="Z10" s="167" t="str">
        <f>IFERROR(SUM(SUMIFS('caseload data'!J:J,'caseload data'!$C:$C,'community %'!$T$8,'caseload data'!$D:$D,"PO",'caseload data'!$B:$B,{"licence","community"}))/SUM(SUMIFS('caseload data'!J:J,'caseload data'!$B:$B,{"licence","community"},'caseload data'!$C:$C,'community %'!$T$8)),"")</f>
        <v/>
      </c>
      <c r="AA10" s="167" t="str">
        <f>IFERROR(SUM(SUMIFS('caseload data'!K:K,'caseload data'!$C:$C,'community %'!$T$8,'caseload data'!$D:$D,"PO",'caseload data'!$B:$B,{"licence","community"}))/SUM(SUMIFS('caseload data'!K:K,'caseload data'!$B:$B,{"licence","community"},'caseload data'!$C:$C,'community %'!$T$8)),"")</f>
        <v/>
      </c>
      <c r="AB10" s="167" t="str">
        <f>IFERROR(SUM(SUMIFS('caseload data'!L:L,'caseload data'!$C:$C,'community %'!$T$8,'caseload data'!$D:$D,"PO",'caseload data'!$B:$B,{"licence","community"}))/SUM(SUMIFS('caseload data'!L:L,'caseload data'!$B:$B,{"licence","community"},'caseload data'!$C:$C,'community %'!$T$8)),"")</f>
        <v/>
      </c>
      <c r="AC10" s="167" t="str">
        <f>IFERROR(SUM(SUMIFS('caseload data'!M:M,'caseload data'!$C:$C,'community %'!$T$8,'caseload data'!$D:$D,"PO",'caseload data'!$B:$B,{"licence","community"}))/SUM(SUMIFS('caseload data'!M:M,'caseload data'!$B:$B,{"licence","community"},'caseload data'!$C:$C,'community %'!$T$8)),"")</f>
        <v/>
      </c>
      <c r="AD10" s="167" t="str">
        <f>IFERROR(SUM(SUMIFS('caseload data'!N:N,'caseload data'!$C:$C,'community %'!$T$8,'caseload data'!$D:$D,"PO",'caseload data'!$B:$B,{"licence","community"}))/SUM(SUMIFS('caseload data'!N:N,'caseload data'!$B:$B,{"licence","community"},'caseload data'!$C:$C,'community %'!$T$8)),"")</f>
        <v/>
      </c>
      <c r="AE10" s="167" t="str">
        <f>IFERROR(SUM(SUMIFS('caseload data'!O:O,'caseload data'!$C:$C,'community %'!$T$8,'caseload data'!$D:$D,"PO",'caseload data'!$B:$B,{"licence","community"}))/SUM(SUMIFS('caseload data'!O:O,'caseload data'!$B:$B,{"licence","community"},'caseload data'!$C:$C,'community %'!$T$8)),"")</f>
        <v/>
      </c>
      <c r="AF10" s="167" t="str">
        <f>IFERROR(SUM(SUMIFS('caseload data'!P:P,'caseload data'!$C:$C,'community %'!$T$8,'caseload data'!$D:$D,"PO",'caseload data'!$B:$B,{"licence","community"}))/SUM(SUMIFS('caseload data'!P:P,'caseload data'!$B:$B,{"licence","community"},'caseload data'!$C:$C,'community %'!$T$8)),"")</f>
        <v/>
      </c>
      <c r="AG10" s="167" t="str">
        <f>IFERROR(SUM(SUMIFS('caseload data'!Q:Q,'caseload data'!$C:$C,'community %'!$T$8,'caseload data'!$D:$D,"PO",'caseload data'!$B:$B,{"licence","community"}))/SUM(SUMIFS('caseload data'!Q:Q,'caseload data'!$B:$B,{"licence","community"},'caseload data'!$C:$C,'community %'!$T$8)),"")</f>
        <v/>
      </c>
      <c r="AH10" s="167" t="str">
        <f>IFERROR(SUM(SUMIFS('caseload data'!R:R,'caseload data'!$C:$C,'community %'!$T$8,'caseload data'!$D:$D,"PO",'caseload data'!$B:$B,{"licence","community"}))/SUM(SUMIFS('caseload data'!R:R,'caseload data'!$B:$B,{"licence","community"},'caseload data'!$C:$C,'community %'!$T$8)),"")</f>
        <v/>
      </c>
      <c r="AI10" s="167" t="str">
        <f>IFERROR(SUM(SUMIFS('caseload data'!S:S,'caseload data'!$C:$C,'community %'!$T$8,'caseload data'!$D:$D,"PO",'caseload data'!$B:$B,{"licence","community"}))/SUM(SUMIFS('caseload data'!S:S,'caseload data'!$B:$B,{"licence","community"},'caseload data'!$C:$C,'community %'!$T$8)),"")</f>
        <v/>
      </c>
      <c r="AJ10" s="167" t="str">
        <f>IFERROR(SUM(SUMIFS('caseload data'!T:T,'caseload data'!$C:$C,'community %'!$T$8,'caseload data'!$D:$D,"PO",'caseload data'!$B:$B,{"licence","community"}))/SUM(SUMIFS('caseload data'!T:T,'caseload data'!$B:$B,{"licence","community"},'caseload data'!$C:$C,'community %'!$T$8)),"")</f>
        <v/>
      </c>
    </row>
    <row r="11" spans="1:50" x14ac:dyDescent="0.15">
      <c r="B11" s="97" t="s">
        <v>1002</v>
      </c>
      <c r="C11" s="167" t="str">
        <f>IFERROR(SUM(SUMIFS('caseload data'!E:E,'caseload data'!$C:$C,'community %'!$B$8,'caseload data'!$D:$D,"PSO",'caseload data'!$B:$B,{"licence","community"}))/SUM(SUMIFS('caseload data'!E:E,'caseload data'!$B:$B,{"licence","community"},'caseload data'!$C:$C,'community %'!$B$8)),"")</f>
        <v/>
      </c>
      <c r="D11" s="167" t="str">
        <f>IFERROR(SUM(SUMIFS('caseload data'!F:F,'caseload data'!$C:$C,'community %'!$B$8,'caseload data'!$D:$D,"PSO",'caseload data'!$B:$B,{"licence","community"}))/SUM(SUMIFS('caseload data'!F:F,'caseload data'!$B:$B,{"licence","community"},'caseload data'!$C:$C,'community %'!$B$8)),"")</f>
        <v/>
      </c>
      <c r="E11" s="167" t="str">
        <f>IFERROR(SUM(SUMIFS('caseload data'!G:G,'caseload data'!$C:$C,'community %'!$B$8,'caseload data'!$D:$D,"PSO",'caseload data'!$B:$B,{"licence","community"}))/SUM(SUMIFS('caseload data'!G:G,'caseload data'!$B:$B,{"licence","community"},'caseload data'!$C:$C,'community %'!$B$8)),"")</f>
        <v/>
      </c>
      <c r="F11" s="167" t="str">
        <f>IFERROR(SUM(SUMIFS('caseload data'!H:H,'caseload data'!$C:$C,'community %'!$B$8,'caseload data'!$D:$D,"PSO",'caseload data'!$B:$B,{"licence","community"}))/SUM(SUMIFS('caseload data'!H:H,'caseload data'!$B:$B,{"licence","community"},'caseload data'!$C:$C,'community %'!$B$8)),"")</f>
        <v/>
      </c>
      <c r="G11" s="167" t="str">
        <f>IFERROR(SUM(SUMIFS('caseload data'!I:I,'caseload data'!$C:$C,'community %'!$B$8,'caseload data'!$D:$D,"PSO",'caseload data'!$B:$B,{"licence","community"}))/SUM(SUMIFS('caseload data'!I:I,'caseload data'!$B:$B,{"licence","community"},'caseload data'!$C:$C,'community %'!$B$8)),"")</f>
        <v/>
      </c>
      <c r="H11" s="167" t="str">
        <f>IFERROR(SUM(SUMIFS('caseload data'!J:J,'caseload data'!$C:$C,'community %'!$B$8,'caseload data'!$D:$D,"PSO",'caseload data'!$B:$B,{"licence","community"}))/SUM(SUMIFS('caseload data'!J:J,'caseload data'!$B:$B,{"licence","community"},'caseload data'!$C:$C,'community %'!$B$8)),"")</f>
        <v/>
      </c>
      <c r="I11" s="167" t="str">
        <f>IFERROR(SUM(SUMIFS('caseload data'!K:K,'caseload data'!$C:$C,'community %'!$B$8,'caseload data'!$D:$D,"PSO",'caseload data'!$B:$B,{"licence","community"}))/SUM(SUMIFS('caseload data'!K:K,'caseload data'!$B:$B,{"licence","community"},'caseload data'!$C:$C,'community %'!$B$8)),"")</f>
        <v/>
      </c>
      <c r="J11" s="167" t="str">
        <f>IFERROR(SUM(SUMIFS('caseload data'!L:L,'caseload data'!$C:$C,'community %'!$B$8,'caseload data'!$D:$D,"PSO",'caseload data'!$B:$B,{"licence","community"}))/SUM(SUMIFS('caseload data'!L:L,'caseload data'!$B:$B,{"licence","community"},'caseload data'!$C:$C,'community %'!$B$8)),"")</f>
        <v/>
      </c>
      <c r="K11" s="167" t="str">
        <f>IFERROR(SUM(SUMIFS('caseload data'!M:M,'caseload data'!$C:$C,'community %'!$B$8,'caseload data'!$D:$D,"PSO",'caseload data'!$B:$B,{"licence","community"}))/SUM(SUMIFS('caseload data'!M:M,'caseload data'!$B:$B,{"licence","community"},'caseload data'!$C:$C,'community %'!$B$8)),"")</f>
        <v/>
      </c>
      <c r="L11" s="167" t="str">
        <f>IFERROR(SUM(SUMIFS('caseload data'!N:N,'caseload data'!$C:$C,'community %'!$B$8,'caseload data'!$D:$D,"PSO",'caseload data'!$B:$B,{"licence","community"}))/SUM(SUMIFS('caseload data'!N:N,'caseload data'!$B:$B,{"licence","community"},'caseload data'!$C:$C,'community %'!$B$8)),"")</f>
        <v/>
      </c>
      <c r="M11" s="167" t="str">
        <f>IFERROR(SUM(SUMIFS('caseload data'!O:O,'caseload data'!$C:$C,'community %'!$B$8,'caseload data'!$D:$D,"PSO",'caseload data'!$B:$B,{"licence","community"}))/SUM(SUMIFS('caseload data'!O:O,'caseload data'!$B:$B,{"licence","community"},'caseload data'!$C:$C,'community %'!$B$8)),"")</f>
        <v/>
      </c>
      <c r="N11" s="167" t="str">
        <f>IFERROR(SUM(SUMIFS('caseload data'!P:P,'caseload data'!$C:$C,'community %'!$B$8,'caseload data'!$D:$D,"PSO",'caseload data'!$B:$B,{"licence","community"}))/SUM(SUMIFS('caseload data'!P:P,'caseload data'!$B:$B,{"licence","community"},'caseload data'!$C:$C,'community %'!$B$8)),"")</f>
        <v/>
      </c>
      <c r="O11" s="167" t="str">
        <f>IFERROR(SUM(SUMIFS('caseload data'!Q:Q,'caseload data'!$C:$C,'community %'!$B$8,'caseload data'!$D:$D,"PSO",'caseload data'!$B:$B,{"licence","community"}))/SUM(SUMIFS('caseload data'!Q:Q,'caseload data'!$B:$B,{"licence","community"},'caseload data'!$C:$C,'community %'!$B$8)),"")</f>
        <v/>
      </c>
      <c r="P11" s="167" t="str">
        <f>IFERROR(SUM(SUMIFS('caseload data'!R:R,'caseload data'!$C:$C,'community %'!$B$8,'caseload data'!$D:$D,"PSO",'caseload data'!$B:$B,{"licence","community"}))/SUM(SUMIFS('caseload data'!R:R,'caseload data'!$B:$B,{"licence","community"},'caseload data'!$C:$C,'community %'!$B$8)),"")</f>
        <v/>
      </c>
      <c r="Q11" s="167" t="str">
        <f>IFERROR(SUM(SUMIFS('caseload data'!S:S,'caseload data'!$C:$C,'community %'!$B$8,'caseload data'!$D:$D,"PSO",'caseload data'!$B:$B,{"licence","community"}))/SUM(SUMIFS('caseload data'!S:S,'caseload data'!$B:$B,{"licence","community"},'caseload data'!$C:$C,'community %'!$B$8)),"")</f>
        <v/>
      </c>
      <c r="R11" s="167" t="str">
        <f>IFERROR(SUM(SUMIFS('caseload data'!T:T,'caseload data'!$C:$C,'community %'!$B$8,'caseload data'!$D:$D,"PSO",'caseload data'!$B:$B,{"licence","community"}))/SUM(SUMIFS('caseload data'!T:T,'caseload data'!$B:$B,{"licence","community"},'caseload data'!$C:$C,'community %'!$B$8)),"")</f>
        <v/>
      </c>
      <c r="S11" s="64"/>
      <c r="T11" s="97" t="s">
        <v>1002</v>
      </c>
      <c r="U11" s="167" t="str">
        <f>IFERROR(SUM(SUMIFS('caseload data'!E:E,'caseload data'!$C:$C,'community %'!$T$8,'caseload data'!$D:$D,"PSO",'caseload data'!$B:$B,{"licence","community"}))/SUM(SUMIFS('caseload data'!E:E,'caseload data'!$B:$B,{"licence","community"},'caseload data'!$C:$C,'community %'!$T$8)),"")</f>
        <v/>
      </c>
      <c r="V11" s="167" t="str">
        <f>IFERROR(SUM(SUMIFS('caseload data'!F:F,'caseload data'!$C:$C,'community %'!$T$8,'caseload data'!$D:$D,"PSO",'caseload data'!$B:$B,{"licence","community"}))/SUM(SUMIFS('caseload data'!F:F,'caseload data'!$B:$B,{"licence","community"},'caseload data'!$C:$C,'community %'!$T$8)),"")</f>
        <v/>
      </c>
      <c r="W11" s="167" t="str">
        <f>IFERROR(SUM(SUMIFS('caseload data'!G:G,'caseload data'!$C:$C,'community %'!$T$8,'caseload data'!$D:$D,"PSO",'caseload data'!$B:$B,{"licence","community"}))/SUM(SUMIFS('caseload data'!G:G,'caseload data'!$B:$B,{"licence","community"},'caseload data'!$C:$C,'community %'!$T$8)),"")</f>
        <v/>
      </c>
      <c r="X11" s="167" t="str">
        <f>IFERROR(SUM(SUMIFS('caseload data'!H:H,'caseload data'!$C:$C,'community %'!$T$8,'caseload data'!$D:$D,"PSO",'caseload data'!$B:$B,{"licence","community"}))/SUM(SUMIFS('caseload data'!H:H,'caseload data'!$B:$B,{"licence","community"},'caseload data'!$C:$C,'community %'!$T$8)),"")</f>
        <v/>
      </c>
      <c r="Y11" s="167" t="str">
        <f>IFERROR(SUM(SUMIFS('caseload data'!I:I,'caseload data'!$C:$C,'community %'!$T$8,'caseload data'!$D:$D,"PSO",'caseload data'!$B:$B,{"licence","community"}))/SUM(SUMIFS('caseload data'!I:I,'caseload data'!$B:$B,{"licence","community"},'caseload data'!$C:$C,'community %'!$T$8)),"")</f>
        <v/>
      </c>
      <c r="Z11" s="167" t="str">
        <f>IFERROR(SUM(SUMIFS('caseload data'!J:J,'caseload data'!$C:$C,'community %'!$T$8,'caseload data'!$D:$D,"PSO",'caseload data'!$B:$B,{"licence","community"}))/SUM(SUMIFS('caseload data'!J:J,'caseload data'!$B:$B,{"licence","community"},'caseload data'!$C:$C,'community %'!$T$8)),"")</f>
        <v/>
      </c>
      <c r="AA11" s="167" t="str">
        <f>IFERROR(SUM(SUMIFS('caseload data'!K:K,'caseload data'!$C:$C,'community %'!$T$8,'caseload data'!$D:$D,"PSO",'caseload data'!$B:$B,{"licence","community"}))/SUM(SUMIFS('caseload data'!K:K,'caseload data'!$B:$B,{"licence","community"},'caseload data'!$C:$C,'community %'!$T$8)),"")</f>
        <v/>
      </c>
      <c r="AB11" s="167" t="str">
        <f>IFERROR(SUM(SUMIFS('caseload data'!L:L,'caseload data'!$C:$C,'community %'!$T$8,'caseload data'!$D:$D,"PSO",'caseload data'!$B:$B,{"licence","community"}))/SUM(SUMIFS('caseload data'!L:L,'caseload data'!$B:$B,{"licence","community"},'caseload data'!$C:$C,'community %'!$T$8)),"")</f>
        <v/>
      </c>
      <c r="AC11" s="167" t="str">
        <f>IFERROR(SUM(SUMIFS('caseload data'!M:M,'caseload data'!$C:$C,'community %'!$T$8,'caseload data'!$D:$D,"PSO",'caseload data'!$B:$B,{"licence","community"}))/SUM(SUMIFS('caseload data'!M:M,'caseload data'!$B:$B,{"licence","community"},'caseload data'!$C:$C,'community %'!$T$8)),"")</f>
        <v/>
      </c>
      <c r="AD11" s="167" t="str">
        <f>IFERROR(SUM(SUMIFS('caseload data'!N:N,'caseload data'!$C:$C,'community %'!$T$8,'caseload data'!$D:$D,"PSO",'caseload data'!$B:$B,{"licence","community"}))/SUM(SUMIFS('caseload data'!N:N,'caseload data'!$B:$B,{"licence","community"},'caseload data'!$C:$C,'community %'!$T$8)),"")</f>
        <v/>
      </c>
      <c r="AE11" s="167" t="str">
        <f>IFERROR(SUM(SUMIFS('caseload data'!O:O,'caseload data'!$C:$C,'community %'!$T$8,'caseload data'!$D:$D,"PSO",'caseload data'!$B:$B,{"licence","community"}))/SUM(SUMIFS('caseload data'!O:O,'caseload data'!$B:$B,{"licence","community"},'caseload data'!$C:$C,'community %'!$T$8)),"")</f>
        <v/>
      </c>
      <c r="AF11" s="167" t="str">
        <f>IFERROR(SUM(SUMIFS('caseload data'!P:P,'caseload data'!$C:$C,'community %'!$T$8,'caseload data'!$D:$D,"PSO",'caseload data'!$B:$B,{"licence","community"}))/SUM(SUMIFS('caseload data'!P:P,'caseload data'!$B:$B,{"licence","community"},'caseload data'!$C:$C,'community %'!$T$8)),"")</f>
        <v/>
      </c>
      <c r="AG11" s="167" t="str">
        <f>IFERROR(SUM(SUMIFS('caseload data'!Q:Q,'caseload data'!$C:$C,'community %'!$T$8,'caseload data'!$D:$D,"PSO",'caseload data'!$B:$B,{"licence","community"}))/SUM(SUMIFS('caseload data'!Q:Q,'caseload data'!$B:$B,{"licence","community"},'caseload data'!$C:$C,'community %'!$T$8)),"")</f>
        <v/>
      </c>
      <c r="AH11" s="167" t="str">
        <f>IFERROR(SUM(SUMIFS('caseload data'!R:R,'caseload data'!$C:$C,'community %'!$T$8,'caseload data'!$D:$D,"PSO",'caseload data'!$B:$B,{"licence","community"}))/SUM(SUMIFS('caseload data'!R:R,'caseload data'!$B:$B,{"licence","community"},'caseload data'!$C:$C,'community %'!$T$8)),"")</f>
        <v/>
      </c>
      <c r="AI11" s="167" t="str">
        <f>IFERROR(SUM(SUMIFS('caseload data'!S:S,'caseload data'!$C:$C,'community %'!$T$8,'caseload data'!$D:$D,"PSO",'caseload data'!$B:$B,{"licence","community"}))/SUM(SUMIFS('caseload data'!S:S,'caseload data'!$B:$B,{"licence","community"},'caseload data'!$C:$C,'community %'!$T$8)),"")</f>
        <v/>
      </c>
      <c r="AJ11" s="167" t="str">
        <f>IFERROR(SUM(SUMIFS('caseload data'!T:T,'caseload data'!$C:$C,'community %'!$T$8,'caseload data'!$D:$D,"PSO",'caseload data'!$B:$B,{"licence","community"}))/SUM(SUMIFS('caseload data'!T:T,'caseload data'!$B:$B,{"licence","community"},'caseload data'!$C:$C,'community %'!$T$8)),"")</f>
        <v/>
      </c>
    </row>
    <row r="12" spans="1:50" x14ac:dyDescent="0.15">
      <c r="B12" s="97" t="s">
        <v>1003</v>
      </c>
      <c r="C12" s="167" t="str">
        <f>IFERROR(SUM(SUMIFS('caseload data'!E:E,'caseload data'!$C:$C,'community %'!$B$8,'caseload data'!$D:$D,"TPO",'caseload data'!$B:$B,{"licence","community"}))/SUM(SUMIFS('caseload data'!E:E,'caseload data'!$B:$B,{"licence","community"},'caseload data'!$C:$C,'community %'!$B$8)),"")</f>
        <v/>
      </c>
      <c r="D12" s="167" t="str">
        <f>IFERROR(SUM(SUMIFS('caseload data'!F:F,'caseload data'!$C:$C,'community %'!$B$8,'caseload data'!$D:$D,"TPO",'caseload data'!$B:$B,{"licence","community"}))/SUM(SUMIFS('caseload data'!F:F,'caseload data'!$B:$B,{"licence","community"},'caseload data'!$C:$C,'community %'!$B$8)),"")</f>
        <v/>
      </c>
      <c r="E12" s="167" t="str">
        <f>IFERROR(SUM(SUMIFS('caseload data'!G:G,'caseload data'!$C:$C,'community %'!$B$8,'caseload data'!$D:$D,"TPO",'caseload data'!$B:$B,{"licence","community"}))/SUM(SUMIFS('caseload data'!G:G,'caseload data'!$B:$B,{"licence","community"},'caseload data'!$C:$C,'community %'!$B$8)),"")</f>
        <v/>
      </c>
      <c r="F12" s="167" t="str">
        <f>IFERROR(SUM(SUMIFS('caseload data'!H:H,'caseload data'!$C:$C,'community %'!$B$8,'caseload data'!$D:$D,"TPO",'caseload data'!$B:$B,{"licence","community"}))/SUM(SUMIFS('caseload data'!H:H,'caseload data'!$B:$B,{"licence","community"},'caseload data'!$C:$C,'community %'!$B$8)),"")</f>
        <v/>
      </c>
      <c r="G12" s="167" t="str">
        <f>IFERROR(SUM(SUMIFS('caseload data'!I:I,'caseload data'!$C:$C,'community %'!$B$8,'caseload data'!$D:$D,"TPO",'caseload data'!$B:$B,{"licence","community"}))/SUM(SUMIFS('caseload data'!I:I,'caseload data'!$B:$B,{"licence","community"},'caseload data'!$C:$C,'community %'!$B$8)),"")</f>
        <v/>
      </c>
      <c r="H12" s="167" t="str">
        <f>IFERROR(SUM(SUMIFS('caseload data'!J:J,'caseload data'!$C:$C,'community %'!$B$8,'caseload data'!$D:$D,"TPO",'caseload data'!$B:$B,{"licence","community"}))/SUM(SUMIFS('caseload data'!J:J,'caseload data'!$B:$B,{"licence","community"},'caseload data'!$C:$C,'community %'!$B$8)),"")</f>
        <v/>
      </c>
      <c r="I12" s="167" t="str">
        <f>IFERROR(SUM(SUMIFS('caseload data'!K:K,'caseload data'!$C:$C,'community %'!$B$8,'caseload data'!$D:$D,"TPO",'caseload data'!$B:$B,{"licence","community"}))/SUM(SUMIFS('caseload data'!K:K,'caseload data'!$B:$B,{"licence","community"},'caseload data'!$C:$C,'community %'!$B$8)),"")</f>
        <v/>
      </c>
      <c r="J12" s="167" t="str">
        <f>IFERROR(SUM(SUMIFS('caseload data'!L:L,'caseload data'!$C:$C,'community %'!$B$8,'caseload data'!$D:$D,"TPO",'caseload data'!$B:$B,{"licence","community"}))/SUM(SUMIFS('caseload data'!L:L,'caseload data'!$B:$B,{"licence","community"},'caseload data'!$C:$C,'community %'!$B$8)),"")</f>
        <v/>
      </c>
      <c r="K12" s="167" t="str">
        <f>IFERROR(SUM(SUMIFS('caseload data'!M:M,'caseload data'!$C:$C,'community %'!$B$8,'caseload data'!$D:$D,"TPO",'caseload data'!$B:$B,{"licence","community"}))/SUM(SUMIFS('caseload data'!M:M,'caseload data'!$B:$B,{"licence","community"},'caseload data'!$C:$C,'community %'!$B$8)),"")</f>
        <v/>
      </c>
      <c r="L12" s="167" t="str">
        <f>IFERROR(SUM(SUMIFS('caseload data'!N:N,'caseload data'!$C:$C,'community %'!$B$8,'caseload data'!$D:$D,"TPO",'caseload data'!$B:$B,{"licence","community"}))/SUM(SUMIFS('caseload data'!N:N,'caseload data'!$B:$B,{"licence","community"},'caseload data'!$C:$C,'community %'!$B$8)),"")</f>
        <v/>
      </c>
      <c r="M12" s="167" t="str">
        <f>IFERROR(SUM(SUMIFS('caseload data'!O:O,'caseload data'!$C:$C,'community %'!$B$8,'caseload data'!$D:$D,"TPO",'caseload data'!$B:$B,{"licence","community"}))/SUM(SUMIFS('caseload data'!O:O,'caseload data'!$B:$B,{"licence","community"},'caseload data'!$C:$C,'community %'!$B$8)),"")</f>
        <v/>
      </c>
      <c r="N12" s="167" t="str">
        <f>IFERROR(SUM(SUMIFS('caseload data'!P:P,'caseload data'!$C:$C,'community %'!$B$8,'caseload data'!$D:$D,"TPO",'caseload data'!$B:$B,{"licence","community"}))/SUM(SUMIFS('caseload data'!P:P,'caseload data'!$B:$B,{"licence","community"},'caseload data'!$C:$C,'community %'!$B$8)),"")</f>
        <v/>
      </c>
      <c r="O12" s="167" t="str">
        <f>IFERROR(SUM(SUMIFS('caseload data'!Q:Q,'caseload data'!$C:$C,'community %'!$B$8,'caseload data'!$D:$D,"TPO",'caseload data'!$B:$B,{"licence","community"}))/SUM(SUMIFS('caseload data'!Q:Q,'caseload data'!$B:$B,{"licence","community"},'caseload data'!$C:$C,'community %'!$B$8)),"")</f>
        <v/>
      </c>
      <c r="P12" s="167" t="str">
        <f>IFERROR(SUM(SUMIFS('caseload data'!R:R,'caseload data'!$C:$C,'community %'!$B$8,'caseload data'!$D:$D,"TPO",'caseload data'!$B:$B,{"licence","community"}))/SUM(SUMIFS('caseload data'!R:R,'caseload data'!$B:$B,{"licence","community"},'caseload data'!$C:$C,'community %'!$B$8)),"")</f>
        <v/>
      </c>
      <c r="Q12" s="167" t="str">
        <f>IFERROR(SUM(SUMIFS('caseload data'!S:S,'caseload data'!$C:$C,'community %'!$B$8,'caseload data'!$D:$D,"TPO",'caseload data'!$B:$B,{"licence","community"}))/SUM(SUMIFS('caseload data'!S:S,'caseload data'!$B:$B,{"licence","community"},'caseload data'!$C:$C,'community %'!$B$8)),"")</f>
        <v/>
      </c>
      <c r="R12" s="167" t="str">
        <f>IFERROR(SUM(SUMIFS('caseload data'!T:T,'caseload data'!$C:$C,'community %'!$B$8,'caseload data'!$D:$D,"TPO",'caseload data'!$B:$B,{"licence","community"}))/SUM(SUMIFS('caseload data'!T:T,'caseload data'!$B:$B,{"licence","community"},'caseload data'!$C:$C,'community %'!$B$8)),"")</f>
        <v/>
      </c>
      <c r="S12" s="64"/>
      <c r="T12" s="97" t="s">
        <v>1003</v>
      </c>
      <c r="U12" s="167" t="str">
        <f>IFERROR(SUM(SUMIFS('caseload data'!E:E,'caseload data'!$C:$C,'community %'!$T$8,'caseload data'!$D:$D,"TPO",'caseload data'!$B:$B,{"licence","community"}))/SUM(SUMIFS('caseload data'!E:E,'caseload data'!$B:$B,{"licence","community"},'caseload data'!$C:$C,'community %'!$T$8)),"")</f>
        <v/>
      </c>
      <c r="V12" s="167" t="str">
        <f>IFERROR(SUM(SUMIFS('caseload data'!F:F,'caseload data'!$C:$C,'community %'!$T$8,'caseload data'!$D:$D,"TPO",'caseload data'!$B:$B,{"licence","community"}))/SUM(SUMIFS('caseload data'!F:F,'caseload data'!$B:$B,{"licence","community"},'caseload data'!$C:$C,'community %'!$T$8)),"")</f>
        <v/>
      </c>
      <c r="W12" s="167" t="str">
        <f>IFERROR(SUM(SUMIFS('caseload data'!G:G,'caseload data'!$C:$C,'community %'!$T$8,'caseload data'!$D:$D,"TPO",'caseload data'!$B:$B,{"licence","community"}))/SUM(SUMIFS('caseload data'!G:G,'caseload data'!$B:$B,{"licence","community"},'caseload data'!$C:$C,'community %'!$T$8)),"")</f>
        <v/>
      </c>
      <c r="X12" s="167" t="str">
        <f>IFERROR(SUM(SUMIFS('caseload data'!H:H,'caseload data'!$C:$C,'community %'!$T$8,'caseload data'!$D:$D,"TPO",'caseload data'!$B:$B,{"licence","community"}))/SUM(SUMIFS('caseload data'!H:H,'caseload data'!$B:$B,{"licence","community"},'caseload data'!$C:$C,'community %'!$T$8)),"")</f>
        <v/>
      </c>
      <c r="Y12" s="167" t="str">
        <f>IFERROR(SUM(SUMIFS('caseload data'!I:I,'caseload data'!$C:$C,'community %'!$T$8,'caseload data'!$D:$D,"TPO",'caseload data'!$B:$B,{"licence","community"}))/SUM(SUMIFS('caseload data'!I:I,'caseload data'!$B:$B,{"licence","community"},'caseload data'!$C:$C,'community %'!$T$8)),"")</f>
        <v/>
      </c>
      <c r="Z12" s="167" t="str">
        <f>IFERROR(SUM(SUMIFS('caseload data'!J:J,'caseload data'!$C:$C,'community %'!$T$8,'caseload data'!$D:$D,"TPO",'caseload data'!$B:$B,{"licence","community"}))/SUM(SUMIFS('caseload data'!J:J,'caseload data'!$B:$B,{"licence","community"},'caseload data'!$C:$C,'community %'!$T$8)),"")</f>
        <v/>
      </c>
      <c r="AA12" s="167" t="str">
        <f>IFERROR(SUM(SUMIFS('caseload data'!K:K,'caseload data'!$C:$C,'community %'!$T$8,'caseload data'!$D:$D,"TPO",'caseload data'!$B:$B,{"licence","community"}))/SUM(SUMIFS('caseload data'!K:K,'caseload data'!$B:$B,{"licence","community"},'caseload data'!$C:$C,'community %'!$T$8)),"")</f>
        <v/>
      </c>
      <c r="AB12" s="167" t="str">
        <f>IFERROR(SUM(SUMIFS('caseload data'!L:L,'caseload data'!$C:$C,'community %'!$T$8,'caseload data'!$D:$D,"TPO",'caseload data'!$B:$B,{"licence","community"}))/SUM(SUMIFS('caseload data'!L:L,'caseload data'!$B:$B,{"licence","community"},'caseload data'!$C:$C,'community %'!$T$8)),"")</f>
        <v/>
      </c>
      <c r="AC12" s="167" t="str">
        <f>IFERROR(SUM(SUMIFS('caseload data'!M:M,'caseload data'!$C:$C,'community %'!$T$8,'caseload data'!$D:$D,"TPO",'caseload data'!$B:$B,{"licence","community"}))/SUM(SUMIFS('caseload data'!M:M,'caseload data'!$B:$B,{"licence","community"},'caseload data'!$C:$C,'community %'!$T$8)),"")</f>
        <v/>
      </c>
      <c r="AD12" s="167" t="str">
        <f>IFERROR(SUM(SUMIFS('caseload data'!N:N,'caseload data'!$C:$C,'community %'!$T$8,'caseload data'!$D:$D,"TPO",'caseload data'!$B:$B,{"licence","community"}))/SUM(SUMIFS('caseload data'!N:N,'caseload data'!$B:$B,{"licence","community"},'caseload data'!$C:$C,'community %'!$T$8)),"")</f>
        <v/>
      </c>
      <c r="AE12" s="167" t="str">
        <f>IFERROR(SUM(SUMIFS('caseload data'!O:O,'caseload data'!$C:$C,'community %'!$T$8,'caseload data'!$D:$D,"TPO",'caseload data'!$B:$B,{"licence","community"}))/SUM(SUMIFS('caseload data'!O:O,'caseload data'!$B:$B,{"licence","community"},'caseload data'!$C:$C,'community %'!$T$8)),"")</f>
        <v/>
      </c>
      <c r="AF12" s="167" t="str">
        <f>IFERROR(SUM(SUMIFS('caseload data'!P:P,'caseload data'!$C:$C,'community %'!$T$8,'caseload data'!$D:$D,"TPO",'caseload data'!$B:$B,{"licence","community"}))/SUM(SUMIFS('caseload data'!P:P,'caseload data'!$B:$B,{"licence","community"},'caseload data'!$C:$C,'community %'!$T$8)),"")</f>
        <v/>
      </c>
      <c r="AG12" s="167" t="str">
        <f>IFERROR(SUM(SUMIFS('caseload data'!Q:Q,'caseload data'!$C:$C,'community %'!$T$8,'caseload data'!$D:$D,"TPO",'caseload data'!$B:$B,{"licence","community"}))/SUM(SUMIFS('caseload data'!Q:Q,'caseload data'!$B:$B,{"licence","community"},'caseload data'!$C:$C,'community %'!$T$8)),"")</f>
        <v/>
      </c>
      <c r="AH12" s="167" t="str">
        <f>IFERROR(SUM(SUMIFS('caseload data'!R:R,'caseload data'!$C:$C,'community %'!$T$8,'caseload data'!$D:$D,"TPO",'caseload data'!$B:$B,{"licence","community"}))/SUM(SUMIFS('caseload data'!R:R,'caseload data'!$B:$B,{"licence","community"},'caseload data'!$C:$C,'community %'!$T$8)),"")</f>
        <v/>
      </c>
      <c r="AI12" s="167" t="str">
        <f>IFERROR(SUM(SUMIFS('caseload data'!S:S,'caseload data'!$C:$C,'community %'!$T$8,'caseload data'!$D:$D,"TPO",'caseload data'!$B:$B,{"licence","community"}))/SUM(SUMIFS('caseload data'!S:S,'caseload data'!$B:$B,{"licence","community"},'caseload data'!$C:$C,'community %'!$T$8)),"")</f>
        <v/>
      </c>
      <c r="AJ12" s="167" t="str">
        <f>IFERROR(SUM(SUMIFS('caseload data'!T:T,'caseload data'!$C:$C,'community %'!$T$8,'caseload data'!$D:$D,"TPO",'caseload data'!$B:$B,{"licence","community"}))/SUM(SUMIFS('caseload data'!T:T,'caseload data'!$B:$B,{"licence","community"},'caseload data'!$C:$C,'community %'!$T$8)),"")</f>
        <v/>
      </c>
    </row>
    <row r="13" spans="1:50" x14ac:dyDescent="0.15">
      <c r="B13" s="98" t="s">
        <v>1004</v>
      </c>
      <c r="C13" s="167" t="str">
        <f>IFERROR(SUM(SUMIFS('caseload data'!E:E,'caseload data'!$C:$C,'community %'!$B$8,'caseload data'!$D:$D,"SPO",'caseload data'!$B:$B,{"licence","community"}))/SUM(SUMIFS('caseload data'!E:E,'caseload data'!$B:$B,{"licence","community"},'caseload data'!$C:$C,'community %'!$B$8)),"")</f>
        <v/>
      </c>
      <c r="D13" s="167" t="str">
        <f>IFERROR(SUM(SUMIFS('caseload data'!F:F,'caseload data'!$C:$C,'community %'!$B$8,'caseload data'!$D:$D,"SPO",'caseload data'!$B:$B,{"licence","community"}))/SUM(SUMIFS('caseload data'!F:F,'caseload data'!$B:$B,{"licence","community"},'caseload data'!$C:$C,'community %'!$B$8)),"")</f>
        <v/>
      </c>
      <c r="E13" s="167" t="str">
        <f>IFERROR(SUM(SUMIFS('caseload data'!G:G,'caseload data'!$C:$C,'community %'!$B$8,'caseload data'!$D:$D,"SPO",'caseload data'!$B:$B,{"licence","community"}))/SUM(SUMIFS('caseload data'!G:G,'caseload data'!$B:$B,{"licence","community"},'caseload data'!$C:$C,'community %'!$B$8)),"")</f>
        <v/>
      </c>
      <c r="F13" s="167" t="str">
        <f>IFERROR(SUM(SUMIFS('caseload data'!H:H,'caseload data'!$C:$C,'community %'!$B$8,'caseload data'!$D:$D,"SPO",'caseload data'!$B:$B,{"licence","community"}))/SUM(SUMIFS('caseload data'!H:H,'caseload data'!$B:$B,{"licence","community"},'caseload data'!$C:$C,'community %'!$B$8)),"")</f>
        <v/>
      </c>
      <c r="G13" s="167" t="str">
        <f>IFERROR(SUM(SUMIFS('caseload data'!I:I,'caseload data'!$C:$C,'community %'!$B$8,'caseload data'!$D:$D,"SPO",'caseload data'!$B:$B,{"licence","community"}))/SUM(SUMIFS('caseload data'!I:I,'caseload data'!$B:$B,{"licence","community"},'caseload data'!$C:$C,'community %'!$B$8)),"")</f>
        <v/>
      </c>
      <c r="H13" s="167" t="str">
        <f>IFERROR(SUM(SUMIFS('caseload data'!J:J,'caseload data'!$C:$C,'community %'!$B$8,'caseload data'!$D:$D,"SPO",'caseload data'!$B:$B,{"licence","community"}))/SUM(SUMIFS('caseload data'!J:J,'caseload data'!$B:$B,{"licence","community"},'caseload data'!$C:$C,'community %'!$B$8)),"")</f>
        <v/>
      </c>
      <c r="I13" s="167" t="str">
        <f>IFERROR(SUM(SUMIFS('caseload data'!K:K,'caseload data'!$C:$C,'community %'!$B$8,'caseload data'!$D:$D,"SPO",'caseload data'!$B:$B,{"licence","community"}))/SUM(SUMIFS('caseload data'!K:K,'caseload data'!$B:$B,{"licence","community"},'caseload data'!$C:$C,'community %'!$B$8)),"")</f>
        <v/>
      </c>
      <c r="J13" s="167" t="str">
        <f>IFERROR(SUM(SUMIFS('caseload data'!L:L,'caseload data'!$C:$C,'community %'!$B$8,'caseload data'!$D:$D,"SPO",'caseload data'!$B:$B,{"licence","community"}))/SUM(SUMIFS('caseload data'!L:L,'caseload data'!$B:$B,{"licence","community"},'caseload data'!$C:$C,'community %'!$B$8)),"")</f>
        <v/>
      </c>
      <c r="K13" s="167" t="str">
        <f>IFERROR(SUM(SUMIFS('caseload data'!M:M,'caseload data'!$C:$C,'community %'!$B$8,'caseload data'!$D:$D,"SPO",'caseload data'!$B:$B,{"licence","community"}))/SUM(SUMIFS('caseload data'!M:M,'caseload data'!$B:$B,{"licence","community"},'caseload data'!$C:$C,'community %'!$B$8)),"")</f>
        <v/>
      </c>
      <c r="L13" s="167" t="str">
        <f>IFERROR(SUM(SUMIFS('caseload data'!N:N,'caseload data'!$C:$C,'community %'!$B$8,'caseload data'!$D:$D,"SPO",'caseload data'!$B:$B,{"licence","community"}))/SUM(SUMIFS('caseload data'!N:N,'caseload data'!$B:$B,{"licence","community"},'caseload data'!$C:$C,'community %'!$B$8)),"")</f>
        <v/>
      </c>
      <c r="M13" s="167" t="str">
        <f>IFERROR(SUM(SUMIFS('caseload data'!O:O,'caseload data'!$C:$C,'community %'!$B$8,'caseload data'!$D:$D,"SPO",'caseload data'!$B:$B,{"licence","community"}))/SUM(SUMIFS('caseload data'!O:O,'caseload data'!$B:$B,{"licence","community"},'caseload data'!$C:$C,'community %'!$B$8)),"")</f>
        <v/>
      </c>
      <c r="N13" s="167" t="str">
        <f>IFERROR(SUM(SUMIFS('caseload data'!P:P,'caseload data'!$C:$C,'community %'!$B$8,'caseload data'!$D:$D,"SPO",'caseload data'!$B:$B,{"licence","community"}))/SUM(SUMIFS('caseload data'!P:P,'caseload data'!$B:$B,{"licence","community"},'caseload data'!$C:$C,'community %'!$B$8)),"")</f>
        <v/>
      </c>
      <c r="O13" s="167" t="str">
        <f>IFERROR(SUM(SUMIFS('caseload data'!Q:Q,'caseload data'!$C:$C,'community %'!$B$8,'caseload data'!$D:$D,"SPO",'caseload data'!$B:$B,{"licence","community"}))/SUM(SUMIFS('caseload data'!Q:Q,'caseload data'!$B:$B,{"licence","community"},'caseload data'!$C:$C,'community %'!$B$8)),"")</f>
        <v/>
      </c>
      <c r="P13" s="167" t="str">
        <f>IFERROR(SUM(SUMIFS('caseload data'!R:R,'caseload data'!$C:$C,'community %'!$B$8,'caseload data'!$D:$D,"SPO",'caseload data'!$B:$B,{"licence","community"}))/SUM(SUMIFS('caseload data'!R:R,'caseload data'!$B:$B,{"licence","community"},'caseload data'!$C:$C,'community %'!$B$8)),"")</f>
        <v/>
      </c>
      <c r="Q13" s="167" t="str">
        <f>IFERROR(SUM(SUMIFS('caseload data'!S:S,'caseload data'!$C:$C,'community %'!$B$8,'caseload data'!$D:$D,"SPO",'caseload data'!$B:$B,{"licence","community"}))/SUM(SUMIFS('caseload data'!S:S,'caseload data'!$B:$B,{"licence","community"},'caseload data'!$C:$C,'community %'!$B$8)),"")</f>
        <v/>
      </c>
      <c r="R13" s="167" t="str">
        <f>IFERROR(SUM(SUMIFS('caseload data'!T:T,'caseload data'!$C:$C,'community %'!$B$8,'caseload data'!$D:$D,"SPO",'caseload data'!$B:$B,{"licence","community"}))/SUM(SUMIFS('caseload data'!T:T,'caseload data'!$B:$B,{"licence","community"},'caseload data'!$C:$C,'community %'!$B$8)),"")</f>
        <v/>
      </c>
      <c r="S13" s="64"/>
      <c r="T13" s="98" t="s">
        <v>1004</v>
      </c>
      <c r="U13" s="167" t="str">
        <f>IFERROR(SUM(SUMIFS('caseload data'!E:E,'caseload data'!$C:$C,'community %'!$T$8,'caseload data'!$D:$D,"SPO",'caseload data'!$B:$B,{"licence","community"}))/SUM(SUMIFS('caseload data'!E:E,'caseload data'!$B:$B,{"licence","community"},'caseload data'!$C:$C,'community %'!$T$8)),"")</f>
        <v/>
      </c>
      <c r="V13" s="167" t="str">
        <f>IFERROR(SUM(SUMIFS('caseload data'!F:F,'caseload data'!$C:$C,'community %'!$T$8,'caseload data'!$D:$D,"SPO",'caseload data'!$B:$B,{"licence","community"}))/SUM(SUMIFS('caseload data'!F:F,'caseload data'!$B:$B,{"licence","community"},'caseload data'!$C:$C,'community %'!$T$8)),"")</f>
        <v/>
      </c>
      <c r="W13" s="167" t="str">
        <f>IFERROR(SUM(SUMIFS('caseload data'!G:G,'caseload data'!$C:$C,'community %'!$T$8,'caseload data'!$D:$D,"SPO",'caseload data'!$B:$B,{"licence","community"}))/SUM(SUMIFS('caseload data'!G:G,'caseload data'!$B:$B,{"licence","community"},'caseload data'!$C:$C,'community %'!$T$8)),"")</f>
        <v/>
      </c>
      <c r="X13" s="167" t="str">
        <f>IFERROR(SUM(SUMIFS('caseload data'!H:H,'caseload data'!$C:$C,'community %'!$T$8,'caseload data'!$D:$D,"SPO",'caseload data'!$B:$B,{"licence","community"}))/SUM(SUMIFS('caseload data'!H:H,'caseload data'!$B:$B,{"licence","community"},'caseload data'!$C:$C,'community %'!$T$8)),"")</f>
        <v/>
      </c>
      <c r="Y13" s="167" t="str">
        <f>IFERROR(SUM(SUMIFS('caseload data'!I:I,'caseload data'!$C:$C,'community %'!$T$8,'caseload data'!$D:$D,"SPO",'caseload data'!$B:$B,{"licence","community"}))/SUM(SUMIFS('caseload data'!I:I,'caseload data'!$B:$B,{"licence","community"},'caseload data'!$C:$C,'community %'!$T$8)),"")</f>
        <v/>
      </c>
      <c r="Z13" s="167" t="str">
        <f>IFERROR(SUM(SUMIFS('caseload data'!J:J,'caseload data'!$C:$C,'community %'!$T$8,'caseload data'!$D:$D,"SPO",'caseload data'!$B:$B,{"licence","community"}))/SUM(SUMIFS('caseload data'!J:J,'caseload data'!$B:$B,{"licence","community"},'caseload data'!$C:$C,'community %'!$T$8)),"")</f>
        <v/>
      </c>
      <c r="AA13" s="167" t="str">
        <f>IFERROR(SUM(SUMIFS('caseload data'!K:K,'caseload data'!$C:$C,'community %'!$T$8,'caseload data'!$D:$D,"SPO",'caseload data'!$B:$B,{"licence","community"}))/SUM(SUMIFS('caseload data'!K:K,'caseload data'!$B:$B,{"licence","community"},'caseload data'!$C:$C,'community %'!$T$8)),"")</f>
        <v/>
      </c>
      <c r="AB13" s="167" t="str">
        <f>IFERROR(SUM(SUMIFS('caseload data'!L:L,'caseload data'!$C:$C,'community %'!$T$8,'caseload data'!$D:$D,"SPO",'caseload data'!$B:$B,{"licence","community"}))/SUM(SUMIFS('caseload data'!L:L,'caseload data'!$B:$B,{"licence","community"},'caseload data'!$C:$C,'community %'!$T$8)),"")</f>
        <v/>
      </c>
      <c r="AC13" s="167" t="str">
        <f>IFERROR(SUM(SUMIFS('caseload data'!M:M,'caseload data'!$C:$C,'community %'!$T$8,'caseload data'!$D:$D,"SPO",'caseload data'!$B:$B,{"licence","community"}))/SUM(SUMIFS('caseload data'!M:M,'caseload data'!$B:$B,{"licence","community"},'caseload data'!$C:$C,'community %'!$T$8)),"")</f>
        <v/>
      </c>
      <c r="AD13" s="167" t="str">
        <f>IFERROR(SUM(SUMIFS('caseload data'!N:N,'caseload data'!$C:$C,'community %'!$T$8,'caseload data'!$D:$D,"SPO",'caseload data'!$B:$B,{"licence","community"}))/SUM(SUMIFS('caseload data'!N:N,'caseload data'!$B:$B,{"licence","community"},'caseload data'!$C:$C,'community %'!$T$8)),"")</f>
        <v/>
      </c>
      <c r="AE13" s="167" t="str">
        <f>IFERROR(SUM(SUMIFS('caseload data'!O:O,'caseload data'!$C:$C,'community %'!$T$8,'caseload data'!$D:$D,"SPO",'caseload data'!$B:$B,{"licence","community"}))/SUM(SUMIFS('caseload data'!O:O,'caseload data'!$B:$B,{"licence","community"},'caseload data'!$C:$C,'community %'!$T$8)),"")</f>
        <v/>
      </c>
      <c r="AF13" s="167" t="str">
        <f>IFERROR(SUM(SUMIFS('caseload data'!P:P,'caseload data'!$C:$C,'community %'!$T$8,'caseload data'!$D:$D,"SPO",'caseload data'!$B:$B,{"licence","community"}))/SUM(SUMIFS('caseload data'!P:P,'caseload data'!$B:$B,{"licence","community"},'caseload data'!$C:$C,'community %'!$T$8)),"")</f>
        <v/>
      </c>
      <c r="AG13" s="167" t="str">
        <f>IFERROR(SUM(SUMIFS('caseload data'!Q:Q,'caseload data'!$C:$C,'community %'!$T$8,'caseload data'!$D:$D,"SPO",'caseload data'!$B:$B,{"licence","community"}))/SUM(SUMIFS('caseload data'!Q:Q,'caseload data'!$B:$B,{"licence","community"},'caseload data'!$C:$C,'community %'!$T$8)),"")</f>
        <v/>
      </c>
      <c r="AH13" s="167" t="str">
        <f>IFERROR(SUM(SUMIFS('caseload data'!R:R,'caseload data'!$C:$C,'community %'!$T$8,'caseload data'!$D:$D,"SPO",'caseload data'!$B:$B,{"licence","community"}))/SUM(SUMIFS('caseload data'!R:R,'caseload data'!$B:$B,{"licence","community"},'caseload data'!$C:$C,'community %'!$T$8)),"")</f>
        <v/>
      </c>
      <c r="AI13" s="167" t="str">
        <f>IFERROR(SUM(SUMIFS('caseload data'!S:S,'caseload data'!$C:$C,'community %'!$T$8,'caseload data'!$D:$D,"SPO",'caseload data'!$B:$B,{"licence","community"}))/SUM(SUMIFS('caseload data'!S:S,'caseload data'!$B:$B,{"licence","community"},'caseload data'!$C:$C,'community %'!$T$8)),"")</f>
        <v/>
      </c>
      <c r="AJ13" s="167" t="str">
        <f>IFERROR(SUM(SUMIFS('caseload data'!T:T,'caseload data'!$C:$C,'community %'!$T$8,'caseload data'!$D:$D,"SPO",'caseload data'!$B:$B,{"licence","community"}))/SUM(SUMIFS('caseload data'!T:T,'caseload data'!$B:$B,{"licence","community"},'caseload data'!$C:$C,'community %'!$T$8)),"")</f>
        <v/>
      </c>
    </row>
    <row r="14" spans="1:50" x14ac:dyDescent="0.15">
      <c r="B14" s="91"/>
      <c r="C14" s="64"/>
      <c r="D14" s="64"/>
      <c r="E14" s="64"/>
      <c r="F14" s="64"/>
      <c r="G14" s="64"/>
      <c r="H14" s="64"/>
      <c r="I14" s="64"/>
      <c r="J14" s="64"/>
      <c r="K14" s="64"/>
      <c r="L14" s="64"/>
      <c r="M14" s="64"/>
      <c r="N14" s="64"/>
      <c r="O14" s="64"/>
      <c r="P14" s="64"/>
      <c r="Q14" s="64"/>
      <c r="R14" s="64"/>
      <c r="S14" s="64"/>
      <c r="T14" s="91"/>
      <c r="U14" s="64"/>
      <c r="V14" s="64"/>
      <c r="W14" s="64"/>
      <c r="X14" s="64"/>
      <c r="Y14" s="64"/>
      <c r="Z14" s="64"/>
      <c r="AA14" s="64"/>
      <c r="AB14" s="64"/>
      <c r="AC14" s="64"/>
      <c r="AD14" s="64"/>
      <c r="AE14" s="64"/>
      <c r="AF14" s="64"/>
      <c r="AG14" s="64"/>
      <c r="AH14" s="64"/>
      <c r="AI14" s="64"/>
      <c r="AJ14" s="64"/>
    </row>
    <row r="15" spans="1:50" ht="24" customHeight="1" x14ac:dyDescent="0.15">
      <c r="B15" s="289" t="str">
        <f>HLOOKUP($B$5,Region_Table,4,0)</f>
        <v>Derbyshire - N53</v>
      </c>
      <c r="C15" s="509" t="s">
        <v>1134</v>
      </c>
      <c r="D15" s="510"/>
      <c r="E15" s="510"/>
      <c r="F15" s="510"/>
      <c r="G15" s="510"/>
      <c r="H15" s="510"/>
      <c r="I15" s="510"/>
      <c r="J15" s="510"/>
      <c r="K15" s="510"/>
      <c r="L15" s="510"/>
      <c r="M15" s="539"/>
      <c r="N15" s="539"/>
      <c r="O15" s="540"/>
      <c r="P15" s="512" cm="1">
        <f t="array" ref="P15">SUM(SUMIFS('caseload data'!V:V,'caseload data'!B:B,{"licence","community"},'caseload data'!$C:$C,B15))</f>
        <v>0</v>
      </c>
      <c r="Q15" s="529"/>
      <c r="R15" s="530"/>
      <c r="S15" s="64"/>
      <c r="T15" s="289" t="str">
        <f>HLOOKUP($B$5,Region_Table,5,0)</f>
        <v>Leicester, Leicestershire and Rutland</v>
      </c>
      <c r="U15" s="509" t="s">
        <v>1134</v>
      </c>
      <c r="V15" s="510"/>
      <c r="W15" s="510"/>
      <c r="X15" s="510"/>
      <c r="Y15" s="510"/>
      <c r="Z15" s="510"/>
      <c r="AA15" s="510"/>
      <c r="AB15" s="510"/>
      <c r="AC15" s="510"/>
      <c r="AD15" s="510"/>
      <c r="AE15" s="539"/>
      <c r="AF15" s="539"/>
      <c r="AG15" s="540"/>
      <c r="AH15" s="512" cm="1">
        <f t="array" ref="AH15">SUM(SUMIFS('caseload data'!V:V,'caseload data'!B:B,{"licence","community"},'caseload data'!$C:$C,T15))</f>
        <v>0</v>
      </c>
      <c r="AI15" s="529"/>
      <c r="AJ15" s="530"/>
    </row>
    <row r="16" spans="1:50" x14ac:dyDescent="0.15">
      <c r="B16" s="95" t="s">
        <v>1000</v>
      </c>
      <c r="C16" s="38" t="s">
        <v>864</v>
      </c>
      <c r="D16" s="38" t="s">
        <v>865</v>
      </c>
      <c r="E16" s="38" t="s">
        <v>866</v>
      </c>
      <c r="F16" s="38" t="s">
        <v>867</v>
      </c>
      <c r="G16" s="38" t="s">
        <v>868</v>
      </c>
      <c r="H16" s="38" t="s">
        <v>869</v>
      </c>
      <c r="I16" s="38" t="s">
        <v>870</v>
      </c>
      <c r="J16" s="38" t="s">
        <v>871</v>
      </c>
      <c r="K16" s="38" t="s">
        <v>872</v>
      </c>
      <c r="L16" s="38" t="s">
        <v>873</v>
      </c>
      <c r="M16" s="38" t="s">
        <v>874</v>
      </c>
      <c r="N16" s="38" t="s">
        <v>875</v>
      </c>
      <c r="O16" s="38" t="s">
        <v>876</v>
      </c>
      <c r="P16" s="38" t="s">
        <v>877</v>
      </c>
      <c r="Q16" s="38" t="s">
        <v>878</v>
      </c>
      <c r="R16" s="38" t="s">
        <v>879</v>
      </c>
      <c r="S16" s="64"/>
      <c r="T16" s="95" t="s">
        <v>1000</v>
      </c>
      <c r="U16" s="38" t="s">
        <v>864</v>
      </c>
      <c r="V16" s="38" t="s">
        <v>865</v>
      </c>
      <c r="W16" s="38" t="s">
        <v>866</v>
      </c>
      <c r="X16" s="38" t="s">
        <v>867</v>
      </c>
      <c r="Y16" s="38" t="s">
        <v>868</v>
      </c>
      <c r="Z16" s="38" t="s">
        <v>869</v>
      </c>
      <c r="AA16" s="38" t="s">
        <v>870</v>
      </c>
      <c r="AB16" s="38" t="s">
        <v>871</v>
      </c>
      <c r="AC16" s="38" t="s">
        <v>872</v>
      </c>
      <c r="AD16" s="38" t="s">
        <v>873</v>
      </c>
      <c r="AE16" s="38" t="s">
        <v>874</v>
      </c>
      <c r="AF16" s="38" t="s">
        <v>875</v>
      </c>
      <c r="AG16" s="38" t="s">
        <v>876</v>
      </c>
      <c r="AH16" s="38" t="s">
        <v>877</v>
      </c>
      <c r="AI16" s="38" t="s">
        <v>878</v>
      </c>
      <c r="AJ16" s="38" t="s">
        <v>879</v>
      </c>
    </row>
    <row r="17" spans="2:36" x14ac:dyDescent="0.15">
      <c r="B17" s="96" t="s">
        <v>997</v>
      </c>
      <c r="C17" s="167" t="str">
        <f>IFERROR(SUM(SUMIFS('caseload data'!E:E,'caseload data'!$C:$C,'community %'!$B$15,'caseload data'!$D:$D,"PO",'caseload data'!$B:$B,{"licence","community"}))/SUM(SUMIFS('caseload data'!E:E,'caseload data'!$B:$B,{"licence","community"},'caseload data'!$C:$C,'community %'!$B$15)),"")</f>
        <v/>
      </c>
      <c r="D17" s="167" t="str">
        <f>IFERROR(SUM(SUMIFS('caseload data'!F:F,'caseload data'!$C:$C,'community %'!$B$15,'caseload data'!$D:$D,"PO",'caseload data'!$B:$B,{"licence","community"}))/SUM(SUMIFS('caseload data'!F:F,'caseload data'!$B:$B,{"licence","community"},'caseload data'!$C:$C,'community %'!$B$15)),"")</f>
        <v/>
      </c>
      <c r="E17" s="167" t="str">
        <f>IFERROR(SUM(SUMIFS('caseload data'!G:G,'caseload data'!$C:$C,'community %'!$B$15,'caseload data'!$D:$D,"PO",'caseload data'!$B:$B,{"licence","community"}))/SUM(SUMIFS('caseload data'!G:G,'caseload data'!$B:$B,{"licence","community"},'caseload data'!$C:$C,'community %'!$B$15)),"")</f>
        <v/>
      </c>
      <c r="F17" s="167" t="str">
        <f>IFERROR(SUM(SUMIFS('caseload data'!H:H,'caseload data'!$C:$C,'community %'!$B$15,'caseload data'!$D:$D,"PO",'caseload data'!$B:$B,{"licence","community"}))/SUM(SUMIFS('caseload data'!H:H,'caseload data'!$B:$B,{"licence","community"},'caseload data'!$C:$C,'community %'!$B$15)),"")</f>
        <v/>
      </c>
      <c r="G17" s="167" t="str">
        <f>IFERROR(SUM(SUMIFS('caseload data'!I:I,'caseload data'!$C:$C,'community %'!$B$15,'caseload data'!$D:$D,"PO",'caseload data'!$B:$B,{"licence","community"}))/SUM(SUMIFS('caseload data'!I:I,'caseload data'!$B:$B,{"licence","community"},'caseload data'!$C:$C,'community %'!$B$15)),"")</f>
        <v/>
      </c>
      <c r="H17" s="167" t="str">
        <f>IFERROR(SUM(SUMIFS('caseload data'!J:J,'caseload data'!$C:$C,'community %'!$B$15,'caseload data'!$D:$D,"PO",'caseload data'!$B:$B,{"licence","community"}))/SUM(SUMIFS('caseload data'!J:J,'caseload data'!$B:$B,{"licence","community"},'caseload data'!$C:$C,'community %'!$B$15)),"")</f>
        <v/>
      </c>
      <c r="I17" s="167" t="str">
        <f>IFERROR(SUM(SUMIFS('caseload data'!K:K,'caseload data'!$C:$C,'community %'!$B$15,'caseload data'!$D:$D,"PO",'caseload data'!$B:$B,{"licence","community"}))/SUM(SUMIFS('caseload data'!K:K,'caseload data'!$B:$B,{"licence","community"},'caseload data'!$C:$C,'community %'!$B$15)),"")</f>
        <v/>
      </c>
      <c r="J17" s="167" t="str">
        <f>IFERROR(SUM(SUMIFS('caseload data'!L:L,'caseload data'!$C:$C,'community %'!$B$15,'caseload data'!$D:$D,"PO",'caseload data'!$B:$B,{"licence","community"}))/SUM(SUMIFS('caseload data'!L:L,'caseload data'!$B:$B,{"licence","community"},'caseload data'!$C:$C,'community %'!$B$15)),"")</f>
        <v/>
      </c>
      <c r="K17" s="167" t="str">
        <f>IFERROR(SUM(SUMIFS('caseload data'!M:M,'caseload data'!$C:$C,'community %'!$B$15,'caseload data'!$D:$D,"PO",'caseload data'!$B:$B,{"licence","community"}))/SUM(SUMIFS('caseload data'!M:M,'caseload data'!$B:$B,{"licence","community"},'caseload data'!$C:$C,'community %'!$B$15)),"")</f>
        <v/>
      </c>
      <c r="L17" s="167" t="str">
        <f>IFERROR(SUM(SUMIFS('caseload data'!N:N,'caseload data'!$C:$C,'community %'!$B$15,'caseload data'!$D:$D,"PO",'caseload data'!$B:$B,{"licence","community"}))/SUM(SUMIFS('caseload data'!N:N,'caseload data'!$B:$B,{"licence","community"},'caseload data'!$C:$C,'community %'!$B$15)),"")</f>
        <v/>
      </c>
      <c r="M17" s="167" t="str">
        <f>IFERROR(SUM(SUMIFS('caseload data'!O:O,'caseload data'!$C:$C,'community %'!$B$15,'caseload data'!$D:$D,"PO",'caseload data'!$B:$B,{"licence","community"}))/SUM(SUMIFS('caseload data'!O:O,'caseload data'!$B:$B,{"licence","community"},'caseload data'!$C:$C,'community %'!$B$15)),"")</f>
        <v/>
      </c>
      <c r="N17" s="167" t="str">
        <f>IFERROR(SUM(SUMIFS('caseload data'!P:P,'caseload data'!$C:$C,'community %'!$B$15,'caseload data'!$D:$D,"PO",'caseload data'!$B:$B,{"licence","community"}))/SUM(SUMIFS('caseload data'!P:P,'caseload data'!$B:$B,{"licence","community"},'caseload data'!$C:$C,'community %'!$B$15)),"")</f>
        <v/>
      </c>
      <c r="O17" s="167" t="str">
        <f>IFERROR(SUM(SUMIFS('caseload data'!Q:Q,'caseload data'!$C:$C,'community %'!$B$15,'caseload data'!$D:$D,"PO",'caseload data'!$B:$B,{"licence","community"}))/SUM(SUMIFS('caseload data'!Q:Q,'caseload data'!$B:$B,{"licence","community"},'caseload data'!$C:$C,'community %'!$B$15)),"")</f>
        <v/>
      </c>
      <c r="P17" s="167" t="str">
        <f>IFERROR(SUM(SUMIFS('caseload data'!R:R,'caseload data'!$C:$C,'community %'!$B$15,'caseload data'!$D:$D,"PO",'caseload data'!$B:$B,{"licence","community"}))/SUM(SUMIFS('caseload data'!R:R,'caseload data'!$B:$B,{"licence","community"},'caseload data'!$C:$C,'community %'!$B$15)),"")</f>
        <v/>
      </c>
      <c r="Q17" s="167" t="str">
        <f>IFERROR(SUM(SUMIFS('caseload data'!S:S,'caseload data'!$C:$C,'community %'!$B$15,'caseload data'!$D:$D,"PO",'caseload data'!$B:$B,{"licence","community"}))/SUM(SUMIFS('caseload data'!S:S,'caseload data'!$B:$B,{"licence","community"},'caseload data'!$C:$C,'community %'!$B$15)),"")</f>
        <v/>
      </c>
      <c r="R17" s="167" t="str">
        <f>IFERROR(SUM(SUMIFS('caseload data'!T:T,'caseload data'!$C:$C,'community %'!$B$15,'caseload data'!$D:$D,"PO",'caseload data'!$B:$B,{"licence","community"}))/SUM(SUMIFS('caseload data'!T:T,'caseload data'!$B:$B,{"licence","community"},'caseload data'!$C:$C,'community %'!$B$15)),"")</f>
        <v/>
      </c>
      <c r="S17" s="64"/>
      <c r="T17" s="96" t="s">
        <v>997</v>
      </c>
      <c r="U17" s="167" t="str">
        <f>IFERROR(SUM(SUMIFS('caseload data'!E:E,'caseload data'!$C:$C,'community %'!$T$15,'caseload data'!$D:$D,"PO",'caseload data'!$B:$B,{"licence","community"}))/SUM(SUMIFS('caseload data'!E:E,'caseload data'!$B:$B,{"licence","community"},'caseload data'!$C:$C,'community %'!$T$15)),"")</f>
        <v/>
      </c>
      <c r="V17" s="167" t="str">
        <f>IFERROR(SUM(SUMIFS('caseload data'!F:F,'caseload data'!$C:$C,'community %'!$T$15,'caseload data'!$D:$D,"PO",'caseload data'!$B:$B,{"licence","community"}))/SUM(SUMIFS('caseload data'!F:F,'caseload data'!$B:$B,{"licence","community"},'caseload data'!$C:$C,'community %'!$T$15)),"")</f>
        <v/>
      </c>
      <c r="W17" s="167" t="str">
        <f>IFERROR(SUM(SUMIFS('caseload data'!G:G,'caseload data'!$C:$C,'community %'!$T$15,'caseload data'!$D:$D,"PO",'caseload data'!$B:$B,{"licence","community"}))/SUM(SUMIFS('caseload data'!G:G,'caseload data'!$B:$B,{"licence","community"},'caseload data'!$C:$C,'community %'!$T$15)),"")</f>
        <v/>
      </c>
      <c r="X17" s="167" t="str">
        <f>IFERROR(SUM(SUMIFS('caseload data'!H:H,'caseload data'!$C:$C,'community %'!$T$15,'caseload data'!$D:$D,"PO",'caseload data'!$B:$B,{"licence","community"}))/SUM(SUMIFS('caseload data'!H:H,'caseload data'!$B:$B,{"licence","community"},'caseload data'!$C:$C,'community %'!$T$15)),"")</f>
        <v/>
      </c>
      <c r="Y17" s="167" t="str">
        <f>IFERROR(SUM(SUMIFS('caseload data'!I:I,'caseload data'!$C:$C,'community %'!$T$15,'caseload data'!$D:$D,"PO",'caseload data'!$B:$B,{"licence","community"}))/SUM(SUMIFS('caseload data'!I:I,'caseload data'!$B:$B,{"licence","community"},'caseload data'!$C:$C,'community %'!$T$15)),"")</f>
        <v/>
      </c>
      <c r="Z17" s="167" t="str">
        <f>IFERROR(SUM(SUMIFS('caseload data'!J:J,'caseload data'!$C:$C,'community %'!$T$15,'caseload data'!$D:$D,"PO",'caseload data'!$B:$B,{"licence","community"}))/SUM(SUMIFS('caseload data'!J:J,'caseload data'!$B:$B,{"licence","community"},'caseload data'!$C:$C,'community %'!$T$15)),"")</f>
        <v/>
      </c>
      <c r="AA17" s="167" t="str">
        <f>IFERROR(SUM(SUMIFS('caseload data'!K:K,'caseload data'!$C:$C,'community %'!$T$15,'caseload data'!$D:$D,"PO",'caseload data'!$B:$B,{"licence","community"}))/SUM(SUMIFS('caseload data'!K:K,'caseload data'!$B:$B,{"licence","community"},'caseload data'!$C:$C,'community %'!$T$15)),"")</f>
        <v/>
      </c>
      <c r="AB17" s="167" t="str">
        <f>IFERROR(SUM(SUMIFS('caseload data'!L:L,'caseload data'!$C:$C,'community %'!$T$15,'caseload data'!$D:$D,"PO",'caseload data'!$B:$B,{"licence","community"}))/SUM(SUMIFS('caseload data'!L:L,'caseload data'!$B:$B,{"licence","community"},'caseload data'!$C:$C,'community %'!$T$15)),"")</f>
        <v/>
      </c>
      <c r="AC17" s="167" t="str">
        <f>IFERROR(SUM(SUMIFS('caseload data'!M:M,'caseload data'!$C:$C,'community %'!$T$15,'caseload data'!$D:$D,"PO",'caseload data'!$B:$B,{"licence","community"}))/SUM(SUMIFS('caseload data'!M:M,'caseload data'!$B:$B,{"licence","community"},'caseload data'!$C:$C,'community %'!$T$15)),"")</f>
        <v/>
      </c>
      <c r="AD17" s="167" t="str">
        <f>IFERROR(SUM(SUMIFS('caseload data'!N:N,'caseload data'!$C:$C,'community %'!$T$15,'caseload data'!$D:$D,"PO",'caseload data'!$B:$B,{"licence","community"}))/SUM(SUMIFS('caseload data'!N:N,'caseload data'!$B:$B,{"licence","community"},'caseload data'!$C:$C,'community %'!$T$15)),"")</f>
        <v/>
      </c>
      <c r="AE17" s="167" t="str">
        <f>IFERROR(SUM(SUMIFS('caseload data'!O:O,'caseload data'!$C:$C,'community %'!$T$15,'caseload data'!$D:$D,"PO",'caseload data'!$B:$B,{"licence","community"}))/SUM(SUMIFS('caseload data'!O:O,'caseload data'!$B:$B,{"licence","community"},'caseload data'!$C:$C,'community %'!$T$15)),"")</f>
        <v/>
      </c>
      <c r="AF17" s="167" t="str">
        <f>IFERROR(SUM(SUMIFS('caseload data'!P:P,'caseload data'!$C:$C,'community %'!$T$15,'caseload data'!$D:$D,"PO",'caseload data'!$B:$B,{"licence","community"}))/SUM(SUMIFS('caseload data'!P:P,'caseload data'!$B:$B,{"licence","community"},'caseload data'!$C:$C,'community %'!$T$15)),"")</f>
        <v/>
      </c>
      <c r="AG17" s="167" t="str">
        <f>IFERROR(SUM(SUMIFS('caseload data'!Q:Q,'caseload data'!$C:$C,'community %'!$T$15,'caseload data'!$D:$D,"PO",'caseload data'!$B:$B,{"licence","community"}))/SUM(SUMIFS('caseload data'!Q:Q,'caseload data'!$B:$B,{"licence","community"},'caseload data'!$C:$C,'community %'!$T$15)),"")</f>
        <v/>
      </c>
      <c r="AH17" s="167" t="str">
        <f>IFERROR(SUM(SUMIFS('caseload data'!R:R,'caseload data'!$C:$C,'community %'!$T$15,'caseload data'!$D:$D,"PO",'caseload data'!$B:$B,{"licence","community"}))/SUM(SUMIFS('caseload data'!R:R,'caseload data'!$B:$B,{"licence","community"},'caseload data'!$C:$C,'community %'!$T$15)),"")</f>
        <v/>
      </c>
      <c r="AI17" s="167" t="str">
        <f>IFERROR(SUM(SUMIFS('caseload data'!S:S,'caseload data'!$C:$C,'community %'!$T$15,'caseload data'!$D:$D,"PO",'caseload data'!$B:$B,{"licence","community"}))/SUM(SUMIFS('caseload data'!S:S,'caseload data'!$B:$B,{"licence","community"},'caseload data'!$C:$C,'community %'!$T$15)),"")</f>
        <v/>
      </c>
      <c r="AJ17" s="167" t="str">
        <f>IFERROR(SUM(SUMIFS('caseload data'!T:T,'caseload data'!$C:$C,'community %'!$T$15,'caseload data'!$D:$D,"PO",'caseload data'!$B:$B,{"licence","community"}))/SUM(SUMIFS('caseload data'!T:T,'caseload data'!$B:$B,{"licence","community"},'caseload data'!$C:$C,'community %'!$T$15)),"")</f>
        <v/>
      </c>
    </row>
    <row r="18" spans="2:36" x14ac:dyDescent="0.15">
      <c r="B18" s="97" t="s">
        <v>1002</v>
      </c>
      <c r="C18" s="167" t="str">
        <f>IFERROR(SUM(SUMIFS('caseload data'!E:E,'caseload data'!$C:$C,'community %'!$B$15,'caseload data'!$D:$D,"PSO",'caseload data'!$B:$B,{"licence","community"}))/SUM(SUMIFS('caseload data'!E:E,'caseload data'!$B:$B,{"licence","community"},'caseload data'!$C:$C,'community %'!$B$15)),"")</f>
        <v/>
      </c>
      <c r="D18" s="167" t="str">
        <f>IFERROR(SUM(SUMIFS('caseload data'!F:F,'caseload data'!$C:$C,'community %'!$B$15,'caseload data'!$D:$D,"PSO",'caseload data'!$B:$B,{"licence","community"}))/SUM(SUMIFS('caseload data'!F:F,'caseload data'!$B:$B,{"licence","community"},'caseload data'!$C:$C,'community %'!$B$15)),"")</f>
        <v/>
      </c>
      <c r="E18" s="167" t="str">
        <f>IFERROR(SUM(SUMIFS('caseload data'!G:G,'caseload data'!$C:$C,'community %'!$B$15,'caseload data'!$D:$D,"PSO",'caseload data'!$B:$B,{"licence","community"}))/SUM(SUMIFS('caseload data'!G:G,'caseload data'!$B:$B,{"licence","community"},'caseload data'!$C:$C,'community %'!$B$15)),"")</f>
        <v/>
      </c>
      <c r="F18" s="167" t="str">
        <f>IFERROR(SUM(SUMIFS('caseload data'!H:H,'caseload data'!$C:$C,'community %'!$B$15,'caseload data'!$D:$D,"PSO",'caseload data'!$B:$B,{"licence","community"}))/SUM(SUMIFS('caseload data'!H:H,'caseload data'!$B:$B,{"licence","community"},'caseload data'!$C:$C,'community %'!$B$15)),"")</f>
        <v/>
      </c>
      <c r="G18" s="167" t="str">
        <f>IFERROR(SUM(SUMIFS('caseload data'!I:I,'caseload data'!$C:$C,'community %'!$B$15,'caseload data'!$D:$D,"PSO",'caseload data'!$B:$B,{"licence","community"}))/SUM(SUMIFS('caseload data'!I:I,'caseload data'!$B:$B,{"licence","community"},'caseload data'!$C:$C,'community %'!$B$15)),"")</f>
        <v/>
      </c>
      <c r="H18" s="167" t="str">
        <f>IFERROR(SUM(SUMIFS('caseload data'!J:J,'caseload data'!$C:$C,'community %'!$B$15,'caseload data'!$D:$D,"PSO",'caseload data'!$B:$B,{"licence","community"}))/SUM(SUMIFS('caseload data'!J:J,'caseload data'!$B:$B,{"licence","community"},'caseload data'!$C:$C,'community %'!$B$15)),"")</f>
        <v/>
      </c>
      <c r="I18" s="167" t="str">
        <f>IFERROR(SUM(SUMIFS('caseload data'!K:K,'caseload data'!$C:$C,'community %'!$B$15,'caseload data'!$D:$D,"PSO",'caseload data'!$B:$B,{"licence","community"}))/SUM(SUMIFS('caseload data'!K:K,'caseload data'!$B:$B,{"licence","community"},'caseload data'!$C:$C,'community %'!$B$15)),"")</f>
        <v/>
      </c>
      <c r="J18" s="167" t="str">
        <f>IFERROR(SUM(SUMIFS('caseload data'!L:L,'caseload data'!$C:$C,'community %'!$B$15,'caseload data'!$D:$D,"PSO",'caseload data'!$B:$B,{"licence","community"}))/SUM(SUMIFS('caseload data'!L:L,'caseload data'!$B:$B,{"licence","community"},'caseload data'!$C:$C,'community %'!$B$15)),"")</f>
        <v/>
      </c>
      <c r="K18" s="167" t="str">
        <f>IFERROR(SUM(SUMIFS('caseload data'!M:M,'caseload data'!$C:$C,'community %'!$B$15,'caseload data'!$D:$D,"PSO",'caseload data'!$B:$B,{"licence","community"}))/SUM(SUMIFS('caseload data'!M:M,'caseload data'!$B:$B,{"licence","community"},'caseload data'!$C:$C,'community %'!$B$15)),"")</f>
        <v/>
      </c>
      <c r="L18" s="167" t="str">
        <f>IFERROR(SUM(SUMIFS('caseload data'!N:N,'caseload data'!$C:$C,'community %'!$B$15,'caseload data'!$D:$D,"PSO",'caseload data'!$B:$B,{"licence","community"}))/SUM(SUMIFS('caseload data'!N:N,'caseload data'!$B:$B,{"licence","community"},'caseload data'!$C:$C,'community %'!$B$15)),"")</f>
        <v/>
      </c>
      <c r="M18" s="167" t="str">
        <f>IFERROR(SUM(SUMIFS('caseload data'!O:O,'caseload data'!$C:$C,'community %'!$B$15,'caseload data'!$D:$D,"PSO",'caseload data'!$B:$B,{"licence","community"}))/SUM(SUMIFS('caseload data'!O:O,'caseload data'!$B:$B,{"licence","community"},'caseload data'!$C:$C,'community %'!$B$15)),"")</f>
        <v/>
      </c>
      <c r="N18" s="167" t="str">
        <f>IFERROR(SUM(SUMIFS('caseload data'!P:P,'caseload data'!$C:$C,'community %'!$B$15,'caseload data'!$D:$D,"PSO",'caseload data'!$B:$B,{"licence","community"}))/SUM(SUMIFS('caseload data'!P:P,'caseload data'!$B:$B,{"licence","community"},'caseload data'!$C:$C,'community %'!$B$15)),"")</f>
        <v/>
      </c>
      <c r="O18" s="167" t="str">
        <f>IFERROR(SUM(SUMIFS('caseload data'!Q:Q,'caseload data'!$C:$C,'community %'!$B$15,'caseload data'!$D:$D,"PSO",'caseload data'!$B:$B,{"licence","community"}))/SUM(SUMIFS('caseload data'!Q:Q,'caseload data'!$B:$B,{"licence","community"},'caseload data'!$C:$C,'community %'!$B$15)),"")</f>
        <v/>
      </c>
      <c r="P18" s="167" t="str">
        <f>IFERROR(SUM(SUMIFS('caseload data'!R:R,'caseload data'!$C:$C,'community %'!$B$15,'caseload data'!$D:$D,"PSO",'caseload data'!$B:$B,{"licence","community"}))/SUM(SUMIFS('caseload data'!R:R,'caseload data'!$B:$B,{"licence","community"},'caseload data'!$C:$C,'community %'!$B$15)),"")</f>
        <v/>
      </c>
      <c r="Q18" s="167" t="str">
        <f>IFERROR(SUM(SUMIFS('caseload data'!S:S,'caseload data'!$C:$C,'community %'!$B$15,'caseload data'!$D:$D,"PSO",'caseload data'!$B:$B,{"licence","community"}))/SUM(SUMIFS('caseload data'!S:S,'caseload data'!$B:$B,{"licence","community"},'caseload data'!$C:$C,'community %'!$B$15)),"")</f>
        <v/>
      </c>
      <c r="R18" s="167" t="str">
        <f>IFERROR(SUM(SUMIFS('caseload data'!T:T,'caseload data'!$C:$C,'community %'!$B$15,'caseload data'!$D:$D,"PSO",'caseload data'!$B:$B,{"licence","community"}))/SUM(SUMIFS('caseload data'!T:T,'caseload data'!$B:$B,{"licence","community"},'caseload data'!$C:$C,'community %'!$B$15)),"")</f>
        <v/>
      </c>
      <c r="S18" s="64"/>
      <c r="T18" s="97" t="s">
        <v>1002</v>
      </c>
      <c r="U18" s="167" t="str">
        <f>IFERROR(SUM(SUMIFS('caseload data'!E:E,'caseload data'!$C:$C,'community %'!$T$15,'caseload data'!$D:$D,"PSO",'caseload data'!$B:$B,{"licence","community"}))/SUM(SUMIFS('caseload data'!E:E,'caseload data'!$B:$B,{"licence","community"},'caseload data'!$C:$C,'community %'!$T$15)),"")</f>
        <v/>
      </c>
      <c r="V18" s="167" t="str">
        <f>IFERROR(SUM(SUMIFS('caseload data'!F:F,'caseload data'!$C:$C,'community %'!$T$15,'caseload data'!$D:$D,"PSO",'caseload data'!$B:$B,{"licence","community"}))/SUM(SUMIFS('caseload data'!F:F,'caseload data'!$B:$B,{"licence","community"},'caseload data'!$C:$C,'community %'!$T$15)),"")</f>
        <v/>
      </c>
      <c r="W18" s="167" t="str">
        <f>IFERROR(SUM(SUMIFS('caseload data'!G:G,'caseload data'!$C:$C,'community %'!$T$15,'caseload data'!$D:$D,"PSO",'caseload data'!$B:$B,{"licence","community"}))/SUM(SUMIFS('caseload data'!G:G,'caseload data'!$B:$B,{"licence","community"},'caseload data'!$C:$C,'community %'!$T$15)),"")</f>
        <v/>
      </c>
      <c r="X18" s="167" t="str">
        <f>IFERROR(SUM(SUMIFS('caseload data'!H:H,'caseload data'!$C:$C,'community %'!$T$15,'caseload data'!$D:$D,"PSO",'caseload data'!$B:$B,{"licence","community"}))/SUM(SUMIFS('caseload data'!H:H,'caseload data'!$B:$B,{"licence","community"},'caseload data'!$C:$C,'community %'!$T$15)),"")</f>
        <v/>
      </c>
      <c r="Y18" s="167" t="str">
        <f>IFERROR(SUM(SUMIFS('caseload data'!I:I,'caseload data'!$C:$C,'community %'!$T$15,'caseload data'!$D:$D,"PSO",'caseload data'!$B:$B,{"licence","community"}))/SUM(SUMIFS('caseload data'!I:I,'caseload data'!$B:$B,{"licence","community"},'caseload data'!$C:$C,'community %'!$T$15)),"")</f>
        <v/>
      </c>
      <c r="Z18" s="167" t="str">
        <f>IFERROR(SUM(SUMIFS('caseload data'!J:J,'caseload data'!$C:$C,'community %'!$T$15,'caseload data'!$D:$D,"PSO",'caseload data'!$B:$B,{"licence","community"}))/SUM(SUMIFS('caseload data'!J:J,'caseload data'!$B:$B,{"licence","community"},'caseload data'!$C:$C,'community %'!$T$15)),"")</f>
        <v/>
      </c>
      <c r="AA18" s="167" t="str">
        <f>IFERROR(SUM(SUMIFS('caseload data'!K:K,'caseload data'!$C:$C,'community %'!$T$15,'caseload data'!$D:$D,"PSO",'caseload data'!$B:$B,{"licence","community"}))/SUM(SUMIFS('caseload data'!K:K,'caseload data'!$B:$B,{"licence","community"},'caseload data'!$C:$C,'community %'!$T$15)),"")</f>
        <v/>
      </c>
      <c r="AB18" s="167" t="str">
        <f>IFERROR(SUM(SUMIFS('caseload data'!L:L,'caseload data'!$C:$C,'community %'!$T$15,'caseload data'!$D:$D,"PSO",'caseload data'!$B:$B,{"licence","community"}))/SUM(SUMIFS('caseload data'!L:L,'caseload data'!$B:$B,{"licence","community"},'caseload data'!$C:$C,'community %'!$T$15)),"")</f>
        <v/>
      </c>
      <c r="AC18" s="167" t="str">
        <f>IFERROR(SUM(SUMIFS('caseload data'!M:M,'caseload data'!$C:$C,'community %'!$T$15,'caseload data'!$D:$D,"PSO",'caseload data'!$B:$B,{"licence","community"}))/SUM(SUMIFS('caseload data'!M:M,'caseload data'!$B:$B,{"licence","community"},'caseload data'!$C:$C,'community %'!$T$15)),"")</f>
        <v/>
      </c>
      <c r="AD18" s="167" t="str">
        <f>IFERROR(SUM(SUMIFS('caseload data'!N:N,'caseload data'!$C:$C,'community %'!$T$15,'caseload data'!$D:$D,"PSO",'caseload data'!$B:$B,{"licence","community"}))/SUM(SUMIFS('caseload data'!N:N,'caseload data'!$B:$B,{"licence","community"},'caseload data'!$C:$C,'community %'!$T$15)),"")</f>
        <v/>
      </c>
      <c r="AE18" s="167" t="str">
        <f>IFERROR(SUM(SUMIFS('caseload data'!O:O,'caseload data'!$C:$C,'community %'!$T$15,'caseload data'!$D:$D,"PSO",'caseload data'!$B:$B,{"licence","community"}))/SUM(SUMIFS('caseload data'!O:O,'caseload data'!$B:$B,{"licence","community"},'caseload data'!$C:$C,'community %'!$T$15)),"")</f>
        <v/>
      </c>
      <c r="AF18" s="167" t="str">
        <f>IFERROR(SUM(SUMIFS('caseload data'!P:P,'caseload data'!$C:$C,'community %'!$T$15,'caseload data'!$D:$D,"PSO",'caseload data'!$B:$B,{"licence","community"}))/SUM(SUMIFS('caseload data'!P:P,'caseload data'!$B:$B,{"licence","community"},'caseload data'!$C:$C,'community %'!$T$15)),"")</f>
        <v/>
      </c>
      <c r="AG18" s="167" t="str">
        <f>IFERROR(SUM(SUMIFS('caseload data'!Q:Q,'caseload data'!$C:$C,'community %'!$T$15,'caseload data'!$D:$D,"PSO",'caseload data'!$B:$B,{"licence","community"}))/SUM(SUMIFS('caseload data'!Q:Q,'caseload data'!$B:$B,{"licence","community"},'caseload data'!$C:$C,'community %'!$T$15)),"")</f>
        <v/>
      </c>
      <c r="AH18" s="167" t="str">
        <f>IFERROR(SUM(SUMIFS('caseload data'!R:R,'caseload data'!$C:$C,'community %'!$T$15,'caseload data'!$D:$D,"PSO",'caseload data'!$B:$B,{"licence","community"}))/SUM(SUMIFS('caseload data'!R:R,'caseload data'!$B:$B,{"licence","community"},'caseload data'!$C:$C,'community %'!$T$15)),"")</f>
        <v/>
      </c>
      <c r="AI18" s="167" t="str">
        <f>IFERROR(SUM(SUMIFS('caseload data'!S:S,'caseload data'!$C:$C,'community %'!$T$15,'caseload data'!$D:$D,"PSO",'caseload data'!$B:$B,{"licence","community"}))/SUM(SUMIFS('caseload data'!S:S,'caseload data'!$B:$B,{"licence","community"},'caseload data'!$C:$C,'community %'!$T$15)),"")</f>
        <v/>
      </c>
      <c r="AJ18" s="167" t="str">
        <f>IFERROR(SUM(SUMIFS('caseload data'!T:T,'caseload data'!$C:$C,'community %'!$T$15,'caseload data'!$D:$D,"PSO",'caseload data'!$B:$B,{"licence","community"}))/SUM(SUMIFS('caseload data'!T:T,'caseload data'!$B:$B,{"licence","community"},'caseload data'!$C:$C,'community %'!$T$15)),"")</f>
        <v/>
      </c>
    </row>
    <row r="19" spans="2:36" x14ac:dyDescent="0.15">
      <c r="B19" s="97" t="s">
        <v>1003</v>
      </c>
      <c r="C19" s="167" t="str">
        <f>IFERROR(SUM(SUMIFS('caseload data'!E:E,'caseload data'!$C:$C,'community %'!$B$15,'caseload data'!$D:$D,"TPO",'caseload data'!$B:$B,{"licence","community"}))/SUM(SUMIFS('caseload data'!E:E,'caseload data'!$B:$B,{"licence","community"},'caseload data'!$C:$C,'community %'!$B$15)),"")</f>
        <v/>
      </c>
      <c r="D19" s="167" t="str">
        <f>IFERROR(SUM(SUMIFS('caseload data'!F:F,'caseload data'!$C:$C,'community %'!$B$15,'caseload data'!$D:$D,"TPO",'caseload data'!$B:$B,{"licence","community"}))/SUM(SUMIFS('caseload data'!F:F,'caseload data'!$B:$B,{"licence","community"},'caseload data'!$C:$C,'community %'!$B$15)),"")</f>
        <v/>
      </c>
      <c r="E19" s="167" t="str">
        <f>IFERROR(SUM(SUMIFS('caseload data'!G:G,'caseload data'!$C:$C,'community %'!$B$15,'caseload data'!$D:$D,"TPO",'caseload data'!$B:$B,{"licence","community"}))/SUM(SUMIFS('caseload data'!G:G,'caseload data'!$B:$B,{"licence","community"},'caseload data'!$C:$C,'community %'!$B$15)),"")</f>
        <v/>
      </c>
      <c r="F19" s="167" t="str">
        <f>IFERROR(SUM(SUMIFS('caseload data'!H:H,'caseload data'!$C:$C,'community %'!$B$15,'caseload data'!$D:$D,"TPO",'caseload data'!$B:$B,{"licence","community"}))/SUM(SUMIFS('caseload data'!H:H,'caseload data'!$B:$B,{"licence","community"},'caseload data'!$C:$C,'community %'!$B$15)),"")</f>
        <v/>
      </c>
      <c r="G19" s="167" t="str">
        <f>IFERROR(SUM(SUMIFS('caseload data'!I:I,'caseload data'!$C:$C,'community %'!$B$15,'caseload data'!$D:$D,"TPO",'caseload data'!$B:$B,{"licence","community"}))/SUM(SUMIFS('caseload data'!I:I,'caseload data'!$B:$B,{"licence","community"},'caseload data'!$C:$C,'community %'!$B$15)),"")</f>
        <v/>
      </c>
      <c r="H19" s="167" t="str">
        <f>IFERROR(SUM(SUMIFS('caseload data'!J:J,'caseload data'!$C:$C,'community %'!$B$15,'caseload data'!$D:$D,"TPO",'caseload data'!$B:$B,{"licence","community"}))/SUM(SUMIFS('caseload data'!J:J,'caseload data'!$B:$B,{"licence","community"},'caseload data'!$C:$C,'community %'!$B$15)),"")</f>
        <v/>
      </c>
      <c r="I19" s="167" t="str">
        <f>IFERROR(SUM(SUMIFS('caseload data'!K:K,'caseload data'!$C:$C,'community %'!$B$15,'caseload data'!$D:$D,"TPO",'caseload data'!$B:$B,{"licence","community"}))/SUM(SUMIFS('caseload data'!K:K,'caseload data'!$B:$B,{"licence","community"},'caseload data'!$C:$C,'community %'!$B$15)),"")</f>
        <v/>
      </c>
      <c r="J19" s="167" t="str">
        <f>IFERROR(SUM(SUMIFS('caseload data'!L:L,'caseload data'!$C:$C,'community %'!$B$15,'caseload data'!$D:$D,"TPO",'caseload data'!$B:$B,{"licence","community"}))/SUM(SUMIFS('caseload data'!L:L,'caseload data'!$B:$B,{"licence","community"},'caseload data'!$C:$C,'community %'!$B$15)),"")</f>
        <v/>
      </c>
      <c r="K19" s="167" t="str">
        <f>IFERROR(SUM(SUMIFS('caseload data'!M:M,'caseload data'!$C:$C,'community %'!$B$15,'caseload data'!$D:$D,"TPO",'caseload data'!$B:$B,{"licence","community"}))/SUM(SUMIFS('caseload data'!M:M,'caseload data'!$B:$B,{"licence","community"},'caseload data'!$C:$C,'community %'!$B$15)),"")</f>
        <v/>
      </c>
      <c r="L19" s="167" t="str">
        <f>IFERROR(SUM(SUMIFS('caseload data'!N:N,'caseload data'!$C:$C,'community %'!$B$15,'caseload data'!$D:$D,"TPO",'caseload data'!$B:$B,{"licence","community"}))/SUM(SUMIFS('caseload data'!N:N,'caseload data'!$B:$B,{"licence","community"},'caseload data'!$C:$C,'community %'!$B$15)),"")</f>
        <v/>
      </c>
      <c r="M19" s="167" t="str">
        <f>IFERROR(SUM(SUMIFS('caseload data'!O:O,'caseload data'!$C:$C,'community %'!$B$15,'caseload data'!$D:$D,"TPO",'caseload data'!$B:$B,{"licence","community"}))/SUM(SUMIFS('caseload data'!O:O,'caseload data'!$B:$B,{"licence","community"},'caseload data'!$C:$C,'community %'!$B$15)),"")</f>
        <v/>
      </c>
      <c r="N19" s="167" t="str">
        <f>IFERROR(SUM(SUMIFS('caseload data'!P:P,'caseload data'!$C:$C,'community %'!$B$15,'caseload data'!$D:$D,"TPO",'caseload data'!$B:$B,{"licence","community"}))/SUM(SUMIFS('caseload data'!P:P,'caseload data'!$B:$B,{"licence","community"},'caseload data'!$C:$C,'community %'!$B$15)),"")</f>
        <v/>
      </c>
      <c r="O19" s="167" t="str">
        <f>IFERROR(SUM(SUMIFS('caseload data'!Q:Q,'caseload data'!$C:$C,'community %'!$B$15,'caseload data'!$D:$D,"TPO",'caseload data'!$B:$B,{"licence","community"}))/SUM(SUMIFS('caseload data'!Q:Q,'caseload data'!$B:$B,{"licence","community"},'caseload data'!$C:$C,'community %'!$B$15)),"")</f>
        <v/>
      </c>
      <c r="P19" s="167" t="str">
        <f>IFERROR(SUM(SUMIFS('caseload data'!R:R,'caseload data'!$C:$C,'community %'!$B$15,'caseload data'!$D:$D,"TPO",'caseload data'!$B:$B,{"licence","community"}))/SUM(SUMIFS('caseload data'!R:R,'caseload data'!$B:$B,{"licence","community"},'caseload data'!$C:$C,'community %'!$B$15)),"")</f>
        <v/>
      </c>
      <c r="Q19" s="167" t="str">
        <f>IFERROR(SUM(SUMIFS('caseload data'!S:S,'caseload data'!$C:$C,'community %'!$B$15,'caseload data'!$D:$D,"TPO",'caseload data'!$B:$B,{"licence","community"}))/SUM(SUMIFS('caseload data'!S:S,'caseload data'!$B:$B,{"licence","community"},'caseload data'!$C:$C,'community %'!$B$15)),"")</f>
        <v/>
      </c>
      <c r="R19" s="167" t="str">
        <f>IFERROR(SUM(SUMIFS('caseload data'!T:T,'caseload data'!$C:$C,'community %'!$B$15,'caseload data'!$D:$D,"TPO",'caseload data'!$B:$B,{"licence","community"}))/SUM(SUMIFS('caseload data'!T:T,'caseload data'!$B:$B,{"licence","community"},'caseload data'!$C:$C,'community %'!$B$15)),"")</f>
        <v/>
      </c>
      <c r="S19" s="64"/>
      <c r="T19" s="97" t="s">
        <v>1003</v>
      </c>
      <c r="U19" s="167" t="str">
        <f>IFERROR(SUM(SUMIFS('caseload data'!E:E,'caseload data'!$C:$C,'community %'!$T$15,'caseload data'!$D:$D,"TPO",'caseload data'!$B:$B,{"licence","community"}))/SUM(SUMIFS('caseload data'!E:E,'caseload data'!$B:$B,{"licence","community"},'caseload data'!$C:$C,'community %'!$T$15)),"")</f>
        <v/>
      </c>
      <c r="V19" s="167" t="str">
        <f>IFERROR(SUM(SUMIFS('caseload data'!F:F,'caseload data'!$C:$C,'community %'!$T$15,'caseload data'!$D:$D,"TPO",'caseload data'!$B:$B,{"licence","community"}))/SUM(SUMIFS('caseload data'!F:F,'caseload data'!$B:$B,{"licence","community"},'caseload data'!$C:$C,'community %'!$T$15)),"")</f>
        <v/>
      </c>
      <c r="W19" s="167" t="str">
        <f>IFERROR(SUM(SUMIFS('caseload data'!G:G,'caseload data'!$C:$C,'community %'!$T$15,'caseload data'!$D:$D,"TPO",'caseload data'!$B:$B,{"licence","community"}))/SUM(SUMIFS('caseload data'!G:G,'caseload data'!$B:$B,{"licence","community"},'caseload data'!$C:$C,'community %'!$T$15)),"")</f>
        <v/>
      </c>
      <c r="X19" s="167" t="str">
        <f>IFERROR(SUM(SUMIFS('caseload data'!H:H,'caseload data'!$C:$C,'community %'!$T$15,'caseload data'!$D:$D,"TPO",'caseload data'!$B:$B,{"licence","community"}))/SUM(SUMIFS('caseload data'!H:H,'caseload data'!$B:$B,{"licence","community"},'caseload data'!$C:$C,'community %'!$T$15)),"")</f>
        <v/>
      </c>
      <c r="Y19" s="167" t="str">
        <f>IFERROR(SUM(SUMIFS('caseload data'!I:I,'caseload data'!$C:$C,'community %'!$T$15,'caseload data'!$D:$D,"TPO",'caseload data'!$B:$B,{"licence","community"}))/SUM(SUMIFS('caseload data'!I:I,'caseload data'!$B:$B,{"licence","community"},'caseload data'!$C:$C,'community %'!$T$15)),"")</f>
        <v/>
      </c>
      <c r="Z19" s="167" t="str">
        <f>IFERROR(SUM(SUMIFS('caseload data'!J:J,'caseload data'!$C:$C,'community %'!$T$15,'caseload data'!$D:$D,"TPO",'caseload data'!$B:$B,{"licence","community"}))/SUM(SUMIFS('caseload data'!J:J,'caseload data'!$B:$B,{"licence","community"},'caseload data'!$C:$C,'community %'!$T$15)),"")</f>
        <v/>
      </c>
      <c r="AA19" s="167" t="str">
        <f>IFERROR(SUM(SUMIFS('caseload data'!K:K,'caseload data'!$C:$C,'community %'!$T$15,'caseload data'!$D:$D,"TPO",'caseload data'!$B:$B,{"licence","community"}))/SUM(SUMIFS('caseload data'!K:K,'caseload data'!$B:$B,{"licence","community"},'caseload data'!$C:$C,'community %'!$T$15)),"")</f>
        <v/>
      </c>
      <c r="AB19" s="167" t="str">
        <f>IFERROR(SUM(SUMIFS('caseload data'!L:L,'caseload data'!$C:$C,'community %'!$T$15,'caseload data'!$D:$D,"TPO",'caseload data'!$B:$B,{"licence","community"}))/SUM(SUMIFS('caseload data'!L:L,'caseload data'!$B:$B,{"licence","community"},'caseload data'!$C:$C,'community %'!$T$15)),"")</f>
        <v/>
      </c>
      <c r="AC19" s="167" t="str">
        <f>IFERROR(SUM(SUMIFS('caseload data'!M:M,'caseload data'!$C:$C,'community %'!$T$15,'caseload data'!$D:$D,"TPO",'caseload data'!$B:$B,{"licence","community"}))/SUM(SUMIFS('caseload data'!M:M,'caseload data'!$B:$B,{"licence","community"},'caseload data'!$C:$C,'community %'!$T$15)),"")</f>
        <v/>
      </c>
      <c r="AD19" s="167" t="str">
        <f>IFERROR(SUM(SUMIFS('caseload data'!N:N,'caseload data'!$C:$C,'community %'!$T$15,'caseload data'!$D:$D,"TPO",'caseload data'!$B:$B,{"licence","community"}))/SUM(SUMIFS('caseload data'!N:N,'caseload data'!$B:$B,{"licence","community"},'caseload data'!$C:$C,'community %'!$T$15)),"")</f>
        <v/>
      </c>
      <c r="AE19" s="167" t="str">
        <f>IFERROR(SUM(SUMIFS('caseload data'!O:O,'caseload data'!$C:$C,'community %'!$T$15,'caseload data'!$D:$D,"TPO",'caseload data'!$B:$B,{"licence","community"}))/SUM(SUMIFS('caseload data'!O:O,'caseload data'!$B:$B,{"licence","community"},'caseload data'!$C:$C,'community %'!$T$15)),"")</f>
        <v/>
      </c>
      <c r="AF19" s="167" t="str">
        <f>IFERROR(SUM(SUMIFS('caseload data'!P:P,'caseload data'!$C:$C,'community %'!$T$15,'caseload data'!$D:$D,"TPO",'caseload data'!$B:$B,{"licence","community"}))/SUM(SUMIFS('caseload data'!P:P,'caseload data'!$B:$B,{"licence","community"},'caseload data'!$C:$C,'community %'!$T$15)),"")</f>
        <v/>
      </c>
      <c r="AG19" s="167" t="str">
        <f>IFERROR(SUM(SUMIFS('caseload data'!Q:Q,'caseload data'!$C:$C,'community %'!$T$15,'caseload data'!$D:$D,"TPO",'caseload data'!$B:$B,{"licence","community"}))/SUM(SUMIFS('caseload data'!Q:Q,'caseload data'!$B:$B,{"licence","community"},'caseload data'!$C:$C,'community %'!$T$15)),"")</f>
        <v/>
      </c>
      <c r="AH19" s="167" t="str">
        <f>IFERROR(SUM(SUMIFS('caseload data'!R:R,'caseload data'!$C:$C,'community %'!$T$15,'caseload data'!$D:$D,"TPO",'caseload data'!$B:$B,{"licence","community"}))/SUM(SUMIFS('caseload data'!R:R,'caseload data'!$B:$B,{"licence","community"},'caseload data'!$C:$C,'community %'!$T$15)),"")</f>
        <v/>
      </c>
      <c r="AI19" s="167" t="str">
        <f>IFERROR(SUM(SUMIFS('caseload data'!S:S,'caseload data'!$C:$C,'community %'!$T$15,'caseload data'!$D:$D,"TPO",'caseload data'!$B:$B,{"licence","community"}))/SUM(SUMIFS('caseload data'!S:S,'caseload data'!$B:$B,{"licence","community"},'caseload data'!$C:$C,'community %'!$T$15)),"")</f>
        <v/>
      </c>
      <c r="AJ19" s="167" t="str">
        <f>IFERROR(SUM(SUMIFS('caseload data'!T:T,'caseload data'!$C:$C,'community %'!$T$15,'caseload data'!$D:$D,"TPO",'caseload data'!$B:$B,{"licence","community"}))/SUM(SUMIFS('caseload data'!T:T,'caseload data'!$B:$B,{"licence","community"},'caseload data'!$C:$C,'community %'!$T$15)),"")</f>
        <v/>
      </c>
    </row>
    <row r="20" spans="2:36" x14ac:dyDescent="0.15">
      <c r="B20" s="98" t="s">
        <v>1004</v>
      </c>
      <c r="C20" s="167" t="str">
        <f>IFERROR(SUM(SUMIFS('caseload data'!E:E,'caseload data'!$C:$C,'community %'!$B$15,'caseload data'!$D:$D,"SPO",'caseload data'!$B:$B,{"licence","community"}))/SUM(SUMIFS('caseload data'!E:E,'caseload data'!$B:$B,{"licence","community"},'caseload data'!$C:$C,'community %'!$B$15)),"")</f>
        <v/>
      </c>
      <c r="D20" s="167" t="str">
        <f>IFERROR(SUM(SUMIFS('caseload data'!F:F,'caseload data'!$C:$C,'community %'!$B$15,'caseload data'!$D:$D,"SPO",'caseload data'!$B:$B,{"licence","community"}))/SUM(SUMIFS('caseload data'!F:F,'caseload data'!$B:$B,{"licence","community"},'caseload data'!$C:$C,'community %'!$B$15)),"")</f>
        <v/>
      </c>
      <c r="E20" s="167" t="str">
        <f>IFERROR(SUM(SUMIFS('caseload data'!G:G,'caseload data'!$C:$C,'community %'!$B$15,'caseload data'!$D:$D,"SPO",'caseload data'!$B:$B,{"licence","community"}))/SUM(SUMIFS('caseload data'!G:G,'caseload data'!$B:$B,{"licence","community"},'caseload data'!$C:$C,'community %'!$B$15)),"")</f>
        <v/>
      </c>
      <c r="F20" s="167" t="str">
        <f>IFERROR(SUM(SUMIFS('caseload data'!H:H,'caseload data'!$C:$C,'community %'!$B$15,'caseload data'!$D:$D,"SPO",'caseload data'!$B:$B,{"licence","community"}))/SUM(SUMIFS('caseload data'!H:H,'caseload data'!$B:$B,{"licence","community"},'caseload data'!$C:$C,'community %'!$B$15)),"")</f>
        <v/>
      </c>
      <c r="G20" s="167" t="str">
        <f>IFERROR(SUM(SUMIFS('caseload data'!I:I,'caseload data'!$C:$C,'community %'!$B$15,'caseload data'!$D:$D,"SPO",'caseload data'!$B:$B,{"licence","community"}))/SUM(SUMIFS('caseload data'!I:I,'caseload data'!$B:$B,{"licence","community"},'caseload data'!$C:$C,'community %'!$B$15)),"")</f>
        <v/>
      </c>
      <c r="H20" s="167" t="str">
        <f>IFERROR(SUM(SUMIFS('caseload data'!J:J,'caseload data'!$C:$C,'community %'!$B$15,'caseload data'!$D:$D,"SPO",'caseload data'!$B:$B,{"licence","community"}))/SUM(SUMIFS('caseload data'!J:J,'caseload data'!$B:$B,{"licence","community"},'caseload data'!$C:$C,'community %'!$B$15)),"")</f>
        <v/>
      </c>
      <c r="I20" s="167" t="str">
        <f>IFERROR(SUM(SUMIFS('caseload data'!K:K,'caseload data'!$C:$C,'community %'!$B$15,'caseload data'!$D:$D,"SPO",'caseload data'!$B:$B,{"licence","community"}))/SUM(SUMIFS('caseload data'!K:K,'caseload data'!$B:$B,{"licence","community"},'caseload data'!$C:$C,'community %'!$B$15)),"")</f>
        <v/>
      </c>
      <c r="J20" s="167" t="str">
        <f>IFERROR(SUM(SUMIFS('caseload data'!L:L,'caseload data'!$C:$C,'community %'!$B$15,'caseload data'!$D:$D,"SPO",'caseload data'!$B:$B,{"licence","community"}))/SUM(SUMIFS('caseload data'!L:L,'caseload data'!$B:$B,{"licence","community"},'caseload data'!$C:$C,'community %'!$B$15)),"")</f>
        <v/>
      </c>
      <c r="K20" s="167" t="str">
        <f>IFERROR(SUM(SUMIFS('caseload data'!M:M,'caseload data'!$C:$C,'community %'!$B$15,'caseload data'!$D:$D,"SPO",'caseload data'!$B:$B,{"licence","community"}))/SUM(SUMIFS('caseload data'!M:M,'caseload data'!$B:$B,{"licence","community"},'caseload data'!$C:$C,'community %'!$B$15)),"")</f>
        <v/>
      </c>
      <c r="L20" s="167" t="str">
        <f>IFERROR(SUM(SUMIFS('caseload data'!N:N,'caseload data'!$C:$C,'community %'!$B$15,'caseload data'!$D:$D,"SPO",'caseload data'!$B:$B,{"licence","community"}))/SUM(SUMIFS('caseload data'!N:N,'caseload data'!$B:$B,{"licence","community"},'caseload data'!$C:$C,'community %'!$B$15)),"")</f>
        <v/>
      </c>
      <c r="M20" s="167" t="str">
        <f>IFERROR(SUM(SUMIFS('caseload data'!O:O,'caseload data'!$C:$C,'community %'!$B$15,'caseload data'!$D:$D,"SPO",'caseload data'!$B:$B,{"licence","community"}))/SUM(SUMIFS('caseload data'!O:O,'caseload data'!$B:$B,{"licence","community"},'caseload data'!$C:$C,'community %'!$B$15)),"")</f>
        <v/>
      </c>
      <c r="N20" s="167" t="str">
        <f>IFERROR(SUM(SUMIFS('caseload data'!P:P,'caseload data'!$C:$C,'community %'!$B$15,'caseload data'!$D:$D,"SPO",'caseload data'!$B:$B,{"licence","community"}))/SUM(SUMIFS('caseload data'!P:P,'caseload data'!$B:$B,{"licence","community"},'caseload data'!$C:$C,'community %'!$B$15)),"")</f>
        <v/>
      </c>
      <c r="O20" s="167" t="str">
        <f>IFERROR(SUM(SUMIFS('caseload data'!Q:Q,'caseload data'!$C:$C,'community %'!$B$15,'caseload data'!$D:$D,"SPO",'caseload data'!$B:$B,{"licence","community"}))/SUM(SUMIFS('caseload data'!Q:Q,'caseload data'!$B:$B,{"licence","community"},'caseload data'!$C:$C,'community %'!$B$15)),"")</f>
        <v/>
      </c>
      <c r="P20" s="167" t="str">
        <f>IFERROR(SUM(SUMIFS('caseload data'!R:R,'caseload data'!$C:$C,'community %'!$B$15,'caseload data'!$D:$D,"SPO",'caseload data'!$B:$B,{"licence","community"}))/SUM(SUMIFS('caseload data'!R:R,'caseload data'!$B:$B,{"licence","community"},'caseload data'!$C:$C,'community %'!$B$15)),"")</f>
        <v/>
      </c>
      <c r="Q20" s="167" t="str">
        <f>IFERROR(SUM(SUMIFS('caseload data'!S:S,'caseload data'!$C:$C,'community %'!$B$15,'caseload data'!$D:$D,"SPO",'caseload data'!$B:$B,{"licence","community"}))/SUM(SUMIFS('caseload data'!S:S,'caseload data'!$B:$B,{"licence","community"},'caseload data'!$C:$C,'community %'!$B$15)),"")</f>
        <v/>
      </c>
      <c r="R20" s="167" t="str">
        <f>IFERROR(SUM(SUMIFS('caseload data'!T:T,'caseload data'!$C:$C,'community %'!$B$15,'caseload data'!$D:$D,"SPO",'caseload data'!$B:$B,{"licence","community"}))/SUM(SUMIFS('caseload data'!T:T,'caseload data'!$B:$B,{"licence","community"},'caseload data'!$C:$C,'community %'!$B$15)),"")</f>
        <v/>
      </c>
      <c r="S20" s="64"/>
      <c r="T20" s="98" t="s">
        <v>1004</v>
      </c>
      <c r="U20" s="167" t="str">
        <f>IFERROR(SUM(SUMIFS('caseload data'!E:E,'caseload data'!$C:$C,'community %'!$T$15,'caseload data'!$D:$D,"SPO",'caseload data'!$B:$B,{"licence","community"}))/SUM(SUMIFS('caseload data'!E:E,'caseload data'!$B:$B,{"licence","community"},'caseload data'!$C:$C,'community %'!$T$15)),"")</f>
        <v/>
      </c>
      <c r="V20" s="167" t="str">
        <f>IFERROR(SUM(SUMIFS('caseload data'!F:F,'caseload data'!$C:$C,'community %'!$T$15,'caseload data'!$D:$D,"SPO",'caseload data'!$B:$B,{"licence","community"}))/SUM(SUMIFS('caseload data'!F:F,'caseload data'!$B:$B,{"licence","community"},'caseload data'!$C:$C,'community %'!$T$15)),"")</f>
        <v/>
      </c>
      <c r="W20" s="167" t="str">
        <f>IFERROR(SUM(SUMIFS('caseload data'!G:G,'caseload data'!$C:$C,'community %'!$T$15,'caseload data'!$D:$D,"SPO",'caseload data'!$B:$B,{"licence","community"}))/SUM(SUMIFS('caseload data'!G:G,'caseload data'!$B:$B,{"licence","community"},'caseload data'!$C:$C,'community %'!$T$15)),"")</f>
        <v/>
      </c>
      <c r="X20" s="167" t="str">
        <f>IFERROR(SUM(SUMIFS('caseload data'!H:H,'caseload data'!$C:$C,'community %'!$T$15,'caseload data'!$D:$D,"SPO",'caseload data'!$B:$B,{"licence","community"}))/SUM(SUMIFS('caseload data'!H:H,'caseload data'!$B:$B,{"licence","community"},'caseload data'!$C:$C,'community %'!$T$15)),"")</f>
        <v/>
      </c>
      <c r="Y20" s="167" t="str">
        <f>IFERROR(SUM(SUMIFS('caseload data'!I:I,'caseload data'!$C:$C,'community %'!$T$15,'caseload data'!$D:$D,"SPO",'caseload data'!$B:$B,{"licence","community"}))/SUM(SUMIFS('caseload data'!I:I,'caseload data'!$B:$B,{"licence","community"},'caseload data'!$C:$C,'community %'!$T$15)),"")</f>
        <v/>
      </c>
      <c r="Z20" s="167" t="str">
        <f>IFERROR(SUM(SUMIFS('caseload data'!J:J,'caseload data'!$C:$C,'community %'!$T$15,'caseload data'!$D:$D,"SPO",'caseload data'!$B:$B,{"licence","community"}))/SUM(SUMIFS('caseload data'!J:J,'caseload data'!$B:$B,{"licence","community"},'caseload data'!$C:$C,'community %'!$T$15)),"")</f>
        <v/>
      </c>
      <c r="AA20" s="167" t="str">
        <f>IFERROR(SUM(SUMIFS('caseload data'!K:K,'caseload data'!$C:$C,'community %'!$T$15,'caseload data'!$D:$D,"SPO",'caseload data'!$B:$B,{"licence","community"}))/SUM(SUMIFS('caseload data'!K:K,'caseload data'!$B:$B,{"licence","community"},'caseload data'!$C:$C,'community %'!$T$15)),"")</f>
        <v/>
      </c>
      <c r="AB20" s="167" t="str">
        <f>IFERROR(SUM(SUMIFS('caseload data'!L:L,'caseload data'!$C:$C,'community %'!$T$15,'caseload data'!$D:$D,"SPO",'caseload data'!$B:$B,{"licence","community"}))/SUM(SUMIFS('caseload data'!L:L,'caseload data'!$B:$B,{"licence","community"},'caseload data'!$C:$C,'community %'!$T$15)),"")</f>
        <v/>
      </c>
      <c r="AC20" s="167" t="str">
        <f>IFERROR(SUM(SUMIFS('caseload data'!M:M,'caseload data'!$C:$C,'community %'!$T$15,'caseload data'!$D:$D,"SPO",'caseload data'!$B:$B,{"licence","community"}))/SUM(SUMIFS('caseload data'!M:M,'caseload data'!$B:$B,{"licence","community"},'caseload data'!$C:$C,'community %'!$T$15)),"")</f>
        <v/>
      </c>
      <c r="AD20" s="167" t="str">
        <f>IFERROR(SUM(SUMIFS('caseload data'!N:N,'caseload data'!$C:$C,'community %'!$T$15,'caseload data'!$D:$D,"SPO",'caseload data'!$B:$B,{"licence","community"}))/SUM(SUMIFS('caseload data'!N:N,'caseload data'!$B:$B,{"licence","community"},'caseload data'!$C:$C,'community %'!$T$15)),"")</f>
        <v/>
      </c>
      <c r="AE20" s="167" t="str">
        <f>IFERROR(SUM(SUMIFS('caseload data'!O:O,'caseload data'!$C:$C,'community %'!$T$15,'caseload data'!$D:$D,"SPO",'caseload data'!$B:$B,{"licence","community"}))/SUM(SUMIFS('caseload data'!O:O,'caseload data'!$B:$B,{"licence","community"},'caseload data'!$C:$C,'community %'!$T$15)),"")</f>
        <v/>
      </c>
      <c r="AF20" s="167" t="str">
        <f>IFERROR(SUM(SUMIFS('caseload data'!P:P,'caseload data'!$C:$C,'community %'!$T$15,'caseload data'!$D:$D,"SPO",'caseload data'!$B:$B,{"licence","community"}))/SUM(SUMIFS('caseload data'!P:P,'caseload data'!$B:$B,{"licence","community"},'caseload data'!$C:$C,'community %'!$T$15)),"")</f>
        <v/>
      </c>
      <c r="AG20" s="167" t="str">
        <f>IFERROR(SUM(SUMIFS('caseload data'!Q:Q,'caseload data'!$C:$C,'community %'!$T$15,'caseload data'!$D:$D,"SPO",'caseload data'!$B:$B,{"licence","community"}))/SUM(SUMIFS('caseload data'!Q:Q,'caseload data'!$B:$B,{"licence","community"},'caseload data'!$C:$C,'community %'!$T$15)),"")</f>
        <v/>
      </c>
      <c r="AH20" s="167" t="str">
        <f>IFERROR(SUM(SUMIFS('caseload data'!R:R,'caseload data'!$C:$C,'community %'!$T$15,'caseload data'!$D:$D,"SPO",'caseload data'!$B:$B,{"licence","community"}))/SUM(SUMIFS('caseload data'!R:R,'caseload data'!$B:$B,{"licence","community"},'caseload data'!$C:$C,'community %'!$T$15)),"")</f>
        <v/>
      </c>
      <c r="AI20" s="167" t="str">
        <f>IFERROR(SUM(SUMIFS('caseload data'!S:S,'caseload data'!$C:$C,'community %'!$T$15,'caseload data'!$D:$D,"SPO",'caseload data'!$B:$B,{"licence","community"}))/SUM(SUMIFS('caseload data'!S:S,'caseload data'!$B:$B,{"licence","community"},'caseload data'!$C:$C,'community %'!$T$15)),"")</f>
        <v/>
      </c>
      <c r="AJ20" s="167" t="str">
        <f>IFERROR(SUM(SUMIFS('caseload data'!T:T,'caseload data'!$C:$C,'community %'!$T$15,'caseload data'!$D:$D,"SPO",'caseload data'!$B:$B,{"licence","community"}))/SUM(SUMIFS('caseload data'!T:T,'caseload data'!$B:$B,{"licence","community"},'caseload data'!$C:$C,'community %'!$T$15)),"")</f>
        <v/>
      </c>
    </row>
    <row r="21" spans="2:36" x14ac:dyDescent="0.15">
      <c r="B21" s="91"/>
      <c r="C21" s="64"/>
      <c r="D21" s="64"/>
      <c r="E21" s="64"/>
      <c r="F21" s="64"/>
      <c r="G21" s="64"/>
      <c r="H21" s="64"/>
      <c r="I21" s="64"/>
      <c r="J21" s="64"/>
      <c r="K21" s="64"/>
      <c r="L21" s="64"/>
      <c r="M21" s="64"/>
      <c r="N21" s="64"/>
      <c r="O21" s="64"/>
      <c r="P21" s="64"/>
      <c r="Q21" s="64"/>
      <c r="R21" s="64"/>
      <c r="S21" s="64"/>
      <c r="T21" s="91"/>
      <c r="U21" s="64"/>
      <c r="V21" s="64"/>
      <c r="W21" s="64"/>
      <c r="X21" s="64"/>
      <c r="Y21" s="64"/>
      <c r="Z21" s="64"/>
      <c r="AA21" s="64"/>
      <c r="AB21" s="64"/>
      <c r="AC21" s="64"/>
      <c r="AD21" s="64"/>
      <c r="AE21" s="64"/>
      <c r="AF21" s="64"/>
      <c r="AG21" s="64"/>
      <c r="AH21" s="64"/>
      <c r="AI21" s="64"/>
      <c r="AJ21" s="64"/>
    </row>
    <row r="22" spans="2:36" ht="26.25" customHeight="1" x14ac:dyDescent="0.15">
      <c r="B22" s="289" t="str">
        <f>HLOOKUP($B$5,Region_Table,6,0)</f>
        <v>Lincolnshire East and West - N53</v>
      </c>
      <c r="C22" s="509" t="s">
        <v>1134</v>
      </c>
      <c r="D22" s="510"/>
      <c r="E22" s="510"/>
      <c r="F22" s="510"/>
      <c r="G22" s="510"/>
      <c r="H22" s="510"/>
      <c r="I22" s="510"/>
      <c r="J22" s="510"/>
      <c r="K22" s="510"/>
      <c r="L22" s="510"/>
      <c r="M22" s="539"/>
      <c r="N22" s="539"/>
      <c r="O22" s="540"/>
      <c r="P22" s="512" cm="1">
        <f t="array" ref="P22">SUM(SUMIFS('caseload data'!V:V,'caseload data'!B:B,{"licence","community"},'caseload data'!$C:$C,B22))</f>
        <v>0</v>
      </c>
      <c r="Q22" s="529"/>
      <c r="R22" s="530"/>
      <c r="S22" s="64"/>
      <c r="T22" s="289" t="str">
        <f>HLOOKUP($B$5,Region_Table,7,0)</f>
        <v>Nottingham City</v>
      </c>
      <c r="U22" s="509" t="s">
        <v>1134</v>
      </c>
      <c r="V22" s="510"/>
      <c r="W22" s="510"/>
      <c r="X22" s="510"/>
      <c r="Y22" s="510"/>
      <c r="Z22" s="510"/>
      <c r="AA22" s="510"/>
      <c r="AB22" s="510"/>
      <c r="AC22" s="510"/>
      <c r="AD22" s="510"/>
      <c r="AE22" s="539"/>
      <c r="AF22" s="539"/>
      <c r="AG22" s="540"/>
      <c r="AH22" s="512" cm="1">
        <f t="array" ref="AH22">SUM(SUMIFS('caseload data'!V:V,'caseload data'!B:B,{"licence","community"},'caseload data'!$C:$C,T22))</f>
        <v>0</v>
      </c>
      <c r="AI22" s="529"/>
      <c r="AJ22" s="530"/>
    </row>
    <row r="23" spans="2:36" x14ac:dyDescent="0.15">
      <c r="B23" s="95" t="s">
        <v>1000</v>
      </c>
      <c r="C23" s="38" t="s">
        <v>864</v>
      </c>
      <c r="D23" s="38" t="s">
        <v>865</v>
      </c>
      <c r="E23" s="38" t="s">
        <v>866</v>
      </c>
      <c r="F23" s="38" t="s">
        <v>867</v>
      </c>
      <c r="G23" s="38" t="s">
        <v>868</v>
      </c>
      <c r="H23" s="38" t="s">
        <v>869</v>
      </c>
      <c r="I23" s="38" t="s">
        <v>870</v>
      </c>
      <c r="J23" s="38" t="s">
        <v>871</v>
      </c>
      <c r="K23" s="38" t="s">
        <v>872</v>
      </c>
      <c r="L23" s="38" t="s">
        <v>873</v>
      </c>
      <c r="M23" s="38" t="s">
        <v>874</v>
      </c>
      <c r="N23" s="38" t="s">
        <v>875</v>
      </c>
      <c r="O23" s="38" t="s">
        <v>876</v>
      </c>
      <c r="P23" s="38" t="s">
        <v>877</v>
      </c>
      <c r="Q23" s="38" t="s">
        <v>878</v>
      </c>
      <c r="R23" s="38" t="s">
        <v>879</v>
      </c>
      <c r="S23" s="64"/>
      <c r="T23" s="95" t="s">
        <v>1000</v>
      </c>
      <c r="U23" s="38" t="s">
        <v>864</v>
      </c>
      <c r="V23" s="38" t="s">
        <v>865</v>
      </c>
      <c r="W23" s="38" t="s">
        <v>866</v>
      </c>
      <c r="X23" s="38" t="s">
        <v>867</v>
      </c>
      <c r="Y23" s="38" t="s">
        <v>868</v>
      </c>
      <c r="Z23" s="38" t="s">
        <v>869</v>
      </c>
      <c r="AA23" s="38" t="s">
        <v>870</v>
      </c>
      <c r="AB23" s="38" t="s">
        <v>871</v>
      </c>
      <c r="AC23" s="38" t="s">
        <v>872</v>
      </c>
      <c r="AD23" s="38" t="s">
        <v>873</v>
      </c>
      <c r="AE23" s="38" t="s">
        <v>874</v>
      </c>
      <c r="AF23" s="38" t="s">
        <v>875</v>
      </c>
      <c r="AG23" s="38" t="s">
        <v>876</v>
      </c>
      <c r="AH23" s="38" t="s">
        <v>877</v>
      </c>
      <c r="AI23" s="38" t="s">
        <v>878</v>
      </c>
      <c r="AJ23" s="38" t="s">
        <v>879</v>
      </c>
    </row>
    <row r="24" spans="2:36" x14ac:dyDescent="0.15">
      <c r="B24" s="96" t="s">
        <v>997</v>
      </c>
      <c r="C24" s="167" t="str">
        <f>IFERROR(SUM(SUMIFS('caseload data'!E:E,'caseload data'!$C:$C,'community %'!$B$22,'caseload data'!$D:$D,"PO",'caseload data'!$B:$B,{"licence","community"}))/SUM(SUMIFS('caseload data'!E:E,'caseload data'!$B:$B,{"licence","community"},'caseload data'!$C:$C,'community %'!$B$22)),"")</f>
        <v/>
      </c>
      <c r="D24" s="167" t="str">
        <f>IFERROR(SUM(SUMIFS('caseload data'!F:F,'caseload data'!$C:$C,'community %'!$B$22,'caseload data'!$D:$D,"PO",'caseload data'!$B:$B,{"licence","community"}))/SUM(SUMIFS('caseload data'!F:F,'caseload data'!$B:$B,{"licence","community"},'caseload data'!$C:$C,'community %'!$B$22)),"")</f>
        <v/>
      </c>
      <c r="E24" s="167" t="str">
        <f>IFERROR(SUM(SUMIFS('caseload data'!G:G,'caseload data'!$C:$C,'community %'!$B$22,'caseload data'!$D:$D,"PO",'caseload data'!$B:$B,{"licence","community"}))/SUM(SUMIFS('caseload data'!G:G,'caseload data'!$B:$B,{"licence","community"},'caseload data'!$C:$C,'community %'!$B$22)),"")</f>
        <v/>
      </c>
      <c r="F24" s="167" t="str">
        <f>IFERROR(SUM(SUMIFS('caseload data'!H:H,'caseload data'!$C:$C,'community %'!$B$22,'caseload data'!$D:$D,"PO",'caseload data'!$B:$B,{"licence","community"}))/SUM(SUMIFS('caseload data'!H:H,'caseload data'!$B:$B,{"licence","community"},'caseload data'!$C:$C,'community %'!$B$22)),"")</f>
        <v/>
      </c>
      <c r="G24" s="167" t="str">
        <f>IFERROR(SUM(SUMIFS('caseload data'!I:I,'caseload data'!$C:$C,'community %'!$B$22,'caseload data'!$D:$D,"PO",'caseload data'!$B:$B,{"licence","community"}))/SUM(SUMIFS('caseload data'!I:I,'caseload data'!$B:$B,{"licence","community"},'caseload data'!$C:$C,'community %'!$B$22)),"")</f>
        <v/>
      </c>
      <c r="H24" s="167" t="str">
        <f>IFERROR(SUM(SUMIFS('caseload data'!J:J,'caseload data'!$C:$C,'community %'!$B$22,'caseload data'!$D:$D,"PO",'caseload data'!$B:$B,{"licence","community"}))/SUM(SUMIFS('caseload data'!J:J,'caseload data'!$B:$B,{"licence","community"},'caseload data'!$C:$C,'community %'!$B$22)),"")</f>
        <v/>
      </c>
      <c r="I24" s="167" t="str">
        <f>IFERROR(SUM(SUMIFS('caseload data'!K:K,'caseload data'!$C:$C,'community %'!$B$22,'caseload data'!$D:$D,"PO",'caseload data'!$B:$B,{"licence","community"}))/SUM(SUMIFS('caseload data'!K:K,'caseload data'!$B:$B,{"licence","community"},'caseload data'!$C:$C,'community %'!$B$22)),"")</f>
        <v/>
      </c>
      <c r="J24" s="167" t="str">
        <f>IFERROR(SUM(SUMIFS('caseload data'!L:L,'caseload data'!$C:$C,'community %'!$B$22,'caseload data'!$D:$D,"PO",'caseload data'!$B:$B,{"licence","community"}))/SUM(SUMIFS('caseload data'!L:L,'caseload data'!$B:$B,{"licence","community"},'caseload data'!$C:$C,'community %'!$B$22)),"")</f>
        <v/>
      </c>
      <c r="K24" s="167" t="str">
        <f>IFERROR(SUM(SUMIFS('caseload data'!M:M,'caseload data'!$C:$C,'community %'!$B$22,'caseload data'!$D:$D,"PO",'caseload data'!$B:$B,{"licence","community"}))/SUM(SUMIFS('caseload data'!M:M,'caseload data'!$B:$B,{"licence","community"},'caseload data'!$C:$C,'community %'!$B$22)),"")</f>
        <v/>
      </c>
      <c r="L24" s="167" t="str">
        <f>IFERROR(SUM(SUMIFS('caseload data'!N:N,'caseload data'!$C:$C,'community %'!$B$22,'caseload data'!$D:$D,"PO",'caseload data'!$B:$B,{"licence","community"}))/SUM(SUMIFS('caseload data'!N:N,'caseload data'!$B:$B,{"licence","community"},'caseload data'!$C:$C,'community %'!$B$22)),"")</f>
        <v/>
      </c>
      <c r="M24" s="167" t="str">
        <f>IFERROR(SUM(SUMIFS('caseload data'!O:O,'caseload data'!$C:$C,'community %'!$B$22,'caseload data'!$D:$D,"PO",'caseload data'!$B:$B,{"licence","community"}))/SUM(SUMIFS('caseload data'!O:O,'caseload data'!$B:$B,{"licence","community"},'caseload data'!$C:$C,'community %'!$B$22)),"")</f>
        <v/>
      </c>
      <c r="N24" s="167" t="str">
        <f>IFERROR(SUM(SUMIFS('caseload data'!P:P,'caseload data'!$C:$C,'community %'!$B$22,'caseload data'!$D:$D,"PO",'caseload data'!$B:$B,{"licence","community"}))/SUM(SUMIFS('caseload data'!P:P,'caseload data'!$B:$B,{"licence","community"},'caseload data'!$C:$C,'community %'!$B$22)),"")</f>
        <v/>
      </c>
      <c r="O24" s="167" t="str">
        <f>IFERROR(SUM(SUMIFS('caseload data'!Q:Q,'caseload data'!$C:$C,'community %'!$B$22,'caseload data'!$D:$D,"PO",'caseload data'!$B:$B,{"licence","community"}))/SUM(SUMIFS('caseload data'!Q:Q,'caseload data'!$B:$B,{"licence","community"},'caseload data'!$C:$C,'community %'!$B$22)),"")</f>
        <v/>
      </c>
      <c r="P24" s="167" t="str">
        <f>IFERROR(SUM(SUMIFS('caseload data'!R:R,'caseload data'!$C:$C,'community %'!$B$22,'caseload data'!$D:$D,"PO",'caseload data'!$B:$B,{"licence","community"}))/SUM(SUMIFS('caseload data'!R:R,'caseload data'!$B:$B,{"licence","community"},'caseload data'!$C:$C,'community %'!$B$22)),"")</f>
        <v/>
      </c>
      <c r="Q24" s="167" t="str">
        <f>IFERROR(SUM(SUMIFS('caseload data'!S:S,'caseload data'!$C:$C,'community %'!$B$22,'caseload data'!$D:$D,"PO",'caseload data'!$B:$B,{"licence","community"}))/SUM(SUMIFS('caseload data'!S:S,'caseload data'!$B:$B,{"licence","community"},'caseload data'!$C:$C,'community %'!$B$22)),"")</f>
        <v/>
      </c>
      <c r="R24" s="167" t="str">
        <f>IFERROR(SUM(SUMIFS('caseload data'!T:T,'caseload data'!$C:$C,'community %'!$B$22,'caseload data'!$D:$D,"PO",'caseload data'!$B:$B,{"licence","community"}))/SUM(SUMIFS('caseload data'!T:T,'caseload data'!$B:$B,{"licence","community"},'caseload data'!$C:$C,'community %'!$B$22)),"")</f>
        <v/>
      </c>
      <c r="S24" s="64"/>
      <c r="T24" s="96" t="s">
        <v>997</v>
      </c>
      <c r="U24" s="167" t="str">
        <f>IFERROR(SUM(SUMIFS('caseload data'!E:E,'caseload data'!$C:$C,'community %'!$T$22,'caseload data'!$D:$D,"PO",'caseload data'!$B:$B,{"licence","community"}))/SUM(SUMIFS('caseload data'!E:E,'caseload data'!$B:$B,{"licence","community"},'caseload data'!$C:$C,'community %'!$T$22)),"")</f>
        <v/>
      </c>
      <c r="V24" s="167" t="str">
        <f>IFERROR(SUM(SUMIFS('caseload data'!F:F,'caseload data'!$C:$C,'community %'!$T$22,'caseload data'!$D:$D,"PO",'caseload data'!$B:$B,{"licence","community"}))/SUM(SUMIFS('caseload data'!F:F,'caseload data'!$B:$B,{"licence","community"},'caseload data'!$C:$C,'community %'!$T$22)),"")</f>
        <v/>
      </c>
      <c r="W24" s="167" t="str">
        <f>IFERROR(SUM(SUMIFS('caseload data'!G:G,'caseload data'!$C:$C,'community %'!$T$22,'caseload data'!$D:$D,"PO",'caseload data'!$B:$B,{"licence","community"}))/SUM(SUMIFS('caseload data'!G:G,'caseload data'!$B:$B,{"licence","community"},'caseload data'!$C:$C,'community %'!$T$22)),"")</f>
        <v/>
      </c>
      <c r="X24" s="167" t="str">
        <f>IFERROR(SUM(SUMIFS('caseload data'!H:H,'caseload data'!$C:$C,'community %'!$T$22,'caseload data'!$D:$D,"PO",'caseload data'!$B:$B,{"licence","community"}))/SUM(SUMIFS('caseload data'!H:H,'caseload data'!$B:$B,{"licence","community"},'caseload data'!$C:$C,'community %'!$T$22)),"")</f>
        <v/>
      </c>
      <c r="Y24" s="167" t="str">
        <f>IFERROR(SUM(SUMIFS('caseload data'!I:I,'caseload data'!$C:$C,'community %'!$T$22,'caseload data'!$D:$D,"PO",'caseload data'!$B:$B,{"licence","community"}))/SUM(SUMIFS('caseload data'!I:I,'caseload data'!$B:$B,{"licence","community"},'caseload data'!$C:$C,'community %'!$T$22)),"")</f>
        <v/>
      </c>
      <c r="Z24" s="167" t="str">
        <f>IFERROR(SUM(SUMIFS('caseload data'!J:J,'caseload data'!$C:$C,'community %'!$T$22,'caseload data'!$D:$D,"PO",'caseload data'!$B:$B,{"licence","community"}))/SUM(SUMIFS('caseload data'!J:J,'caseload data'!$B:$B,{"licence","community"},'caseload data'!$C:$C,'community %'!$T$22)),"")</f>
        <v/>
      </c>
      <c r="AA24" s="167" t="str">
        <f>IFERROR(SUM(SUMIFS('caseload data'!K:K,'caseload data'!$C:$C,'community %'!$T$22,'caseload data'!$D:$D,"PO",'caseload data'!$B:$B,{"licence","community"}))/SUM(SUMIFS('caseload data'!K:K,'caseload data'!$B:$B,{"licence","community"},'caseload data'!$C:$C,'community %'!$T$22)),"")</f>
        <v/>
      </c>
      <c r="AB24" s="167" t="str">
        <f>IFERROR(SUM(SUMIFS('caseload data'!L:L,'caseload data'!$C:$C,'community %'!$T$22,'caseload data'!$D:$D,"PO",'caseload data'!$B:$B,{"licence","community"}))/SUM(SUMIFS('caseload data'!L:L,'caseload data'!$B:$B,{"licence","community"},'caseload data'!$C:$C,'community %'!$T$22)),"")</f>
        <v/>
      </c>
      <c r="AC24" s="167" t="str">
        <f>IFERROR(SUM(SUMIFS('caseload data'!M:M,'caseload data'!$C:$C,'community %'!$T$22,'caseload data'!$D:$D,"PO",'caseload data'!$B:$B,{"licence","community"}))/SUM(SUMIFS('caseload data'!M:M,'caseload data'!$B:$B,{"licence","community"},'caseload data'!$C:$C,'community %'!$T$22)),"")</f>
        <v/>
      </c>
      <c r="AD24" s="167" t="str">
        <f>IFERROR(SUM(SUMIFS('caseload data'!N:N,'caseload data'!$C:$C,'community %'!$T$22,'caseload data'!$D:$D,"PO",'caseload data'!$B:$B,{"licence","community"}))/SUM(SUMIFS('caseload data'!N:N,'caseload data'!$B:$B,{"licence","community"},'caseload data'!$C:$C,'community %'!$T$22)),"")</f>
        <v/>
      </c>
      <c r="AE24" s="167" t="str">
        <f>IFERROR(SUM(SUMIFS('caseload data'!O:O,'caseload data'!$C:$C,'community %'!$T$22,'caseload data'!$D:$D,"PO",'caseload data'!$B:$B,{"licence","community"}))/SUM(SUMIFS('caseload data'!O:O,'caseload data'!$B:$B,{"licence","community"},'caseload data'!$C:$C,'community %'!$T$22)),"")</f>
        <v/>
      </c>
      <c r="AF24" s="167" t="str">
        <f>IFERROR(SUM(SUMIFS('caseload data'!P:P,'caseload data'!$C:$C,'community %'!$T$22,'caseload data'!$D:$D,"PO",'caseload data'!$B:$B,{"licence","community"}))/SUM(SUMIFS('caseload data'!P:P,'caseload data'!$B:$B,{"licence","community"},'caseload data'!$C:$C,'community %'!$T$22)),"")</f>
        <v/>
      </c>
      <c r="AG24" s="167" t="str">
        <f>IFERROR(SUM(SUMIFS('caseload data'!Q:Q,'caseload data'!$C:$C,'community %'!$T$22,'caseload data'!$D:$D,"PO",'caseload data'!$B:$B,{"licence","community"}))/SUM(SUMIFS('caseload data'!Q:Q,'caseload data'!$B:$B,{"licence","community"},'caseload data'!$C:$C,'community %'!$T$22)),"")</f>
        <v/>
      </c>
      <c r="AH24" s="167" t="str">
        <f>IFERROR(SUM(SUMIFS('caseload data'!R:R,'caseload data'!$C:$C,'community %'!$T$22,'caseload data'!$D:$D,"PO",'caseload data'!$B:$B,{"licence","community"}))/SUM(SUMIFS('caseload data'!R:R,'caseload data'!$B:$B,{"licence","community"},'caseload data'!$C:$C,'community %'!$T$22)),"")</f>
        <v/>
      </c>
      <c r="AI24" s="167" t="str">
        <f>IFERROR(SUM(SUMIFS('caseload data'!S:S,'caseload data'!$C:$C,'community %'!$T$22,'caseload data'!$D:$D,"PO",'caseload data'!$B:$B,{"licence","community"}))/SUM(SUMIFS('caseload data'!S:S,'caseload data'!$B:$B,{"licence","community"},'caseload data'!$C:$C,'community %'!$T$22)),"")</f>
        <v/>
      </c>
      <c r="AJ24" s="167" t="str">
        <f>IFERROR(SUM(SUMIFS('caseload data'!T:T,'caseload data'!$C:$C,'community %'!$T$22,'caseload data'!$D:$D,"PO",'caseload data'!$B:$B,{"licence","community"}))/SUM(SUMIFS('caseload data'!T:T,'caseload data'!$B:$B,{"licence","community"},'caseload data'!$C:$C,'community %'!$T$22)),"")</f>
        <v/>
      </c>
    </row>
    <row r="25" spans="2:36" x14ac:dyDescent="0.15">
      <c r="B25" s="97" t="s">
        <v>1002</v>
      </c>
      <c r="C25" s="167" t="str">
        <f>IFERROR(SUM(SUMIFS('caseload data'!E:E,'caseload data'!$C:$C,'community %'!$B$22,'caseload data'!$D:$D,"PSO",'caseload data'!$B:$B,{"licence","community"}))/SUM(SUMIFS('caseload data'!E:E,'caseload data'!$B:$B,{"licence","community"},'caseload data'!$C:$C,'community %'!$B$22)),"")</f>
        <v/>
      </c>
      <c r="D25" s="167" t="str">
        <f>IFERROR(SUM(SUMIFS('caseload data'!F:F,'caseload data'!$C:$C,'community %'!$B$22,'caseload data'!$D:$D,"PSO",'caseload data'!$B:$B,{"licence","community"}))/SUM(SUMIFS('caseload data'!F:F,'caseload data'!$B:$B,{"licence","community"},'caseload data'!$C:$C,'community %'!$B$22)),"")</f>
        <v/>
      </c>
      <c r="E25" s="167" t="str">
        <f>IFERROR(SUM(SUMIFS('caseload data'!G:G,'caseload data'!$C:$C,'community %'!$B$22,'caseload data'!$D:$D,"PSO",'caseload data'!$B:$B,{"licence","community"}))/SUM(SUMIFS('caseload data'!G:G,'caseload data'!$B:$B,{"licence","community"},'caseload data'!$C:$C,'community %'!$B$22)),"")</f>
        <v/>
      </c>
      <c r="F25" s="167" t="str">
        <f>IFERROR(SUM(SUMIFS('caseload data'!H:H,'caseload data'!$C:$C,'community %'!$B$22,'caseload data'!$D:$D,"PSO",'caseload data'!$B:$B,{"licence","community"}))/SUM(SUMIFS('caseload data'!H:H,'caseload data'!$B:$B,{"licence","community"},'caseload data'!$C:$C,'community %'!$B$22)),"")</f>
        <v/>
      </c>
      <c r="G25" s="167" t="str">
        <f>IFERROR(SUM(SUMIFS('caseload data'!I:I,'caseload data'!$C:$C,'community %'!$B$22,'caseload data'!$D:$D,"PSO",'caseload data'!$B:$B,{"licence","community"}))/SUM(SUMIFS('caseload data'!I:I,'caseload data'!$B:$B,{"licence","community"},'caseload data'!$C:$C,'community %'!$B$22)),"")</f>
        <v/>
      </c>
      <c r="H25" s="167" t="str">
        <f>IFERROR(SUM(SUMIFS('caseload data'!J:J,'caseload data'!$C:$C,'community %'!$B$22,'caseload data'!$D:$D,"PSO",'caseload data'!$B:$B,{"licence","community"}))/SUM(SUMIFS('caseload data'!J:J,'caseload data'!$B:$B,{"licence","community"},'caseload data'!$C:$C,'community %'!$B$22)),"")</f>
        <v/>
      </c>
      <c r="I25" s="167" t="str">
        <f>IFERROR(SUM(SUMIFS('caseload data'!K:K,'caseload data'!$C:$C,'community %'!$B$22,'caseload data'!$D:$D,"PSO",'caseload data'!$B:$B,{"licence","community"}))/SUM(SUMIFS('caseload data'!K:K,'caseload data'!$B:$B,{"licence","community"},'caseload data'!$C:$C,'community %'!$B$22)),"")</f>
        <v/>
      </c>
      <c r="J25" s="167" t="str">
        <f>IFERROR(SUM(SUMIFS('caseload data'!L:L,'caseload data'!$C:$C,'community %'!$B$22,'caseload data'!$D:$D,"PSO",'caseload data'!$B:$B,{"licence","community"}))/SUM(SUMIFS('caseload data'!L:L,'caseload data'!$B:$B,{"licence","community"},'caseload data'!$C:$C,'community %'!$B$22)),"")</f>
        <v/>
      </c>
      <c r="K25" s="167" t="str">
        <f>IFERROR(SUM(SUMIFS('caseload data'!M:M,'caseload data'!$C:$C,'community %'!$B$22,'caseload data'!$D:$D,"PSO",'caseload data'!$B:$B,{"licence","community"}))/SUM(SUMIFS('caseload data'!M:M,'caseload data'!$B:$B,{"licence","community"},'caseload data'!$C:$C,'community %'!$B$22)),"")</f>
        <v/>
      </c>
      <c r="L25" s="167" t="str">
        <f>IFERROR(SUM(SUMIFS('caseload data'!N:N,'caseload data'!$C:$C,'community %'!$B$22,'caseload data'!$D:$D,"PSO",'caseload data'!$B:$B,{"licence","community"}))/SUM(SUMIFS('caseload data'!N:N,'caseload data'!$B:$B,{"licence","community"},'caseload data'!$C:$C,'community %'!$B$22)),"")</f>
        <v/>
      </c>
      <c r="M25" s="167" t="str">
        <f>IFERROR(SUM(SUMIFS('caseload data'!O:O,'caseload data'!$C:$C,'community %'!$B$22,'caseload data'!$D:$D,"PSO",'caseload data'!$B:$B,{"licence","community"}))/SUM(SUMIFS('caseload data'!O:O,'caseload data'!$B:$B,{"licence","community"},'caseload data'!$C:$C,'community %'!$B$22)),"")</f>
        <v/>
      </c>
      <c r="N25" s="167" t="str">
        <f>IFERROR(SUM(SUMIFS('caseload data'!P:P,'caseload data'!$C:$C,'community %'!$B$22,'caseload data'!$D:$D,"PSO",'caseload data'!$B:$B,{"licence","community"}))/SUM(SUMIFS('caseload data'!P:P,'caseload data'!$B:$B,{"licence","community"},'caseload data'!$C:$C,'community %'!$B$22)),"")</f>
        <v/>
      </c>
      <c r="O25" s="167" t="str">
        <f>IFERROR(SUM(SUMIFS('caseload data'!Q:Q,'caseload data'!$C:$C,'community %'!$B$22,'caseload data'!$D:$D,"PSO",'caseload data'!$B:$B,{"licence","community"}))/SUM(SUMIFS('caseload data'!Q:Q,'caseload data'!$B:$B,{"licence","community"},'caseload data'!$C:$C,'community %'!$B$22)),"")</f>
        <v/>
      </c>
      <c r="P25" s="167" t="str">
        <f>IFERROR(SUM(SUMIFS('caseload data'!R:R,'caseload data'!$C:$C,'community %'!$B$22,'caseload data'!$D:$D,"PSO",'caseload data'!$B:$B,{"licence","community"}))/SUM(SUMIFS('caseload data'!R:R,'caseload data'!$B:$B,{"licence","community"},'caseload data'!$C:$C,'community %'!$B$22)),"")</f>
        <v/>
      </c>
      <c r="Q25" s="167" t="str">
        <f>IFERROR(SUM(SUMIFS('caseload data'!S:S,'caseload data'!$C:$C,'community %'!$B$22,'caseload data'!$D:$D,"PSO",'caseload data'!$B:$B,{"licence","community"}))/SUM(SUMIFS('caseload data'!S:S,'caseload data'!$B:$B,{"licence","community"},'caseload data'!$C:$C,'community %'!$B$22)),"")</f>
        <v/>
      </c>
      <c r="R25" s="167" t="str">
        <f>IFERROR(SUM(SUMIFS('caseload data'!T:T,'caseload data'!$C:$C,'community %'!$B$22,'caseload data'!$D:$D,"PSO",'caseload data'!$B:$B,{"licence","community"}))/SUM(SUMIFS('caseload data'!T:T,'caseload data'!$B:$B,{"licence","community"},'caseload data'!$C:$C,'community %'!$B$22)),"")</f>
        <v/>
      </c>
      <c r="S25" s="64"/>
      <c r="T25" s="97" t="s">
        <v>1002</v>
      </c>
      <c r="U25" s="167" t="str">
        <f>IFERROR(SUM(SUMIFS('caseload data'!E:E,'caseload data'!$C:$C,'community %'!$T$22,'caseload data'!$D:$D,"PSO",'caseload data'!$B:$B,{"licence","community"}))/SUM(SUMIFS('caseload data'!E:E,'caseload data'!$B:$B,{"licence","community"},'caseload data'!$C:$C,'community %'!$T$22)),"")</f>
        <v/>
      </c>
      <c r="V25" s="167" t="str">
        <f>IFERROR(SUM(SUMIFS('caseload data'!F:F,'caseload data'!$C:$C,'community %'!$T$22,'caseload data'!$D:$D,"PSO",'caseload data'!$B:$B,{"licence","community"}))/SUM(SUMIFS('caseload data'!F:F,'caseload data'!$B:$B,{"licence","community"},'caseload data'!$C:$C,'community %'!$T$22)),"")</f>
        <v/>
      </c>
      <c r="W25" s="167" t="str">
        <f>IFERROR(SUM(SUMIFS('caseload data'!G:G,'caseload data'!$C:$C,'community %'!$T$22,'caseload data'!$D:$D,"PSO",'caseload data'!$B:$B,{"licence","community"}))/SUM(SUMIFS('caseload data'!G:G,'caseload data'!$B:$B,{"licence","community"},'caseload data'!$C:$C,'community %'!$T$22)),"")</f>
        <v/>
      </c>
      <c r="X25" s="167" t="str">
        <f>IFERROR(SUM(SUMIFS('caseload data'!H:H,'caseload data'!$C:$C,'community %'!$T$22,'caseload data'!$D:$D,"PSO",'caseload data'!$B:$B,{"licence","community"}))/SUM(SUMIFS('caseload data'!H:H,'caseload data'!$B:$B,{"licence","community"},'caseload data'!$C:$C,'community %'!$T$22)),"")</f>
        <v/>
      </c>
      <c r="Y25" s="167" t="str">
        <f>IFERROR(SUM(SUMIFS('caseload data'!I:I,'caseload data'!$C:$C,'community %'!$T$22,'caseload data'!$D:$D,"PSO",'caseload data'!$B:$B,{"licence","community"}))/SUM(SUMIFS('caseload data'!I:I,'caseload data'!$B:$B,{"licence","community"},'caseload data'!$C:$C,'community %'!$T$22)),"")</f>
        <v/>
      </c>
      <c r="Z25" s="167" t="str">
        <f>IFERROR(SUM(SUMIFS('caseload data'!J:J,'caseload data'!$C:$C,'community %'!$T$22,'caseload data'!$D:$D,"PSO",'caseload data'!$B:$B,{"licence","community"}))/SUM(SUMIFS('caseload data'!J:J,'caseload data'!$B:$B,{"licence","community"},'caseload data'!$C:$C,'community %'!$T$22)),"")</f>
        <v/>
      </c>
      <c r="AA25" s="167" t="str">
        <f>IFERROR(SUM(SUMIFS('caseload data'!K:K,'caseload data'!$C:$C,'community %'!$T$22,'caseload data'!$D:$D,"PSO",'caseload data'!$B:$B,{"licence","community"}))/SUM(SUMIFS('caseload data'!K:K,'caseload data'!$B:$B,{"licence","community"},'caseload data'!$C:$C,'community %'!$T$22)),"")</f>
        <v/>
      </c>
      <c r="AB25" s="167" t="str">
        <f>IFERROR(SUM(SUMIFS('caseload data'!L:L,'caseload data'!$C:$C,'community %'!$T$22,'caseload data'!$D:$D,"PSO",'caseload data'!$B:$B,{"licence","community"}))/SUM(SUMIFS('caseload data'!L:L,'caseload data'!$B:$B,{"licence","community"},'caseload data'!$C:$C,'community %'!$T$22)),"")</f>
        <v/>
      </c>
      <c r="AC25" s="167" t="str">
        <f>IFERROR(SUM(SUMIFS('caseload data'!M:M,'caseload data'!$C:$C,'community %'!$T$22,'caseload data'!$D:$D,"PSO",'caseload data'!$B:$B,{"licence","community"}))/SUM(SUMIFS('caseload data'!M:M,'caseload data'!$B:$B,{"licence","community"},'caseload data'!$C:$C,'community %'!$T$22)),"")</f>
        <v/>
      </c>
      <c r="AD25" s="167" t="str">
        <f>IFERROR(SUM(SUMIFS('caseload data'!N:N,'caseload data'!$C:$C,'community %'!$T$22,'caseload data'!$D:$D,"PSO",'caseload data'!$B:$B,{"licence","community"}))/SUM(SUMIFS('caseload data'!N:N,'caseload data'!$B:$B,{"licence","community"},'caseload data'!$C:$C,'community %'!$T$22)),"")</f>
        <v/>
      </c>
      <c r="AE25" s="167" t="str">
        <f>IFERROR(SUM(SUMIFS('caseload data'!O:O,'caseload data'!$C:$C,'community %'!$T$22,'caseload data'!$D:$D,"PSO",'caseload data'!$B:$B,{"licence","community"}))/SUM(SUMIFS('caseload data'!O:O,'caseload data'!$B:$B,{"licence","community"},'caseload data'!$C:$C,'community %'!$T$22)),"")</f>
        <v/>
      </c>
      <c r="AF25" s="167" t="str">
        <f>IFERROR(SUM(SUMIFS('caseload data'!P:P,'caseload data'!$C:$C,'community %'!$T$22,'caseload data'!$D:$D,"PSO",'caseload data'!$B:$B,{"licence","community"}))/SUM(SUMIFS('caseload data'!P:P,'caseload data'!$B:$B,{"licence","community"},'caseload data'!$C:$C,'community %'!$T$22)),"")</f>
        <v/>
      </c>
      <c r="AG25" s="167" t="str">
        <f>IFERROR(SUM(SUMIFS('caseload data'!Q:Q,'caseload data'!$C:$C,'community %'!$T$22,'caseload data'!$D:$D,"PSO",'caseload data'!$B:$B,{"licence","community"}))/SUM(SUMIFS('caseload data'!Q:Q,'caseload data'!$B:$B,{"licence","community"},'caseload data'!$C:$C,'community %'!$T$22)),"")</f>
        <v/>
      </c>
      <c r="AH25" s="167" t="str">
        <f>IFERROR(SUM(SUMIFS('caseload data'!R:R,'caseload data'!$C:$C,'community %'!$T$22,'caseload data'!$D:$D,"PSO",'caseload data'!$B:$B,{"licence","community"}))/SUM(SUMIFS('caseload data'!R:R,'caseload data'!$B:$B,{"licence","community"},'caseload data'!$C:$C,'community %'!$T$22)),"")</f>
        <v/>
      </c>
      <c r="AI25" s="167" t="str">
        <f>IFERROR(SUM(SUMIFS('caseload data'!S:S,'caseload data'!$C:$C,'community %'!$T$22,'caseload data'!$D:$D,"PSO",'caseload data'!$B:$B,{"licence","community"}))/SUM(SUMIFS('caseload data'!S:S,'caseload data'!$B:$B,{"licence","community"},'caseload data'!$C:$C,'community %'!$T$22)),"")</f>
        <v/>
      </c>
      <c r="AJ25" s="167" t="str">
        <f>IFERROR(SUM(SUMIFS('caseload data'!T:T,'caseload data'!$C:$C,'community %'!$T$22,'caseload data'!$D:$D,"PSO",'caseload data'!$B:$B,{"licence","community"}))/SUM(SUMIFS('caseload data'!T:T,'caseload data'!$B:$B,{"licence","community"},'caseload data'!$C:$C,'community %'!$T$22)),"")</f>
        <v/>
      </c>
    </row>
    <row r="26" spans="2:36" x14ac:dyDescent="0.15">
      <c r="B26" s="97" t="s">
        <v>1003</v>
      </c>
      <c r="C26" s="167" t="str">
        <f>IFERROR(SUM(SUMIFS('caseload data'!E:E,'caseload data'!$C:$C,'community %'!$B$22,'caseload data'!$D:$D,"TPO",'caseload data'!$B:$B,{"licence","community"}))/SUM(SUMIFS('caseload data'!E:E,'caseload data'!$B:$B,{"licence","community"},'caseload data'!$C:$C,'community %'!$B$22)),"")</f>
        <v/>
      </c>
      <c r="D26" s="167" t="str">
        <f>IFERROR(SUM(SUMIFS('caseload data'!F:F,'caseload data'!$C:$C,'community %'!$B$22,'caseload data'!$D:$D,"TPO",'caseload data'!$B:$B,{"licence","community"}))/SUM(SUMIFS('caseload data'!F:F,'caseload data'!$B:$B,{"licence","community"},'caseload data'!$C:$C,'community %'!$B$22)),"")</f>
        <v/>
      </c>
      <c r="E26" s="167" t="str">
        <f>IFERROR(SUM(SUMIFS('caseload data'!G:G,'caseload data'!$C:$C,'community %'!$B$22,'caseload data'!$D:$D,"TPO",'caseload data'!$B:$B,{"licence","community"}))/SUM(SUMIFS('caseload data'!G:G,'caseload data'!$B:$B,{"licence","community"},'caseload data'!$C:$C,'community %'!$B$22)),"")</f>
        <v/>
      </c>
      <c r="F26" s="167" t="str">
        <f>IFERROR(SUM(SUMIFS('caseload data'!H:H,'caseload data'!$C:$C,'community %'!$B$22,'caseload data'!$D:$D,"TPO",'caseload data'!$B:$B,{"licence","community"}))/SUM(SUMIFS('caseload data'!H:H,'caseload data'!$B:$B,{"licence","community"},'caseload data'!$C:$C,'community %'!$B$22)),"")</f>
        <v/>
      </c>
      <c r="G26" s="167" t="str">
        <f>IFERROR(SUM(SUMIFS('caseload data'!I:I,'caseload data'!$C:$C,'community %'!$B$22,'caseload data'!$D:$D,"TPO",'caseload data'!$B:$B,{"licence","community"}))/SUM(SUMIFS('caseload data'!I:I,'caseload data'!$B:$B,{"licence","community"},'caseload data'!$C:$C,'community %'!$B$22)),"")</f>
        <v/>
      </c>
      <c r="H26" s="167" t="str">
        <f>IFERROR(SUM(SUMIFS('caseload data'!J:J,'caseload data'!$C:$C,'community %'!$B$22,'caseload data'!$D:$D,"TPO",'caseload data'!$B:$B,{"licence","community"}))/SUM(SUMIFS('caseload data'!J:J,'caseload data'!$B:$B,{"licence","community"},'caseload data'!$C:$C,'community %'!$B$22)),"")</f>
        <v/>
      </c>
      <c r="I26" s="167" t="str">
        <f>IFERROR(SUM(SUMIFS('caseload data'!K:K,'caseload data'!$C:$C,'community %'!$B$22,'caseload data'!$D:$D,"TPO",'caseload data'!$B:$B,{"licence","community"}))/SUM(SUMIFS('caseload data'!K:K,'caseload data'!$B:$B,{"licence","community"},'caseload data'!$C:$C,'community %'!$B$22)),"")</f>
        <v/>
      </c>
      <c r="J26" s="167" t="str">
        <f>IFERROR(SUM(SUMIFS('caseload data'!L:L,'caseload data'!$C:$C,'community %'!$B$22,'caseload data'!$D:$D,"TPO",'caseload data'!$B:$B,{"licence","community"}))/SUM(SUMIFS('caseload data'!L:L,'caseload data'!$B:$B,{"licence","community"},'caseload data'!$C:$C,'community %'!$B$22)),"")</f>
        <v/>
      </c>
      <c r="K26" s="167" t="str">
        <f>IFERROR(SUM(SUMIFS('caseload data'!M:M,'caseload data'!$C:$C,'community %'!$B$22,'caseload data'!$D:$D,"TPO",'caseload data'!$B:$B,{"licence","community"}))/SUM(SUMIFS('caseload data'!M:M,'caseload data'!$B:$B,{"licence","community"},'caseload data'!$C:$C,'community %'!$B$22)),"")</f>
        <v/>
      </c>
      <c r="L26" s="167" t="str">
        <f>IFERROR(SUM(SUMIFS('caseload data'!N:N,'caseload data'!$C:$C,'community %'!$B$22,'caseload data'!$D:$D,"TPO",'caseload data'!$B:$B,{"licence","community"}))/SUM(SUMIFS('caseload data'!N:N,'caseload data'!$B:$B,{"licence","community"},'caseload data'!$C:$C,'community %'!$B$22)),"")</f>
        <v/>
      </c>
      <c r="M26" s="167" t="str">
        <f>IFERROR(SUM(SUMIFS('caseload data'!O:O,'caseload data'!$C:$C,'community %'!$B$22,'caseload data'!$D:$D,"TPO",'caseload data'!$B:$B,{"licence","community"}))/SUM(SUMIFS('caseload data'!O:O,'caseload data'!$B:$B,{"licence","community"},'caseload data'!$C:$C,'community %'!$B$22)),"")</f>
        <v/>
      </c>
      <c r="N26" s="167" t="str">
        <f>IFERROR(SUM(SUMIFS('caseload data'!P:P,'caseload data'!$C:$C,'community %'!$B$22,'caseload data'!$D:$D,"TPO",'caseload data'!$B:$B,{"licence","community"}))/SUM(SUMIFS('caseload data'!P:P,'caseload data'!$B:$B,{"licence","community"},'caseload data'!$C:$C,'community %'!$B$22)),"")</f>
        <v/>
      </c>
      <c r="O26" s="167" t="str">
        <f>IFERROR(SUM(SUMIFS('caseload data'!Q:Q,'caseload data'!$C:$C,'community %'!$B$22,'caseload data'!$D:$D,"TPO",'caseload data'!$B:$B,{"licence","community"}))/SUM(SUMIFS('caseload data'!Q:Q,'caseload data'!$B:$B,{"licence","community"},'caseload data'!$C:$C,'community %'!$B$22)),"")</f>
        <v/>
      </c>
      <c r="P26" s="167" t="str">
        <f>IFERROR(SUM(SUMIFS('caseload data'!R:R,'caseload data'!$C:$C,'community %'!$B$22,'caseload data'!$D:$D,"TPO",'caseload data'!$B:$B,{"licence","community"}))/SUM(SUMIFS('caseload data'!R:R,'caseload data'!$B:$B,{"licence","community"},'caseload data'!$C:$C,'community %'!$B$22)),"")</f>
        <v/>
      </c>
      <c r="Q26" s="167" t="str">
        <f>IFERROR(SUM(SUMIFS('caseload data'!S:S,'caseload data'!$C:$C,'community %'!$B$22,'caseload data'!$D:$D,"TPO",'caseload data'!$B:$B,{"licence","community"}))/SUM(SUMIFS('caseload data'!S:S,'caseload data'!$B:$B,{"licence","community"},'caseload data'!$C:$C,'community %'!$B$22)),"")</f>
        <v/>
      </c>
      <c r="R26" s="167" t="str">
        <f>IFERROR(SUM(SUMIFS('caseload data'!T:T,'caseload data'!$C:$C,'community %'!$B$22,'caseload data'!$D:$D,"TPO",'caseload data'!$B:$B,{"licence","community"}))/SUM(SUMIFS('caseload data'!T:T,'caseload data'!$B:$B,{"licence","community"},'caseload data'!$C:$C,'community %'!$B$22)),"")</f>
        <v/>
      </c>
      <c r="S26" s="64"/>
      <c r="T26" s="97" t="s">
        <v>1003</v>
      </c>
      <c r="U26" s="167" t="str">
        <f>IFERROR(SUM(SUMIFS('caseload data'!E:E,'caseload data'!$C:$C,'community %'!$T$22,'caseload data'!$D:$D,"TPO",'caseload data'!$B:$B,{"licence","community"}))/SUM(SUMIFS('caseload data'!E:E,'caseload data'!$B:$B,{"licence","community"},'caseload data'!$C:$C,'community %'!$T$22)),"")</f>
        <v/>
      </c>
      <c r="V26" s="167" t="str">
        <f>IFERROR(SUM(SUMIFS('caseload data'!F:F,'caseload data'!$C:$C,'community %'!$T$22,'caseload data'!$D:$D,"TPO",'caseload data'!$B:$B,{"licence","community"}))/SUM(SUMIFS('caseload data'!F:F,'caseload data'!$B:$B,{"licence","community"},'caseload data'!$C:$C,'community %'!$T$22)),"")</f>
        <v/>
      </c>
      <c r="W26" s="167" t="str">
        <f>IFERROR(SUM(SUMIFS('caseload data'!G:G,'caseload data'!$C:$C,'community %'!$T$22,'caseload data'!$D:$D,"TPO",'caseload data'!$B:$B,{"licence","community"}))/SUM(SUMIFS('caseload data'!G:G,'caseload data'!$B:$B,{"licence","community"},'caseload data'!$C:$C,'community %'!$T$22)),"")</f>
        <v/>
      </c>
      <c r="X26" s="167" t="str">
        <f>IFERROR(SUM(SUMIFS('caseload data'!H:H,'caseload data'!$C:$C,'community %'!$T$22,'caseload data'!$D:$D,"TPO",'caseload data'!$B:$B,{"licence","community"}))/SUM(SUMIFS('caseload data'!H:H,'caseload data'!$B:$B,{"licence","community"},'caseload data'!$C:$C,'community %'!$T$22)),"")</f>
        <v/>
      </c>
      <c r="Y26" s="167" t="str">
        <f>IFERROR(SUM(SUMIFS('caseload data'!I:I,'caseload data'!$C:$C,'community %'!$T$22,'caseload data'!$D:$D,"TPO",'caseload data'!$B:$B,{"licence","community"}))/SUM(SUMIFS('caseload data'!I:I,'caseload data'!$B:$B,{"licence","community"},'caseload data'!$C:$C,'community %'!$T$22)),"")</f>
        <v/>
      </c>
      <c r="Z26" s="167" t="str">
        <f>IFERROR(SUM(SUMIFS('caseload data'!J:J,'caseload data'!$C:$C,'community %'!$T$22,'caseload data'!$D:$D,"TPO",'caseload data'!$B:$B,{"licence","community"}))/SUM(SUMIFS('caseload data'!J:J,'caseload data'!$B:$B,{"licence","community"},'caseload data'!$C:$C,'community %'!$T$22)),"")</f>
        <v/>
      </c>
      <c r="AA26" s="167" t="str">
        <f>IFERROR(SUM(SUMIFS('caseload data'!K:K,'caseload data'!$C:$C,'community %'!$T$22,'caseload data'!$D:$D,"TPO",'caseload data'!$B:$B,{"licence","community"}))/SUM(SUMIFS('caseload data'!K:K,'caseload data'!$B:$B,{"licence","community"},'caseload data'!$C:$C,'community %'!$T$22)),"")</f>
        <v/>
      </c>
      <c r="AB26" s="167" t="str">
        <f>IFERROR(SUM(SUMIFS('caseload data'!L:L,'caseload data'!$C:$C,'community %'!$T$22,'caseload data'!$D:$D,"TPO",'caseload data'!$B:$B,{"licence","community"}))/SUM(SUMIFS('caseload data'!L:L,'caseload data'!$B:$B,{"licence","community"},'caseload data'!$C:$C,'community %'!$T$22)),"")</f>
        <v/>
      </c>
      <c r="AC26" s="167" t="str">
        <f>IFERROR(SUM(SUMIFS('caseload data'!M:M,'caseload data'!$C:$C,'community %'!$T$22,'caseload data'!$D:$D,"TPO",'caseload data'!$B:$B,{"licence","community"}))/SUM(SUMIFS('caseload data'!M:M,'caseload data'!$B:$B,{"licence","community"},'caseload data'!$C:$C,'community %'!$T$22)),"")</f>
        <v/>
      </c>
      <c r="AD26" s="167" t="str">
        <f>IFERROR(SUM(SUMIFS('caseload data'!N:N,'caseload data'!$C:$C,'community %'!$T$22,'caseload data'!$D:$D,"TPO",'caseload data'!$B:$B,{"licence","community"}))/SUM(SUMIFS('caseload data'!N:N,'caseload data'!$B:$B,{"licence","community"},'caseload data'!$C:$C,'community %'!$T$22)),"")</f>
        <v/>
      </c>
      <c r="AE26" s="167" t="str">
        <f>IFERROR(SUM(SUMIFS('caseload data'!O:O,'caseload data'!$C:$C,'community %'!$T$22,'caseload data'!$D:$D,"TPO",'caseload data'!$B:$B,{"licence","community"}))/SUM(SUMIFS('caseload data'!O:O,'caseload data'!$B:$B,{"licence","community"},'caseload data'!$C:$C,'community %'!$T$22)),"")</f>
        <v/>
      </c>
      <c r="AF26" s="167" t="str">
        <f>IFERROR(SUM(SUMIFS('caseload data'!P:P,'caseload data'!$C:$C,'community %'!$T$22,'caseload data'!$D:$D,"TPO",'caseload data'!$B:$B,{"licence","community"}))/SUM(SUMIFS('caseload data'!P:P,'caseload data'!$B:$B,{"licence","community"},'caseload data'!$C:$C,'community %'!$T$22)),"")</f>
        <v/>
      </c>
      <c r="AG26" s="167" t="str">
        <f>IFERROR(SUM(SUMIFS('caseload data'!Q:Q,'caseload data'!$C:$C,'community %'!$T$22,'caseload data'!$D:$D,"TPO",'caseload data'!$B:$B,{"licence","community"}))/SUM(SUMIFS('caseload data'!Q:Q,'caseload data'!$B:$B,{"licence","community"},'caseload data'!$C:$C,'community %'!$T$22)),"")</f>
        <v/>
      </c>
      <c r="AH26" s="167" t="str">
        <f>IFERROR(SUM(SUMIFS('caseload data'!R:R,'caseload data'!$C:$C,'community %'!$T$22,'caseload data'!$D:$D,"TPO",'caseload data'!$B:$B,{"licence","community"}))/SUM(SUMIFS('caseload data'!R:R,'caseload data'!$B:$B,{"licence","community"},'caseload data'!$C:$C,'community %'!$T$22)),"")</f>
        <v/>
      </c>
      <c r="AI26" s="167" t="str">
        <f>IFERROR(SUM(SUMIFS('caseload data'!S:S,'caseload data'!$C:$C,'community %'!$T$22,'caseload data'!$D:$D,"TPO",'caseload data'!$B:$B,{"licence","community"}))/SUM(SUMIFS('caseload data'!S:S,'caseload data'!$B:$B,{"licence","community"},'caseload data'!$C:$C,'community %'!$T$22)),"")</f>
        <v/>
      </c>
      <c r="AJ26" s="167" t="str">
        <f>IFERROR(SUM(SUMIFS('caseload data'!T:T,'caseload data'!$C:$C,'community %'!$T$22,'caseload data'!$D:$D,"TPO",'caseload data'!$B:$B,{"licence","community"}))/SUM(SUMIFS('caseload data'!T:T,'caseload data'!$B:$B,{"licence","community"},'caseload data'!$C:$C,'community %'!$T$22)),"")</f>
        <v/>
      </c>
    </row>
    <row r="27" spans="2:36" x14ac:dyDescent="0.15">
      <c r="B27" s="98" t="s">
        <v>1004</v>
      </c>
      <c r="C27" s="167" t="str">
        <f>IFERROR(SUM(SUMIFS('caseload data'!E:E,'caseload data'!$C:$C,'community %'!$B$22,'caseload data'!$D:$D,"SPO",'caseload data'!$B:$B,{"licence","community"}))/SUM(SUMIFS('caseload data'!E:E,'caseload data'!$B:$B,{"licence","community"},'caseload data'!$C:$C,'community %'!$B$22)),"")</f>
        <v/>
      </c>
      <c r="D27" s="167" t="str">
        <f>IFERROR(SUM(SUMIFS('caseload data'!F:F,'caseload data'!$C:$C,'community %'!$B$22,'caseload data'!$D:$D,"SPO",'caseload data'!$B:$B,{"licence","community"}))/SUM(SUMIFS('caseload data'!F:F,'caseload data'!$B:$B,{"licence","community"},'caseload data'!$C:$C,'community %'!$B$22)),"")</f>
        <v/>
      </c>
      <c r="E27" s="167" t="str">
        <f>IFERROR(SUM(SUMIFS('caseload data'!G:G,'caseload data'!$C:$C,'community %'!$B$22,'caseload data'!$D:$D,"SPO",'caseload data'!$B:$B,{"licence","community"}))/SUM(SUMIFS('caseload data'!G:G,'caseload data'!$B:$B,{"licence","community"},'caseload data'!$C:$C,'community %'!$B$22)),"")</f>
        <v/>
      </c>
      <c r="F27" s="167" t="str">
        <f>IFERROR(SUM(SUMIFS('caseload data'!H:H,'caseload data'!$C:$C,'community %'!$B$22,'caseload data'!$D:$D,"SPO",'caseload data'!$B:$B,{"licence","community"}))/SUM(SUMIFS('caseload data'!H:H,'caseload data'!$B:$B,{"licence","community"},'caseload data'!$C:$C,'community %'!$B$22)),"")</f>
        <v/>
      </c>
      <c r="G27" s="167" t="str">
        <f>IFERROR(SUM(SUMIFS('caseload data'!I:I,'caseload data'!$C:$C,'community %'!$B$22,'caseload data'!$D:$D,"SPO",'caseload data'!$B:$B,{"licence","community"}))/SUM(SUMIFS('caseload data'!I:I,'caseload data'!$B:$B,{"licence","community"},'caseload data'!$C:$C,'community %'!$B$22)),"")</f>
        <v/>
      </c>
      <c r="H27" s="167" t="str">
        <f>IFERROR(SUM(SUMIFS('caseload data'!J:J,'caseload data'!$C:$C,'community %'!$B$22,'caseload data'!$D:$D,"SPO",'caseload data'!$B:$B,{"licence","community"}))/SUM(SUMIFS('caseload data'!J:J,'caseload data'!$B:$B,{"licence","community"},'caseload data'!$C:$C,'community %'!$B$22)),"")</f>
        <v/>
      </c>
      <c r="I27" s="167" t="str">
        <f>IFERROR(SUM(SUMIFS('caseload data'!K:K,'caseload data'!$C:$C,'community %'!$B$22,'caseload data'!$D:$D,"SPO",'caseload data'!$B:$B,{"licence","community"}))/SUM(SUMIFS('caseload data'!K:K,'caseload data'!$B:$B,{"licence","community"},'caseload data'!$C:$C,'community %'!$B$22)),"")</f>
        <v/>
      </c>
      <c r="J27" s="167" t="str">
        <f>IFERROR(SUM(SUMIFS('caseload data'!L:L,'caseload data'!$C:$C,'community %'!$B$22,'caseload data'!$D:$D,"SPO",'caseload data'!$B:$B,{"licence","community"}))/SUM(SUMIFS('caseload data'!L:L,'caseload data'!$B:$B,{"licence","community"},'caseload data'!$C:$C,'community %'!$B$22)),"")</f>
        <v/>
      </c>
      <c r="K27" s="167" t="str">
        <f>IFERROR(SUM(SUMIFS('caseload data'!M:M,'caseload data'!$C:$C,'community %'!$B$22,'caseload data'!$D:$D,"SPO",'caseload data'!$B:$B,{"licence","community"}))/SUM(SUMIFS('caseload data'!M:M,'caseload data'!$B:$B,{"licence","community"},'caseload data'!$C:$C,'community %'!$B$22)),"")</f>
        <v/>
      </c>
      <c r="L27" s="167" t="str">
        <f>IFERROR(SUM(SUMIFS('caseload data'!N:N,'caseload data'!$C:$C,'community %'!$B$22,'caseload data'!$D:$D,"SPO",'caseload data'!$B:$B,{"licence","community"}))/SUM(SUMIFS('caseload data'!N:N,'caseload data'!$B:$B,{"licence","community"},'caseload data'!$C:$C,'community %'!$B$22)),"")</f>
        <v/>
      </c>
      <c r="M27" s="167" t="str">
        <f>IFERROR(SUM(SUMIFS('caseload data'!O:O,'caseload data'!$C:$C,'community %'!$B$22,'caseload data'!$D:$D,"SPO",'caseload data'!$B:$B,{"licence","community"}))/SUM(SUMIFS('caseload data'!O:O,'caseload data'!$B:$B,{"licence","community"},'caseload data'!$C:$C,'community %'!$B$22)),"")</f>
        <v/>
      </c>
      <c r="N27" s="167" t="str">
        <f>IFERROR(SUM(SUMIFS('caseload data'!P:P,'caseload data'!$C:$C,'community %'!$B$22,'caseload data'!$D:$D,"SPO",'caseload data'!$B:$B,{"licence","community"}))/SUM(SUMIFS('caseload data'!P:P,'caseload data'!$B:$B,{"licence","community"},'caseload data'!$C:$C,'community %'!$B$22)),"")</f>
        <v/>
      </c>
      <c r="O27" s="167" t="str">
        <f>IFERROR(SUM(SUMIFS('caseload data'!Q:Q,'caseload data'!$C:$C,'community %'!$B$22,'caseload data'!$D:$D,"SPO",'caseload data'!$B:$B,{"licence","community"}))/SUM(SUMIFS('caseload data'!Q:Q,'caseload data'!$B:$B,{"licence","community"},'caseload data'!$C:$C,'community %'!$B$22)),"")</f>
        <v/>
      </c>
      <c r="P27" s="167" t="str">
        <f>IFERROR(SUM(SUMIFS('caseload data'!R:R,'caseload data'!$C:$C,'community %'!$B$22,'caseload data'!$D:$D,"SPO",'caseload data'!$B:$B,{"licence","community"}))/SUM(SUMIFS('caseload data'!R:R,'caseload data'!$B:$B,{"licence","community"},'caseload data'!$C:$C,'community %'!$B$22)),"")</f>
        <v/>
      </c>
      <c r="Q27" s="167" t="str">
        <f>IFERROR(SUM(SUMIFS('caseload data'!S:S,'caseload data'!$C:$C,'community %'!$B$22,'caseload data'!$D:$D,"SPO",'caseload data'!$B:$B,{"licence","community"}))/SUM(SUMIFS('caseload data'!S:S,'caseload data'!$B:$B,{"licence","community"},'caseload data'!$C:$C,'community %'!$B$22)),"")</f>
        <v/>
      </c>
      <c r="R27" s="167" t="str">
        <f>IFERROR(SUM(SUMIFS('caseload data'!T:T,'caseload data'!$C:$C,'community %'!$B$22,'caseload data'!$D:$D,"SPO",'caseload data'!$B:$B,{"licence","community"}))/SUM(SUMIFS('caseload data'!T:T,'caseload data'!$B:$B,{"licence","community"},'caseload data'!$C:$C,'community %'!$B$22)),"")</f>
        <v/>
      </c>
      <c r="S27" s="64"/>
      <c r="T27" s="98" t="s">
        <v>1004</v>
      </c>
      <c r="U27" s="167" t="str">
        <f>IFERROR(SUM(SUMIFS('caseload data'!E:E,'caseload data'!$C:$C,'community %'!$T$22,'caseload data'!$D:$D,"SPO",'caseload data'!$B:$B,{"licence","community"}))/SUM(SUMIFS('caseload data'!E:E,'caseload data'!$B:$B,{"licence","community"},'caseload data'!$C:$C,'community %'!$T$22)),"")</f>
        <v/>
      </c>
      <c r="V27" s="167" t="str">
        <f>IFERROR(SUM(SUMIFS('caseload data'!F:F,'caseload data'!$C:$C,'community %'!$T$22,'caseload data'!$D:$D,"SPO",'caseload data'!$B:$B,{"licence","community"}))/SUM(SUMIFS('caseload data'!F:F,'caseload data'!$B:$B,{"licence","community"},'caseload data'!$C:$C,'community %'!$T$22)),"")</f>
        <v/>
      </c>
      <c r="W27" s="167" t="str">
        <f>IFERROR(SUM(SUMIFS('caseload data'!G:G,'caseload data'!$C:$C,'community %'!$T$22,'caseload data'!$D:$D,"SPO",'caseload data'!$B:$B,{"licence","community"}))/SUM(SUMIFS('caseload data'!G:G,'caseload data'!$B:$B,{"licence","community"},'caseload data'!$C:$C,'community %'!$T$22)),"")</f>
        <v/>
      </c>
      <c r="X27" s="167" t="str">
        <f>IFERROR(SUM(SUMIFS('caseload data'!H:H,'caseload data'!$C:$C,'community %'!$T$22,'caseload data'!$D:$D,"SPO",'caseload data'!$B:$B,{"licence","community"}))/SUM(SUMIFS('caseload data'!H:H,'caseload data'!$B:$B,{"licence","community"},'caseload data'!$C:$C,'community %'!$T$22)),"")</f>
        <v/>
      </c>
      <c r="Y27" s="167" t="str">
        <f>IFERROR(SUM(SUMIFS('caseload data'!I:I,'caseload data'!$C:$C,'community %'!$T$22,'caseload data'!$D:$D,"SPO",'caseload data'!$B:$B,{"licence","community"}))/SUM(SUMIFS('caseload data'!I:I,'caseload data'!$B:$B,{"licence","community"},'caseload data'!$C:$C,'community %'!$T$22)),"")</f>
        <v/>
      </c>
      <c r="Z27" s="167" t="str">
        <f>IFERROR(SUM(SUMIFS('caseload data'!J:J,'caseload data'!$C:$C,'community %'!$T$22,'caseload data'!$D:$D,"SPO",'caseload data'!$B:$B,{"licence","community"}))/SUM(SUMIFS('caseload data'!J:J,'caseload data'!$B:$B,{"licence","community"},'caseload data'!$C:$C,'community %'!$T$22)),"")</f>
        <v/>
      </c>
      <c r="AA27" s="167" t="str">
        <f>IFERROR(SUM(SUMIFS('caseload data'!K:K,'caseload data'!$C:$C,'community %'!$T$22,'caseload data'!$D:$D,"SPO",'caseload data'!$B:$B,{"licence","community"}))/SUM(SUMIFS('caseload data'!K:K,'caseload data'!$B:$B,{"licence","community"},'caseload data'!$C:$C,'community %'!$T$22)),"")</f>
        <v/>
      </c>
      <c r="AB27" s="167" t="str">
        <f>IFERROR(SUM(SUMIFS('caseload data'!L:L,'caseload data'!$C:$C,'community %'!$T$22,'caseload data'!$D:$D,"SPO",'caseload data'!$B:$B,{"licence","community"}))/SUM(SUMIFS('caseload data'!L:L,'caseload data'!$B:$B,{"licence","community"},'caseload data'!$C:$C,'community %'!$T$22)),"")</f>
        <v/>
      </c>
      <c r="AC27" s="167" t="str">
        <f>IFERROR(SUM(SUMIFS('caseload data'!M:M,'caseload data'!$C:$C,'community %'!$T$22,'caseload data'!$D:$D,"SPO",'caseload data'!$B:$B,{"licence","community"}))/SUM(SUMIFS('caseload data'!M:M,'caseload data'!$B:$B,{"licence","community"},'caseload data'!$C:$C,'community %'!$T$22)),"")</f>
        <v/>
      </c>
      <c r="AD27" s="167" t="str">
        <f>IFERROR(SUM(SUMIFS('caseload data'!N:N,'caseload data'!$C:$C,'community %'!$T$22,'caseload data'!$D:$D,"SPO",'caseload data'!$B:$B,{"licence","community"}))/SUM(SUMIFS('caseload data'!N:N,'caseload data'!$B:$B,{"licence","community"},'caseload data'!$C:$C,'community %'!$T$22)),"")</f>
        <v/>
      </c>
      <c r="AE27" s="167" t="str">
        <f>IFERROR(SUM(SUMIFS('caseload data'!O:O,'caseload data'!$C:$C,'community %'!$T$22,'caseload data'!$D:$D,"SPO",'caseload data'!$B:$B,{"licence","community"}))/SUM(SUMIFS('caseload data'!O:O,'caseload data'!$B:$B,{"licence","community"},'caseload data'!$C:$C,'community %'!$T$22)),"")</f>
        <v/>
      </c>
      <c r="AF27" s="167" t="str">
        <f>IFERROR(SUM(SUMIFS('caseload data'!P:P,'caseload data'!$C:$C,'community %'!$T$22,'caseload data'!$D:$D,"SPO",'caseload data'!$B:$B,{"licence","community"}))/SUM(SUMIFS('caseload data'!P:P,'caseload data'!$B:$B,{"licence","community"},'caseload data'!$C:$C,'community %'!$T$22)),"")</f>
        <v/>
      </c>
      <c r="AG27" s="167" t="str">
        <f>IFERROR(SUM(SUMIFS('caseload data'!Q:Q,'caseload data'!$C:$C,'community %'!$T$22,'caseload data'!$D:$D,"SPO",'caseload data'!$B:$B,{"licence","community"}))/SUM(SUMIFS('caseload data'!Q:Q,'caseload data'!$B:$B,{"licence","community"},'caseload data'!$C:$C,'community %'!$T$22)),"")</f>
        <v/>
      </c>
      <c r="AH27" s="167" t="str">
        <f>IFERROR(SUM(SUMIFS('caseload data'!R:R,'caseload data'!$C:$C,'community %'!$T$22,'caseload data'!$D:$D,"SPO",'caseload data'!$B:$B,{"licence","community"}))/SUM(SUMIFS('caseload data'!R:R,'caseload data'!$B:$B,{"licence","community"},'caseload data'!$C:$C,'community %'!$T$22)),"")</f>
        <v/>
      </c>
      <c r="AI27" s="167" t="str">
        <f>IFERROR(SUM(SUMIFS('caseload data'!S:S,'caseload data'!$C:$C,'community %'!$T$22,'caseload data'!$D:$D,"SPO",'caseload data'!$B:$B,{"licence","community"}))/SUM(SUMIFS('caseload data'!S:S,'caseload data'!$B:$B,{"licence","community"},'caseload data'!$C:$C,'community %'!$T$22)),"")</f>
        <v/>
      </c>
      <c r="AJ27" s="167" t="str">
        <f>IFERROR(SUM(SUMIFS('caseload data'!T:T,'caseload data'!$C:$C,'community %'!$T$22,'caseload data'!$D:$D,"SPO",'caseload data'!$B:$B,{"licence","community"}))/SUM(SUMIFS('caseload data'!T:T,'caseload data'!$B:$B,{"licence","community"},'caseload data'!$C:$C,'community %'!$T$22)),"")</f>
        <v/>
      </c>
    </row>
    <row r="28" spans="2:36" x14ac:dyDescent="0.15">
      <c r="B28" s="91"/>
      <c r="C28" s="64"/>
      <c r="D28" s="64"/>
      <c r="E28" s="64"/>
      <c r="F28" s="64"/>
      <c r="G28" s="64"/>
      <c r="H28" s="64"/>
      <c r="I28" s="64"/>
      <c r="J28" s="64"/>
      <c r="K28" s="64"/>
      <c r="L28" s="64"/>
      <c r="M28" s="64"/>
      <c r="N28" s="64"/>
      <c r="O28" s="64"/>
      <c r="P28" s="64"/>
      <c r="Q28" s="64"/>
      <c r="R28" s="64"/>
      <c r="S28" s="64"/>
      <c r="T28" s="91"/>
      <c r="U28" s="64"/>
      <c r="V28" s="64"/>
      <c r="W28" s="64"/>
      <c r="X28" s="64"/>
      <c r="Y28" s="64"/>
      <c r="Z28" s="64"/>
      <c r="AA28" s="64"/>
      <c r="AB28" s="64"/>
      <c r="AC28" s="64"/>
      <c r="AD28" s="64"/>
      <c r="AE28" s="64"/>
      <c r="AF28" s="64"/>
      <c r="AG28" s="64"/>
      <c r="AH28" s="64"/>
      <c r="AI28" s="64"/>
      <c r="AJ28" s="64"/>
    </row>
    <row r="29" spans="2:36" ht="27.75" customHeight="1" x14ac:dyDescent="0.15">
      <c r="B29" s="289" t="str">
        <f>HLOOKUP($B$5,Region_Table,8,0)</f>
        <v>Nottinghamshire - N53</v>
      </c>
      <c r="C29" s="509" t="s">
        <v>1134</v>
      </c>
      <c r="D29" s="510"/>
      <c r="E29" s="510"/>
      <c r="F29" s="510"/>
      <c r="G29" s="510"/>
      <c r="H29" s="510"/>
      <c r="I29" s="510"/>
      <c r="J29" s="510"/>
      <c r="K29" s="510"/>
      <c r="L29" s="510"/>
      <c r="M29" s="539"/>
      <c r="N29" s="539"/>
      <c r="O29" s="540"/>
      <c r="P29" s="512" cm="1">
        <f t="array" ref="P29">SUM(SUMIFS('caseload data'!V:V,'caseload data'!B:B,{"licence","community"},'caseload data'!$C:$C,B29))</f>
        <v>0</v>
      </c>
      <c r="Q29" s="529"/>
      <c r="R29" s="530"/>
      <c r="S29" s="64"/>
      <c r="T29" s="289" t="str">
        <f>HLOOKUP($B$5,Region_Table,9,0)</f>
        <v>Unpaid Work and Attendance Centres - N53</v>
      </c>
      <c r="U29" s="509" t="s">
        <v>1134</v>
      </c>
      <c r="V29" s="510"/>
      <c r="W29" s="510"/>
      <c r="X29" s="510"/>
      <c r="Y29" s="510"/>
      <c r="Z29" s="510"/>
      <c r="AA29" s="510"/>
      <c r="AB29" s="510"/>
      <c r="AC29" s="510"/>
      <c r="AD29" s="510"/>
      <c r="AE29" s="539"/>
      <c r="AF29" s="539"/>
      <c r="AG29" s="540"/>
      <c r="AH29" s="512" cm="1">
        <f t="array" ref="AH29">SUM(SUMIFS('caseload data'!V:V,'caseload data'!B:B,{"licence","community"},'caseload data'!$C:$C,T29))</f>
        <v>0</v>
      </c>
      <c r="AI29" s="529"/>
      <c r="AJ29" s="530"/>
    </row>
    <row r="30" spans="2:36" x14ac:dyDescent="0.15">
      <c r="B30" s="95" t="s">
        <v>1000</v>
      </c>
      <c r="C30" s="38" t="s">
        <v>864</v>
      </c>
      <c r="D30" s="38" t="s">
        <v>865</v>
      </c>
      <c r="E30" s="38" t="s">
        <v>866</v>
      </c>
      <c r="F30" s="38" t="s">
        <v>867</v>
      </c>
      <c r="G30" s="38" t="s">
        <v>868</v>
      </c>
      <c r="H30" s="38" t="s">
        <v>869</v>
      </c>
      <c r="I30" s="38" t="s">
        <v>870</v>
      </c>
      <c r="J30" s="38" t="s">
        <v>871</v>
      </c>
      <c r="K30" s="38" t="s">
        <v>872</v>
      </c>
      <c r="L30" s="38" t="s">
        <v>873</v>
      </c>
      <c r="M30" s="38" t="s">
        <v>874</v>
      </c>
      <c r="N30" s="38" t="s">
        <v>875</v>
      </c>
      <c r="O30" s="38" t="s">
        <v>876</v>
      </c>
      <c r="P30" s="38" t="s">
        <v>877</v>
      </c>
      <c r="Q30" s="38" t="s">
        <v>878</v>
      </c>
      <c r="R30" s="38" t="s">
        <v>879</v>
      </c>
      <c r="S30" s="64"/>
      <c r="T30" s="95" t="s">
        <v>1000</v>
      </c>
      <c r="U30" s="38" t="s">
        <v>864</v>
      </c>
      <c r="V30" s="38" t="s">
        <v>865</v>
      </c>
      <c r="W30" s="38" t="s">
        <v>866</v>
      </c>
      <c r="X30" s="38" t="s">
        <v>867</v>
      </c>
      <c r="Y30" s="38" t="s">
        <v>868</v>
      </c>
      <c r="Z30" s="38" t="s">
        <v>869</v>
      </c>
      <c r="AA30" s="38" t="s">
        <v>870</v>
      </c>
      <c r="AB30" s="38" t="s">
        <v>871</v>
      </c>
      <c r="AC30" s="38" t="s">
        <v>872</v>
      </c>
      <c r="AD30" s="38" t="s">
        <v>873</v>
      </c>
      <c r="AE30" s="38" t="s">
        <v>874</v>
      </c>
      <c r="AF30" s="38" t="s">
        <v>875</v>
      </c>
      <c r="AG30" s="38" t="s">
        <v>876</v>
      </c>
      <c r="AH30" s="38" t="s">
        <v>877</v>
      </c>
      <c r="AI30" s="38" t="s">
        <v>878</v>
      </c>
      <c r="AJ30" s="38" t="s">
        <v>879</v>
      </c>
    </row>
    <row r="31" spans="2:36" x14ac:dyDescent="0.15">
      <c r="B31" s="96" t="s">
        <v>997</v>
      </c>
      <c r="C31" s="167" t="str">
        <f>IFERROR(SUM(SUMIFS('caseload data'!E:E,'caseload data'!$C:$C,'community %'!$B$29,'caseload data'!$D:$D,"PO",'caseload data'!$B:$B,{"licence","community"}))/SUM(SUMIFS('caseload data'!E:E,'caseload data'!$B:$B,{"licence","community"},'caseload data'!$C:$C,'community %'!$B$29)),"")</f>
        <v/>
      </c>
      <c r="D31" s="167" t="str">
        <f>IFERROR(SUM(SUMIFS('caseload data'!F:F,'caseload data'!$C:$C,'community %'!$B$29,'caseload data'!$D:$D,"PO",'caseload data'!$B:$B,{"licence","community"}))/SUM(SUMIFS('caseload data'!F:F,'caseload data'!$B:$B,{"licence","community"},'caseload data'!$C:$C,'community %'!$B$29)),"")</f>
        <v/>
      </c>
      <c r="E31" s="167" t="str">
        <f>IFERROR(SUM(SUMIFS('caseload data'!G:G,'caseload data'!$C:$C,'community %'!$B$29,'caseload data'!$D:$D,"PO",'caseload data'!$B:$B,{"licence","community"}))/SUM(SUMIFS('caseload data'!G:G,'caseload data'!$B:$B,{"licence","community"},'caseload data'!$C:$C,'community %'!$B$29)),"")</f>
        <v/>
      </c>
      <c r="F31" s="167" t="str">
        <f>IFERROR(SUM(SUMIFS('caseload data'!H:H,'caseload data'!$C:$C,'community %'!$B$29,'caseload data'!$D:$D,"PO",'caseload data'!$B:$B,{"licence","community"}))/SUM(SUMIFS('caseload data'!H:H,'caseload data'!$B:$B,{"licence","community"},'caseload data'!$C:$C,'community %'!$B$29)),"")</f>
        <v/>
      </c>
      <c r="G31" s="167" t="str">
        <f>IFERROR(SUM(SUMIFS('caseload data'!I:I,'caseload data'!$C:$C,'community %'!$B$29,'caseload data'!$D:$D,"PO",'caseload data'!$B:$B,{"licence","community"}))/SUM(SUMIFS('caseload data'!I:I,'caseload data'!$B:$B,{"licence","community"},'caseload data'!$C:$C,'community %'!$B$29)),"")</f>
        <v/>
      </c>
      <c r="H31" s="167" t="str">
        <f>IFERROR(SUM(SUMIFS('caseload data'!J:J,'caseload data'!$C:$C,'community %'!$B$29,'caseload data'!$D:$D,"PO",'caseload data'!$B:$B,{"licence","community"}))/SUM(SUMIFS('caseload data'!J:J,'caseload data'!$B:$B,{"licence","community"},'caseload data'!$C:$C,'community %'!$B$29)),"")</f>
        <v/>
      </c>
      <c r="I31" s="167" t="str">
        <f>IFERROR(SUM(SUMIFS('caseload data'!K:K,'caseload data'!$C:$C,'community %'!$B$29,'caseload data'!$D:$D,"PO",'caseload data'!$B:$B,{"licence","community"}))/SUM(SUMIFS('caseload data'!K:K,'caseload data'!$B:$B,{"licence","community"},'caseload data'!$C:$C,'community %'!$B$29)),"")</f>
        <v/>
      </c>
      <c r="J31" s="167" t="str">
        <f>IFERROR(SUM(SUMIFS('caseload data'!L:L,'caseload data'!$C:$C,'community %'!$B$29,'caseload data'!$D:$D,"PO",'caseload data'!$B:$B,{"licence","community"}))/SUM(SUMIFS('caseload data'!L:L,'caseload data'!$B:$B,{"licence","community"},'caseload data'!$C:$C,'community %'!$B$29)),"")</f>
        <v/>
      </c>
      <c r="K31" s="167" t="str">
        <f>IFERROR(SUM(SUMIFS('caseload data'!M:M,'caseload data'!$C:$C,'community %'!$B$29,'caseload data'!$D:$D,"PO",'caseload data'!$B:$B,{"licence","community"}))/SUM(SUMIFS('caseload data'!M:M,'caseload data'!$B:$B,{"licence","community"},'caseload data'!$C:$C,'community %'!$B$29)),"")</f>
        <v/>
      </c>
      <c r="L31" s="167" t="str">
        <f>IFERROR(SUM(SUMIFS('caseload data'!N:N,'caseload data'!$C:$C,'community %'!$B$29,'caseload data'!$D:$D,"PO",'caseload data'!$B:$B,{"licence","community"}))/SUM(SUMIFS('caseload data'!N:N,'caseload data'!$B:$B,{"licence","community"},'caseload data'!$C:$C,'community %'!$B$29)),"")</f>
        <v/>
      </c>
      <c r="M31" s="167" t="str">
        <f>IFERROR(SUM(SUMIFS('caseload data'!O:O,'caseload data'!$C:$C,'community %'!$B$29,'caseload data'!$D:$D,"PO",'caseload data'!$B:$B,{"licence","community"}))/SUM(SUMIFS('caseload data'!O:O,'caseload data'!$B:$B,{"licence","community"},'caseload data'!$C:$C,'community %'!$B$29)),"")</f>
        <v/>
      </c>
      <c r="N31" s="167" t="str">
        <f>IFERROR(SUM(SUMIFS('caseload data'!P:P,'caseload data'!$C:$C,'community %'!$B$29,'caseload data'!$D:$D,"PO",'caseload data'!$B:$B,{"licence","community"}))/SUM(SUMIFS('caseload data'!P:P,'caseload data'!$B:$B,{"licence","community"},'caseload data'!$C:$C,'community %'!$B$29)),"")</f>
        <v/>
      </c>
      <c r="O31" s="167" t="str">
        <f>IFERROR(SUM(SUMIFS('caseload data'!Q:Q,'caseload data'!$C:$C,'community %'!$B$29,'caseload data'!$D:$D,"PO",'caseload data'!$B:$B,{"licence","community"}))/SUM(SUMIFS('caseload data'!Q:Q,'caseload data'!$B:$B,{"licence","community"},'caseload data'!$C:$C,'community %'!$B$29)),"")</f>
        <v/>
      </c>
      <c r="P31" s="167" t="str">
        <f>IFERROR(SUM(SUMIFS('caseload data'!R:R,'caseload data'!$C:$C,'community %'!$B$29,'caseload data'!$D:$D,"PO",'caseload data'!$B:$B,{"licence","community"}))/SUM(SUMIFS('caseload data'!R:R,'caseload data'!$B:$B,{"licence","community"},'caseload data'!$C:$C,'community %'!$B$29)),"")</f>
        <v/>
      </c>
      <c r="Q31" s="167" t="str">
        <f>IFERROR(SUM(SUMIFS('caseload data'!S:S,'caseload data'!$C:$C,'community %'!$B$29,'caseload data'!$D:$D,"PO",'caseload data'!$B:$B,{"licence","community"}))/SUM(SUMIFS('caseload data'!S:S,'caseload data'!$B:$B,{"licence","community"},'caseload data'!$C:$C,'community %'!$B$29)),"")</f>
        <v/>
      </c>
      <c r="R31" s="167" t="str">
        <f>IFERROR(SUM(SUMIFS('caseload data'!T:T,'caseload data'!$C:$C,'community %'!$B$29,'caseload data'!$D:$D,"PO",'caseload data'!$B:$B,{"licence","community"}))/SUM(SUMIFS('caseload data'!T:T,'caseload data'!$B:$B,{"licence","community"},'caseload data'!$C:$C,'community %'!$B$29)),"")</f>
        <v/>
      </c>
      <c r="S31" s="64"/>
      <c r="T31" s="96" t="s">
        <v>997</v>
      </c>
      <c r="U31" s="167" t="str">
        <f>IFERROR(SUM(SUMIFS('caseload data'!E:E,'caseload data'!$C:$C,'community %'!$T$29,'caseload data'!$D:$D,"PO",'caseload data'!$B:$B,{"licence","community"}))/SUM(SUMIFS('caseload data'!E:E,'caseload data'!$B:$B,{"licence","community"},'caseload data'!$C:$C,'community %'!$T$29)),"")</f>
        <v/>
      </c>
      <c r="V31" s="167" t="str">
        <f>IFERROR(SUM(SUMIFS('caseload data'!F:F,'caseload data'!$C:$C,'community %'!$T$29,'caseload data'!$D:$D,"PO",'caseload data'!$B:$B,{"licence","community"}))/SUM(SUMIFS('caseload data'!F:F,'caseload data'!$B:$B,{"licence","community"},'caseload data'!$C:$C,'community %'!$T$29)),"")</f>
        <v/>
      </c>
      <c r="W31" s="167" t="str">
        <f>IFERROR(SUM(SUMIFS('caseload data'!G:G,'caseload data'!$C:$C,'community %'!$T$29,'caseload data'!$D:$D,"PO",'caseload data'!$B:$B,{"licence","community"}))/SUM(SUMIFS('caseload data'!G:G,'caseload data'!$B:$B,{"licence","community"},'caseload data'!$C:$C,'community %'!$T$29)),"")</f>
        <v/>
      </c>
      <c r="X31" s="167" t="str">
        <f>IFERROR(SUM(SUMIFS('caseload data'!H:H,'caseload data'!$C:$C,'community %'!$T$29,'caseload data'!$D:$D,"PO",'caseload data'!$B:$B,{"licence","community"}))/SUM(SUMIFS('caseload data'!H:H,'caseload data'!$B:$B,{"licence","community"},'caseload data'!$C:$C,'community %'!$T$29)),"")</f>
        <v/>
      </c>
      <c r="Y31" s="167" t="str">
        <f>IFERROR(SUM(SUMIFS('caseload data'!I:I,'caseload data'!$C:$C,'community %'!$T$29,'caseload data'!$D:$D,"PO",'caseload data'!$B:$B,{"licence","community"}))/SUM(SUMIFS('caseload data'!I:I,'caseload data'!$B:$B,{"licence","community"},'caseload data'!$C:$C,'community %'!$T$29)),"")</f>
        <v/>
      </c>
      <c r="Z31" s="167" t="str">
        <f>IFERROR(SUM(SUMIFS('caseload data'!J:J,'caseload data'!$C:$C,'community %'!$T$29,'caseload data'!$D:$D,"PO",'caseload data'!$B:$B,{"licence","community"}))/SUM(SUMIFS('caseload data'!J:J,'caseload data'!$B:$B,{"licence","community"},'caseload data'!$C:$C,'community %'!$T$29)),"")</f>
        <v/>
      </c>
      <c r="AA31" s="167" t="str">
        <f>IFERROR(SUM(SUMIFS('caseload data'!K:K,'caseload data'!$C:$C,'community %'!$T$29,'caseload data'!$D:$D,"PO",'caseload data'!$B:$B,{"licence","community"}))/SUM(SUMIFS('caseload data'!K:K,'caseload data'!$B:$B,{"licence","community"},'caseload data'!$C:$C,'community %'!$T$29)),"")</f>
        <v/>
      </c>
      <c r="AB31" s="167" t="str">
        <f>IFERROR(SUM(SUMIFS('caseload data'!L:L,'caseload data'!$C:$C,'community %'!$T$29,'caseload data'!$D:$D,"PO",'caseload data'!$B:$B,{"licence","community"}))/SUM(SUMIFS('caseload data'!L:L,'caseload data'!$B:$B,{"licence","community"},'caseload data'!$C:$C,'community %'!$T$29)),"")</f>
        <v/>
      </c>
      <c r="AC31" s="167" t="str">
        <f>IFERROR(SUM(SUMIFS('caseload data'!M:M,'caseload data'!$C:$C,'community %'!$T$29,'caseload data'!$D:$D,"PO",'caseload data'!$B:$B,{"licence","community"}))/SUM(SUMIFS('caseload data'!M:M,'caseload data'!$B:$B,{"licence","community"},'caseload data'!$C:$C,'community %'!$T$29)),"")</f>
        <v/>
      </c>
      <c r="AD31" s="167" t="str">
        <f>IFERROR(SUM(SUMIFS('caseload data'!N:N,'caseload data'!$C:$C,'community %'!$T$29,'caseload data'!$D:$D,"PO",'caseload data'!$B:$B,{"licence","community"}))/SUM(SUMIFS('caseload data'!N:N,'caseload data'!$B:$B,{"licence","community"},'caseload data'!$C:$C,'community %'!$T$29)),"")</f>
        <v/>
      </c>
      <c r="AE31" s="167" t="str">
        <f>IFERROR(SUM(SUMIFS('caseload data'!O:O,'caseload data'!$C:$C,'community %'!$T$29,'caseload data'!$D:$D,"PO",'caseload data'!$B:$B,{"licence","community"}))/SUM(SUMIFS('caseload data'!O:O,'caseload data'!$B:$B,{"licence","community"},'caseload data'!$C:$C,'community %'!$T$29)),"")</f>
        <v/>
      </c>
      <c r="AF31" s="167" t="str">
        <f>IFERROR(SUM(SUMIFS('caseload data'!P:P,'caseload data'!$C:$C,'community %'!$T$29,'caseload data'!$D:$D,"PO",'caseload data'!$B:$B,{"licence","community"}))/SUM(SUMIFS('caseload data'!P:P,'caseload data'!$B:$B,{"licence","community"},'caseload data'!$C:$C,'community %'!$T$29)),"")</f>
        <v/>
      </c>
      <c r="AG31" s="167" t="str">
        <f>IFERROR(SUM(SUMIFS('caseload data'!Q:Q,'caseload data'!$C:$C,'community %'!$T$29,'caseload data'!$D:$D,"PO",'caseload data'!$B:$B,{"licence","community"}))/SUM(SUMIFS('caseload data'!Q:Q,'caseload data'!$B:$B,{"licence","community"},'caseload data'!$C:$C,'community %'!$T$29)),"")</f>
        <v/>
      </c>
      <c r="AH31" s="167" t="str">
        <f>IFERROR(SUM(SUMIFS('caseload data'!R:R,'caseload data'!$C:$C,'community %'!$T$29,'caseload data'!$D:$D,"PO",'caseload data'!$B:$B,{"licence","community"}))/SUM(SUMIFS('caseload data'!R:R,'caseload data'!$B:$B,{"licence","community"},'caseload data'!$C:$C,'community %'!$T$29)),"")</f>
        <v/>
      </c>
      <c r="AI31" s="167" t="str">
        <f>IFERROR(SUM(SUMIFS('caseload data'!S:S,'caseload data'!$C:$C,'community %'!$T$29,'caseload data'!$D:$D,"PO",'caseload data'!$B:$B,{"licence","community"}))/SUM(SUMIFS('caseload data'!S:S,'caseload data'!$B:$B,{"licence","community"},'caseload data'!$C:$C,'community %'!$T$29)),"")</f>
        <v/>
      </c>
      <c r="AJ31" s="167" t="str">
        <f>IFERROR(SUM(SUMIFS('caseload data'!T:T,'caseload data'!$C:$C,'community %'!$T$29,'caseload data'!$D:$D,"PO",'caseload data'!$B:$B,{"licence","community"}))/SUM(SUMIFS('caseload data'!T:T,'caseload data'!$B:$B,{"licence","community"},'caseload data'!$C:$C,'community %'!$T$29)),"")</f>
        <v/>
      </c>
    </row>
    <row r="32" spans="2:36" x14ac:dyDescent="0.15">
      <c r="B32" s="97" t="s">
        <v>1002</v>
      </c>
      <c r="C32" s="167" t="str">
        <f>IFERROR(SUM(SUMIFS('caseload data'!E:E,'caseload data'!$C:$C,'community %'!$B$29,'caseload data'!$D:$D,"PSO",'caseload data'!$B:$B,{"licence","community"}))/SUM(SUMIFS('caseload data'!E:E,'caseload data'!$B:$B,{"licence","community"},'caseload data'!$C:$C,'community %'!$B$29)),"")</f>
        <v/>
      </c>
      <c r="D32" s="167" t="str">
        <f>IFERROR(SUM(SUMIFS('caseload data'!F:F,'caseload data'!$C:$C,'community %'!$B$29,'caseload data'!$D:$D,"PSO",'caseload data'!$B:$B,{"licence","community"}))/SUM(SUMIFS('caseload data'!F:F,'caseload data'!$B:$B,{"licence","community"},'caseload data'!$C:$C,'community %'!$B$29)),"")</f>
        <v/>
      </c>
      <c r="E32" s="167" t="str">
        <f>IFERROR(SUM(SUMIFS('caseload data'!G:G,'caseload data'!$C:$C,'community %'!$B$29,'caseload data'!$D:$D,"PSO",'caseload data'!$B:$B,{"licence","community"}))/SUM(SUMIFS('caseload data'!G:G,'caseload data'!$B:$B,{"licence","community"},'caseload data'!$C:$C,'community %'!$B$29)),"")</f>
        <v/>
      </c>
      <c r="F32" s="167" t="str">
        <f>IFERROR(SUM(SUMIFS('caseload data'!H:H,'caseload data'!$C:$C,'community %'!$B$29,'caseload data'!$D:$D,"PSO",'caseload data'!$B:$B,{"licence","community"}))/SUM(SUMIFS('caseload data'!H:H,'caseload data'!$B:$B,{"licence","community"},'caseload data'!$C:$C,'community %'!$B$29)),"")</f>
        <v/>
      </c>
      <c r="G32" s="167" t="str">
        <f>IFERROR(SUM(SUMIFS('caseload data'!I:I,'caseload data'!$C:$C,'community %'!$B$29,'caseload data'!$D:$D,"PSO",'caseload data'!$B:$B,{"licence","community"}))/SUM(SUMIFS('caseload data'!I:I,'caseload data'!$B:$B,{"licence","community"},'caseload data'!$C:$C,'community %'!$B$29)),"")</f>
        <v/>
      </c>
      <c r="H32" s="167" t="str">
        <f>IFERROR(SUM(SUMIFS('caseload data'!J:J,'caseload data'!$C:$C,'community %'!$B$29,'caseload data'!$D:$D,"PSO",'caseload data'!$B:$B,{"licence","community"}))/SUM(SUMIFS('caseload data'!J:J,'caseload data'!$B:$B,{"licence","community"},'caseload data'!$C:$C,'community %'!$B$29)),"")</f>
        <v/>
      </c>
      <c r="I32" s="167" t="str">
        <f>IFERROR(SUM(SUMIFS('caseload data'!K:K,'caseload data'!$C:$C,'community %'!$B$29,'caseload data'!$D:$D,"PSO",'caseload data'!$B:$B,{"licence","community"}))/SUM(SUMIFS('caseload data'!K:K,'caseload data'!$B:$B,{"licence","community"},'caseload data'!$C:$C,'community %'!$B$29)),"")</f>
        <v/>
      </c>
      <c r="J32" s="167" t="str">
        <f>IFERROR(SUM(SUMIFS('caseload data'!L:L,'caseload data'!$C:$C,'community %'!$B$29,'caseload data'!$D:$D,"PSO",'caseload data'!$B:$B,{"licence","community"}))/SUM(SUMIFS('caseload data'!L:L,'caseload data'!$B:$B,{"licence","community"},'caseload data'!$C:$C,'community %'!$B$29)),"")</f>
        <v/>
      </c>
      <c r="K32" s="167" t="str">
        <f>IFERROR(SUM(SUMIFS('caseload data'!M:M,'caseload data'!$C:$C,'community %'!$B$29,'caseload data'!$D:$D,"PSO",'caseload data'!$B:$B,{"licence","community"}))/SUM(SUMIFS('caseload data'!M:M,'caseload data'!$B:$B,{"licence","community"},'caseload data'!$C:$C,'community %'!$B$29)),"")</f>
        <v/>
      </c>
      <c r="L32" s="167" t="str">
        <f>IFERROR(SUM(SUMIFS('caseload data'!N:N,'caseload data'!$C:$C,'community %'!$B$29,'caseload data'!$D:$D,"PSO",'caseload data'!$B:$B,{"licence","community"}))/SUM(SUMIFS('caseload data'!N:N,'caseload data'!$B:$B,{"licence","community"},'caseload data'!$C:$C,'community %'!$B$29)),"")</f>
        <v/>
      </c>
      <c r="M32" s="167" t="str">
        <f>IFERROR(SUM(SUMIFS('caseload data'!O:O,'caseload data'!$C:$C,'community %'!$B$29,'caseload data'!$D:$D,"PSO",'caseload data'!$B:$B,{"licence","community"}))/SUM(SUMIFS('caseload data'!O:O,'caseload data'!$B:$B,{"licence","community"},'caseload data'!$C:$C,'community %'!$B$29)),"")</f>
        <v/>
      </c>
      <c r="N32" s="167" t="str">
        <f>IFERROR(SUM(SUMIFS('caseload data'!P:P,'caseload data'!$C:$C,'community %'!$B$29,'caseload data'!$D:$D,"PSO",'caseload data'!$B:$B,{"licence","community"}))/SUM(SUMIFS('caseload data'!P:P,'caseload data'!$B:$B,{"licence","community"},'caseload data'!$C:$C,'community %'!$B$29)),"")</f>
        <v/>
      </c>
      <c r="O32" s="167" t="str">
        <f>IFERROR(SUM(SUMIFS('caseload data'!Q:Q,'caseload data'!$C:$C,'community %'!$B$29,'caseload data'!$D:$D,"PSO",'caseload data'!$B:$B,{"licence","community"}))/SUM(SUMIFS('caseload data'!Q:Q,'caseload data'!$B:$B,{"licence","community"},'caseload data'!$C:$C,'community %'!$B$29)),"")</f>
        <v/>
      </c>
      <c r="P32" s="167" t="str">
        <f>IFERROR(SUM(SUMIFS('caseload data'!R:R,'caseload data'!$C:$C,'community %'!$B$29,'caseload data'!$D:$D,"PSO",'caseload data'!$B:$B,{"licence","community"}))/SUM(SUMIFS('caseload data'!R:R,'caseload data'!$B:$B,{"licence","community"},'caseload data'!$C:$C,'community %'!$B$29)),"")</f>
        <v/>
      </c>
      <c r="Q32" s="167" t="str">
        <f>IFERROR(SUM(SUMIFS('caseload data'!S:S,'caseload data'!$C:$C,'community %'!$B$29,'caseload data'!$D:$D,"PSO",'caseload data'!$B:$B,{"licence","community"}))/SUM(SUMIFS('caseload data'!S:S,'caseload data'!$B:$B,{"licence","community"},'caseload data'!$C:$C,'community %'!$B$29)),"")</f>
        <v/>
      </c>
      <c r="R32" s="167" t="str">
        <f>IFERROR(SUM(SUMIFS('caseload data'!T:T,'caseload data'!$C:$C,'community %'!$B$29,'caseload data'!$D:$D,"PSO",'caseload data'!$B:$B,{"licence","community"}))/SUM(SUMIFS('caseload data'!T:T,'caseload data'!$B:$B,{"licence","community"},'caseload data'!$C:$C,'community %'!$B$29)),"")</f>
        <v/>
      </c>
      <c r="S32" s="64"/>
      <c r="T32" s="97" t="s">
        <v>1002</v>
      </c>
      <c r="U32" s="167" t="str">
        <f>IFERROR(SUM(SUMIFS('caseload data'!E:E,'caseload data'!$C:$C,'community %'!$T$29,'caseload data'!$D:$D,"PSO",'caseload data'!$B:$B,{"licence","community"}))/SUM(SUMIFS('caseload data'!E:E,'caseload data'!$B:$B,{"licence","community"},'caseload data'!$C:$C,'community %'!$T$29)),"")</f>
        <v/>
      </c>
      <c r="V32" s="167" t="str">
        <f>IFERROR(SUM(SUMIFS('caseload data'!F:F,'caseload data'!$C:$C,'community %'!$T$29,'caseload data'!$D:$D,"PSO",'caseload data'!$B:$B,{"licence","community"}))/SUM(SUMIFS('caseload data'!F:F,'caseload data'!$B:$B,{"licence","community"},'caseload data'!$C:$C,'community %'!$T$29)),"")</f>
        <v/>
      </c>
      <c r="W32" s="167" t="str">
        <f>IFERROR(SUM(SUMIFS('caseload data'!G:G,'caseload data'!$C:$C,'community %'!$T$29,'caseload data'!$D:$D,"PSO",'caseload data'!$B:$B,{"licence","community"}))/SUM(SUMIFS('caseload data'!G:G,'caseload data'!$B:$B,{"licence","community"},'caseload data'!$C:$C,'community %'!$T$29)),"")</f>
        <v/>
      </c>
      <c r="X32" s="167" t="str">
        <f>IFERROR(SUM(SUMIFS('caseload data'!H:H,'caseload data'!$C:$C,'community %'!$T$29,'caseload data'!$D:$D,"PSO",'caseload data'!$B:$B,{"licence","community"}))/SUM(SUMIFS('caseload data'!H:H,'caseload data'!$B:$B,{"licence","community"},'caseload data'!$C:$C,'community %'!$T$29)),"")</f>
        <v/>
      </c>
      <c r="Y32" s="167" t="str">
        <f>IFERROR(SUM(SUMIFS('caseload data'!I:I,'caseload data'!$C:$C,'community %'!$T$29,'caseload data'!$D:$D,"PSO",'caseload data'!$B:$B,{"licence","community"}))/SUM(SUMIFS('caseload data'!I:I,'caseload data'!$B:$B,{"licence","community"},'caseload data'!$C:$C,'community %'!$T$29)),"")</f>
        <v/>
      </c>
      <c r="Z32" s="167" t="str">
        <f>IFERROR(SUM(SUMIFS('caseload data'!J:J,'caseload data'!$C:$C,'community %'!$T$29,'caseload data'!$D:$D,"PSO",'caseload data'!$B:$B,{"licence","community"}))/SUM(SUMIFS('caseload data'!J:J,'caseload data'!$B:$B,{"licence","community"},'caseload data'!$C:$C,'community %'!$T$29)),"")</f>
        <v/>
      </c>
      <c r="AA32" s="167" t="str">
        <f>IFERROR(SUM(SUMIFS('caseload data'!K:K,'caseload data'!$C:$C,'community %'!$T$29,'caseload data'!$D:$D,"PSO",'caseload data'!$B:$B,{"licence","community"}))/SUM(SUMIFS('caseload data'!K:K,'caseload data'!$B:$B,{"licence","community"},'caseload data'!$C:$C,'community %'!$T$29)),"")</f>
        <v/>
      </c>
      <c r="AB32" s="167" t="str">
        <f>IFERROR(SUM(SUMIFS('caseload data'!L:L,'caseload data'!$C:$C,'community %'!$T$29,'caseload data'!$D:$D,"PSO",'caseload data'!$B:$B,{"licence","community"}))/SUM(SUMIFS('caseload data'!L:L,'caseload data'!$B:$B,{"licence","community"},'caseload data'!$C:$C,'community %'!$T$29)),"")</f>
        <v/>
      </c>
      <c r="AC32" s="167" t="str">
        <f>IFERROR(SUM(SUMIFS('caseload data'!M:M,'caseload data'!$C:$C,'community %'!$T$29,'caseload data'!$D:$D,"PSO",'caseload data'!$B:$B,{"licence","community"}))/SUM(SUMIFS('caseload data'!M:M,'caseload data'!$B:$B,{"licence","community"},'caseload data'!$C:$C,'community %'!$T$29)),"")</f>
        <v/>
      </c>
      <c r="AD32" s="167" t="str">
        <f>IFERROR(SUM(SUMIFS('caseload data'!N:N,'caseload data'!$C:$C,'community %'!$T$29,'caseload data'!$D:$D,"PSO",'caseload data'!$B:$B,{"licence","community"}))/SUM(SUMIFS('caseload data'!N:N,'caseload data'!$B:$B,{"licence","community"},'caseload data'!$C:$C,'community %'!$T$29)),"")</f>
        <v/>
      </c>
      <c r="AE32" s="167" t="str">
        <f>IFERROR(SUM(SUMIFS('caseload data'!O:O,'caseload data'!$C:$C,'community %'!$T$29,'caseload data'!$D:$D,"PSO",'caseload data'!$B:$B,{"licence","community"}))/SUM(SUMIFS('caseload data'!O:O,'caseload data'!$B:$B,{"licence","community"},'caseload data'!$C:$C,'community %'!$T$29)),"")</f>
        <v/>
      </c>
      <c r="AF32" s="167" t="str">
        <f>IFERROR(SUM(SUMIFS('caseload data'!P:P,'caseload data'!$C:$C,'community %'!$T$29,'caseload data'!$D:$D,"PSO",'caseload data'!$B:$B,{"licence","community"}))/SUM(SUMIFS('caseload data'!P:P,'caseload data'!$B:$B,{"licence","community"},'caseload data'!$C:$C,'community %'!$T$29)),"")</f>
        <v/>
      </c>
      <c r="AG32" s="167" t="str">
        <f>IFERROR(SUM(SUMIFS('caseload data'!Q:Q,'caseload data'!$C:$C,'community %'!$T$29,'caseload data'!$D:$D,"PSO",'caseload data'!$B:$B,{"licence","community"}))/SUM(SUMIFS('caseload data'!Q:Q,'caseload data'!$B:$B,{"licence","community"},'caseload data'!$C:$C,'community %'!$T$29)),"")</f>
        <v/>
      </c>
      <c r="AH32" s="167" t="str">
        <f>IFERROR(SUM(SUMIFS('caseload data'!R:R,'caseload data'!$C:$C,'community %'!$T$29,'caseload data'!$D:$D,"PSO",'caseload data'!$B:$B,{"licence","community"}))/SUM(SUMIFS('caseload data'!R:R,'caseload data'!$B:$B,{"licence","community"},'caseload data'!$C:$C,'community %'!$T$29)),"")</f>
        <v/>
      </c>
      <c r="AI32" s="167" t="str">
        <f>IFERROR(SUM(SUMIFS('caseload data'!S:S,'caseload data'!$C:$C,'community %'!$T$29,'caseload data'!$D:$D,"PSO",'caseload data'!$B:$B,{"licence","community"}))/SUM(SUMIFS('caseload data'!S:S,'caseload data'!$B:$B,{"licence","community"},'caseload data'!$C:$C,'community %'!$T$29)),"")</f>
        <v/>
      </c>
      <c r="AJ32" s="167" t="str">
        <f>IFERROR(SUM(SUMIFS('caseload data'!T:T,'caseload data'!$C:$C,'community %'!$T$29,'caseload data'!$D:$D,"PSO",'caseload data'!$B:$B,{"licence","community"}))/SUM(SUMIFS('caseload data'!T:T,'caseload data'!$B:$B,{"licence","community"},'caseload data'!$C:$C,'community %'!$T$29)),"")</f>
        <v/>
      </c>
    </row>
    <row r="33" spans="2:36" x14ac:dyDescent="0.15">
      <c r="B33" s="97" t="s">
        <v>1003</v>
      </c>
      <c r="C33" s="167" t="str">
        <f>IFERROR(SUM(SUMIFS('caseload data'!E:E,'caseload data'!$C:$C,'community %'!$B$29,'caseload data'!$D:$D,"TPO",'caseload data'!$B:$B,{"licence","community"}))/SUM(SUMIFS('caseload data'!E:E,'caseload data'!$B:$B,{"licence","community"},'caseload data'!$C:$C,'community %'!$B$29)),"")</f>
        <v/>
      </c>
      <c r="D33" s="167" t="str">
        <f>IFERROR(SUM(SUMIFS('caseload data'!F:F,'caseload data'!$C:$C,'community %'!$B$29,'caseload data'!$D:$D,"TPO",'caseload data'!$B:$B,{"licence","community"}))/SUM(SUMIFS('caseload data'!F:F,'caseload data'!$B:$B,{"licence","community"},'caseload data'!$C:$C,'community %'!$B$29)),"")</f>
        <v/>
      </c>
      <c r="E33" s="167" t="str">
        <f>IFERROR(SUM(SUMIFS('caseload data'!G:G,'caseload data'!$C:$C,'community %'!$B$29,'caseload data'!$D:$D,"TPO",'caseload data'!$B:$B,{"licence","community"}))/SUM(SUMIFS('caseload data'!G:G,'caseload data'!$B:$B,{"licence","community"},'caseload data'!$C:$C,'community %'!$B$29)),"")</f>
        <v/>
      </c>
      <c r="F33" s="167" t="str">
        <f>IFERROR(SUM(SUMIFS('caseload data'!H:H,'caseload data'!$C:$C,'community %'!$B$29,'caseload data'!$D:$D,"TPO",'caseload data'!$B:$B,{"licence","community"}))/SUM(SUMIFS('caseload data'!H:H,'caseload data'!$B:$B,{"licence","community"},'caseload data'!$C:$C,'community %'!$B$29)),"")</f>
        <v/>
      </c>
      <c r="G33" s="167" t="str">
        <f>IFERROR(SUM(SUMIFS('caseload data'!I:I,'caseload data'!$C:$C,'community %'!$B$29,'caseload data'!$D:$D,"TPO",'caseload data'!$B:$B,{"licence","community"}))/SUM(SUMIFS('caseload data'!I:I,'caseload data'!$B:$B,{"licence","community"},'caseload data'!$C:$C,'community %'!$B$29)),"")</f>
        <v/>
      </c>
      <c r="H33" s="167" t="str">
        <f>IFERROR(SUM(SUMIFS('caseload data'!J:J,'caseload data'!$C:$C,'community %'!$B$29,'caseload data'!$D:$D,"TPO",'caseload data'!$B:$B,{"licence","community"}))/SUM(SUMIFS('caseload data'!J:J,'caseload data'!$B:$B,{"licence","community"},'caseload data'!$C:$C,'community %'!$B$29)),"")</f>
        <v/>
      </c>
      <c r="I33" s="167" t="str">
        <f>IFERROR(SUM(SUMIFS('caseload data'!K:K,'caseload data'!$C:$C,'community %'!$B$29,'caseload data'!$D:$D,"TPO",'caseload data'!$B:$B,{"licence","community"}))/SUM(SUMIFS('caseload data'!K:K,'caseload data'!$B:$B,{"licence","community"},'caseload data'!$C:$C,'community %'!$B$29)),"")</f>
        <v/>
      </c>
      <c r="J33" s="167" t="str">
        <f>IFERROR(SUM(SUMIFS('caseload data'!L:L,'caseload data'!$C:$C,'community %'!$B$29,'caseload data'!$D:$D,"TPO",'caseload data'!$B:$B,{"licence","community"}))/SUM(SUMIFS('caseload data'!L:L,'caseload data'!$B:$B,{"licence","community"},'caseload data'!$C:$C,'community %'!$B$29)),"")</f>
        <v/>
      </c>
      <c r="K33" s="167" t="str">
        <f>IFERROR(SUM(SUMIFS('caseload data'!M:M,'caseload data'!$C:$C,'community %'!$B$29,'caseload data'!$D:$D,"TPO",'caseload data'!$B:$B,{"licence","community"}))/SUM(SUMIFS('caseload data'!M:M,'caseload data'!$B:$B,{"licence","community"},'caseload data'!$C:$C,'community %'!$B$29)),"")</f>
        <v/>
      </c>
      <c r="L33" s="167" t="str">
        <f>IFERROR(SUM(SUMIFS('caseload data'!N:N,'caseload data'!$C:$C,'community %'!$B$29,'caseload data'!$D:$D,"TPO",'caseload data'!$B:$B,{"licence","community"}))/SUM(SUMIFS('caseload data'!N:N,'caseload data'!$B:$B,{"licence","community"},'caseload data'!$C:$C,'community %'!$B$29)),"")</f>
        <v/>
      </c>
      <c r="M33" s="167" t="str">
        <f>IFERROR(SUM(SUMIFS('caseload data'!O:O,'caseload data'!$C:$C,'community %'!$B$29,'caseload data'!$D:$D,"TPO",'caseload data'!$B:$B,{"licence","community"}))/SUM(SUMIFS('caseload data'!O:O,'caseload data'!$B:$B,{"licence","community"},'caseload data'!$C:$C,'community %'!$B$29)),"")</f>
        <v/>
      </c>
      <c r="N33" s="167" t="str">
        <f>IFERROR(SUM(SUMIFS('caseload data'!P:P,'caseload data'!$C:$C,'community %'!$B$29,'caseload data'!$D:$D,"TPO",'caseload data'!$B:$B,{"licence","community"}))/SUM(SUMIFS('caseload data'!P:P,'caseload data'!$B:$B,{"licence","community"},'caseload data'!$C:$C,'community %'!$B$29)),"")</f>
        <v/>
      </c>
      <c r="O33" s="167" t="str">
        <f>IFERROR(SUM(SUMIFS('caseload data'!Q:Q,'caseload data'!$C:$C,'community %'!$B$29,'caseload data'!$D:$D,"TPO",'caseload data'!$B:$B,{"licence","community"}))/SUM(SUMIFS('caseload data'!Q:Q,'caseload data'!$B:$B,{"licence","community"},'caseload data'!$C:$C,'community %'!$B$29)),"")</f>
        <v/>
      </c>
      <c r="P33" s="167" t="str">
        <f>IFERROR(SUM(SUMIFS('caseload data'!R:R,'caseload data'!$C:$C,'community %'!$B$29,'caseload data'!$D:$D,"TPO",'caseload data'!$B:$B,{"licence","community"}))/SUM(SUMIFS('caseload data'!R:R,'caseload data'!$B:$B,{"licence","community"},'caseload data'!$C:$C,'community %'!$B$29)),"")</f>
        <v/>
      </c>
      <c r="Q33" s="167" t="str">
        <f>IFERROR(SUM(SUMIFS('caseload data'!S:S,'caseload data'!$C:$C,'community %'!$B$29,'caseload data'!$D:$D,"TPO",'caseload data'!$B:$B,{"licence","community"}))/SUM(SUMIFS('caseload data'!S:S,'caseload data'!$B:$B,{"licence","community"},'caseload data'!$C:$C,'community %'!$B$29)),"")</f>
        <v/>
      </c>
      <c r="R33" s="167" t="str">
        <f>IFERROR(SUM(SUMIFS('caseload data'!T:T,'caseload data'!$C:$C,'community %'!$B$29,'caseload data'!$D:$D,"TPO",'caseload data'!$B:$B,{"licence","community"}))/SUM(SUMIFS('caseload data'!T:T,'caseload data'!$B:$B,{"licence","community"},'caseload data'!$C:$C,'community %'!$B$29)),"")</f>
        <v/>
      </c>
      <c r="S33" s="64"/>
      <c r="T33" s="97" t="s">
        <v>1003</v>
      </c>
      <c r="U33" s="167" t="str">
        <f>IFERROR(SUM(SUMIFS('caseload data'!E:E,'caseload data'!$C:$C,'community %'!$T$29,'caseload data'!$D:$D,"TPO",'caseload data'!$B:$B,{"licence","community"}))/SUM(SUMIFS('caseload data'!E:E,'caseload data'!$B:$B,{"licence","community"},'caseload data'!$C:$C,'community %'!$T$29)),"")</f>
        <v/>
      </c>
      <c r="V33" s="167" t="str">
        <f>IFERROR(SUM(SUMIFS('caseload data'!F:F,'caseload data'!$C:$C,'community %'!$T$29,'caseload data'!$D:$D,"TPO",'caseload data'!$B:$B,{"licence","community"}))/SUM(SUMIFS('caseload data'!F:F,'caseload data'!$B:$B,{"licence","community"},'caseload data'!$C:$C,'community %'!$T$29)),"")</f>
        <v/>
      </c>
      <c r="W33" s="167" t="str">
        <f>IFERROR(SUM(SUMIFS('caseload data'!G:G,'caseload data'!$C:$C,'community %'!$T$29,'caseload data'!$D:$D,"TPO",'caseload data'!$B:$B,{"licence","community"}))/SUM(SUMIFS('caseload data'!G:G,'caseload data'!$B:$B,{"licence","community"},'caseload data'!$C:$C,'community %'!$T$29)),"")</f>
        <v/>
      </c>
      <c r="X33" s="167" t="str">
        <f>IFERROR(SUM(SUMIFS('caseload data'!H:H,'caseload data'!$C:$C,'community %'!$T$29,'caseload data'!$D:$D,"TPO",'caseload data'!$B:$B,{"licence","community"}))/SUM(SUMIFS('caseload data'!H:H,'caseload data'!$B:$B,{"licence","community"},'caseload data'!$C:$C,'community %'!$T$29)),"")</f>
        <v/>
      </c>
      <c r="Y33" s="167" t="str">
        <f>IFERROR(SUM(SUMIFS('caseload data'!I:I,'caseload data'!$C:$C,'community %'!$T$29,'caseload data'!$D:$D,"TPO",'caseload data'!$B:$B,{"licence","community"}))/SUM(SUMIFS('caseload data'!I:I,'caseload data'!$B:$B,{"licence","community"},'caseload data'!$C:$C,'community %'!$T$29)),"")</f>
        <v/>
      </c>
      <c r="Z33" s="167" t="str">
        <f>IFERROR(SUM(SUMIFS('caseload data'!J:J,'caseload data'!$C:$C,'community %'!$T$29,'caseload data'!$D:$D,"TPO",'caseload data'!$B:$B,{"licence","community"}))/SUM(SUMIFS('caseload data'!J:J,'caseload data'!$B:$B,{"licence","community"},'caseload data'!$C:$C,'community %'!$T$29)),"")</f>
        <v/>
      </c>
      <c r="AA33" s="167" t="str">
        <f>IFERROR(SUM(SUMIFS('caseload data'!K:K,'caseload data'!$C:$C,'community %'!$T$29,'caseload data'!$D:$D,"TPO",'caseload data'!$B:$B,{"licence","community"}))/SUM(SUMIFS('caseload data'!K:K,'caseload data'!$B:$B,{"licence","community"},'caseload data'!$C:$C,'community %'!$T$29)),"")</f>
        <v/>
      </c>
      <c r="AB33" s="167" t="str">
        <f>IFERROR(SUM(SUMIFS('caseload data'!L:L,'caseload data'!$C:$C,'community %'!$T$29,'caseload data'!$D:$D,"TPO",'caseload data'!$B:$B,{"licence","community"}))/SUM(SUMIFS('caseload data'!L:L,'caseload data'!$B:$B,{"licence","community"},'caseload data'!$C:$C,'community %'!$T$29)),"")</f>
        <v/>
      </c>
      <c r="AC33" s="167" t="str">
        <f>IFERROR(SUM(SUMIFS('caseload data'!M:M,'caseload data'!$C:$C,'community %'!$T$29,'caseload data'!$D:$D,"TPO",'caseload data'!$B:$B,{"licence","community"}))/SUM(SUMIFS('caseload data'!M:M,'caseload data'!$B:$B,{"licence","community"},'caseload data'!$C:$C,'community %'!$T$29)),"")</f>
        <v/>
      </c>
      <c r="AD33" s="167" t="str">
        <f>IFERROR(SUM(SUMIFS('caseload data'!N:N,'caseload data'!$C:$C,'community %'!$T$29,'caseload data'!$D:$D,"TPO",'caseload data'!$B:$B,{"licence","community"}))/SUM(SUMIFS('caseload data'!N:N,'caseload data'!$B:$B,{"licence","community"},'caseload data'!$C:$C,'community %'!$T$29)),"")</f>
        <v/>
      </c>
      <c r="AE33" s="167" t="str">
        <f>IFERROR(SUM(SUMIFS('caseload data'!O:O,'caseload data'!$C:$C,'community %'!$T$29,'caseload data'!$D:$D,"TPO",'caseload data'!$B:$B,{"licence","community"}))/SUM(SUMIFS('caseload data'!O:O,'caseload data'!$B:$B,{"licence","community"},'caseload data'!$C:$C,'community %'!$T$29)),"")</f>
        <v/>
      </c>
      <c r="AF33" s="167" t="str">
        <f>IFERROR(SUM(SUMIFS('caseload data'!P:P,'caseload data'!$C:$C,'community %'!$T$29,'caseload data'!$D:$D,"TPO",'caseload data'!$B:$B,{"licence","community"}))/SUM(SUMIFS('caseload data'!P:P,'caseload data'!$B:$B,{"licence","community"},'caseload data'!$C:$C,'community %'!$T$29)),"")</f>
        <v/>
      </c>
      <c r="AG33" s="167" t="str">
        <f>IFERROR(SUM(SUMIFS('caseload data'!Q:Q,'caseload data'!$C:$C,'community %'!$T$29,'caseload data'!$D:$D,"TPO",'caseload data'!$B:$B,{"licence","community"}))/SUM(SUMIFS('caseload data'!Q:Q,'caseload data'!$B:$B,{"licence","community"},'caseload data'!$C:$C,'community %'!$T$29)),"")</f>
        <v/>
      </c>
      <c r="AH33" s="167" t="str">
        <f>IFERROR(SUM(SUMIFS('caseload data'!R:R,'caseload data'!$C:$C,'community %'!$T$29,'caseload data'!$D:$D,"TPO",'caseload data'!$B:$B,{"licence","community"}))/SUM(SUMIFS('caseload data'!R:R,'caseload data'!$B:$B,{"licence","community"},'caseload data'!$C:$C,'community %'!$T$29)),"")</f>
        <v/>
      </c>
      <c r="AI33" s="167" t="str">
        <f>IFERROR(SUM(SUMIFS('caseload data'!S:S,'caseload data'!$C:$C,'community %'!$T$29,'caseload data'!$D:$D,"TPO",'caseload data'!$B:$B,{"licence","community"}))/SUM(SUMIFS('caseload data'!S:S,'caseload data'!$B:$B,{"licence","community"},'caseload data'!$C:$C,'community %'!$T$29)),"")</f>
        <v/>
      </c>
      <c r="AJ33" s="167" t="str">
        <f>IFERROR(SUM(SUMIFS('caseload data'!T:T,'caseload data'!$C:$C,'community %'!$T$29,'caseload data'!$D:$D,"TPO",'caseload data'!$B:$B,{"licence","community"}))/SUM(SUMIFS('caseload data'!T:T,'caseload data'!$B:$B,{"licence","community"},'caseload data'!$C:$C,'community %'!$T$29)),"")</f>
        <v/>
      </c>
    </row>
    <row r="34" spans="2:36" x14ac:dyDescent="0.15">
      <c r="B34" s="98" t="s">
        <v>1004</v>
      </c>
      <c r="C34" s="167" t="str">
        <f>IFERROR(SUM(SUMIFS('caseload data'!E:E,'caseload data'!$C:$C,'community %'!$B$29,'caseload data'!$D:$D,"SPO",'caseload data'!$B:$B,{"licence","community"}))/SUM(SUMIFS('caseload data'!E:E,'caseload data'!$B:$B,{"licence","community"},'caseload data'!$C:$C,'community %'!$B$29)),"")</f>
        <v/>
      </c>
      <c r="D34" s="167" t="str">
        <f>IFERROR(SUM(SUMIFS('caseload data'!F:F,'caseload data'!$C:$C,'community %'!$B$29,'caseload data'!$D:$D,"SPO",'caseload data'!$B:$B,{"licence","community"}))/SUM(SUMIFS('caseload data'!F:F,'caseload data'!$B:$B,{"licence","community"},'caseload data'!$C:$C,'community %'!$B$29)),"")</f>
        <v/>
      </c>
      <c r="E34" s="167" t="str">
        <f>IFERROR(SUM(SUMIFS('caseload data'!G:G,'caseload data'!$C:$C,'community %'!$B$29,'caseload data'!$D:$D,"SPO",'caseload data'!$B:$B,{"licence","community"}))/SUM(SUMIFS('caseload data'!G:G,'caseload data'!$B:$B,{"licence","community"},'caseload data'!$C:$C,'community %'!$B$29)),"")</f>
        <v/>
      </c>
      <c r="F34" s="167" t="str">
        <f>IFERROR(SUM(SUMIFS('caseload data'!H:H,'caseload data'!$C:$C,'community %'!$B$29,'caseload data'!$D:$D,"SPO",'caseload data'!$B:$B,{"licence","community"}))/SUM(SUMIFS('caseload data'!H:H,'caseload data'!$B:$B,{"licence","community"},'caseload data'!$C:$C,'community %'!$B$29)),"")</f>
        <v/>
      </c>
      <c r="G34" s="167" t="str">
        <f>IFERROR(SUM(SUMIFS('caseload data'!I:I,'caseload data'!$C:$C,'community %'!$B$29,'caseload data'!$D:$D,"SPO",'caseload data'!$B:$B,{"licence","community"}))/SUM(SUMIFS('caseload data'!I:I,'caseload data'!$B:$B,{"licence","community"},'caseload data'!$C:$C,'community %'!$B$29)),"")</f>
        <v/>
      </c>
      <c r="H34" s="167" t="str">
        <f>IFERROR(SUM(SUMIFS('caseload data'!J:J,'caseload data'!$C:$C,'community %'!$B$29,'caseload data'!$D:$D,"SPO",'caseload data'!$B:$B,{"licence","community"}))/SUM(SUMIFS('caseload data'!J:J,'caseload data'!$B:$B,{"licence","community"},'caseload data'!$C:$C,'community %'!$B$29)),"")</f>
        <v/>
      </c>
      <c r="I34" s="167" t="str">
        <f>IFERROR(SUM(SUMIFS('caseload data'!K:K,'caseload data'!$C:$C,'community %'!$B$29,'caseload data'!$D:$D,"SPO",'caseload data'!$B:$B,{"licence","community"}))/SUM(SUMIFS('caseload data'!K:K,'caseload data'!$B:$B,{"licence","community"},'caseload data'!$C:$C,'community %'!$B$29)),"")</f>
        <v/>
      </c>
      <c r="J34" s="167" t="str">
        <f>IFERROR(SUM(SUMIFS('caseload data'!L:L,'caseload data'!$C:$C,'community %'!$B$29,'caseload data'!$D:$D,"SPO",'caseload data'!$B:$B,{"licence","community"}))/SUM(SUMIFS('caseload data'!L:L,'caseload data'!$B:$B,{"licence","community"},'caseload data'!$C:$C,'community %'!$B$29)),"")</f>
        <v/>
      </c>
      <c r="K34" s="167" t="str">
        <f>IFERROR(SUM(SUMIFS('caseload data'!M:M,'caseload data'!$C:$C,'community %'!$B$29,'caseload data'!$D:$D,"SPO",'caseload data'!$B:$B,{"licence","community"}))/SUM(SUMIFS('caseload data'!M:M,'caseload data'!$B:$B,{"licence","community"},'caseload data'!$C:$C,'community %'!$B$29)),"")</f>
        <v/>
      </c>
      <c r="L34" s="167" t="str">
        <f>IFERROR(SUM(SUMIFS('caseload data'!N:N,'caseload data'!$C:$C,'community %'!$B$29,'caseload data'!$D:$D,"SPO",'caseload data'!$B:$B,{"licence","community"}))/SUM(SUMIFS('caseload data'!N:N,'caseload data'!$B:$B,{"licence","community"},'caseload data'!$C:$C,'community %'!$B$29)),"")</f>
        <v/>
      </c>
      <c r="M34" s="167" t="str">
        <f>IFERROR(SUM(SUMIFS('caseload data'!O:O,'caseload data'!$C:$C,'community %'!$B$29,'caseload data'!$D:$D,"SPO",'caseload data'!$B:$B,{"licence","community"}))/SUM(SUMIFS('caseload data'!O:O,'caseload data'!$B:$B,{"licence","community"},'caseload data'!$C:$C,'community %'!$B$29)),"")</f>
        <v/>
      </c>
      <c r="N34" s="167" t="str">
        <f>IFERROR(SUM(SUMIFS('caseload data'!P:P,'caseload data'!$C:$C,'community %'!$B$29,'caseload data'!$D:$D,"SPO",'caseload data'!$B:$B,{"licence","community"}))/SUM(SUMIFS('caseload data'!P:P,'caseload data'!$B:$B,{"licence","community"},'caseload data'!$C:$C,'community %'!$B$29)),"")</f>
        <v/>
      </c>
      <c r="O34" s="167" t="str">
        <f>IFERROR(SUM(SUMIFS('caseload data'!Q:Q,'caseload data'!$C:$C,'community %'!$B$29,'caseload data'!$D:$D,"SPO",'caseload data'!$B:$B,{"licence","community"}))/SUM(SUMIFS('caseload data'!Q:Q,'caseload data'!$B:$B,{"licence","community"},'caseload data'!$C:$C,'community %'!$B$29)),"")</f>
        <v/>
      </c>
      <c r="P34" s="167" t="str">
        <f>IFERROR(SUM(SUMIFS('caseload data'!R:R,'caseload data'!$C:$C,'community %'!$B$29,'caseload data'!$D:$D,"SPO",'caseload data'!$B:$B,{"licence","community"}))/SUM(SUMIFS('caseload data'!R:R,'caseload data'!$B:$B,{"licence","community"},'caseload data'!$C:$C,'community %'!$B$29)),"")</f>
        <v/>
      </c>
      <c r="Q34" s="167" t="str">
        <f>IFERROR(SUM(SUMIFS('caseload data'!S:S,'caseload data'!$C:$C,'community %'!$B$29,'caseload data'!$D:$D,"SPO",'caseload data'!$B:$B,{"licence","community"}))/SUM(SUMIFS('caseload data'!S:S,'caseload data'!$B:$B,{"licence","community"},'caseload data'!$C:$C,'community %'!$B$29)),"")</f>
        <v/>
      </c>
      <c r="R34" s="167" t="str">
        <f>IFERROR(SUM(SUMIFS('caseload data'!T:T,'caseload data'!$C:$C,'community %'!$B$29,'caseload data'!$D:$D,"SPO",'caseload data'!$B:$B,{"licence","community"}))/SUM(SUMIFS('caseload data'!T:T,'caseload data'!$B:$B,{"licence","community"},'caseload data'!$C:$C,'community %'!$B$29)),"")</f>
        <v/>
      </c>
      <c r="S34" s="64"/>
      <c r="T34" s="98" t="s">
        <v>1004</v>
      </c>
      <c r="U34" s="167" t="str">
        <f>IFERROR(SUM(SUMIFS('caseload data'!E:E,'caseload data'!$C:$C,'community %'!$T$29,'caseload data'!$D:$D,"SPO",'caseload data'!$B:$B,{"licence","community"}))/SUM(SUMIFS('caseload data'!E:E,'caseload data'!$B:$B,{"licence","community"},'caseload data'!$C:$C,'community %'!$T$29)),"")</f>
        <v/>
      </c>
      <c r="V34" s="167" t="str">
        <f>IFERROR(SUM(SUMIFS('caseload data'!F:F,'caseload data'!$C:$C,'community %'!$T$29,'caseload data'!$D:$D,"SPO",'caseload data'!$B:$B,{"licence","community"}))/SUM(SUMIFS('caseload data'!F:F,'caseload data'!$B:$B,{"licence","community"},'caseload data'!$C:$C,'community %'!$T$29)),"")</f>
        <v/>
      </c>
      <c r="W34" s="167" t="str">
        <f>IFERROR(SUM(SUMIFS('caseload data'!G:G,'caseload data'!$C:$C,'community %'!$T$29,'caseload data'!$D:$D,"SPO",'caseload data'!$B:$B,{"licence","community"}))/SUM(SUMIFS('caseload data'!G:G,'caseload data'!$B:$B,{"licence","community"},'caseload data'!$C:$C,'community %'!$T$29)),"")</f>
        <v/>
      </c>
      <c r="X34" s="167" t="str">
        <f>IFERROR(SUM(SUMIFS('caseload data'!H:H,'caseload data'!$C:$C,'community %'!$T$29,'caseload data'!$D:$D,"SPO",'caseload data'!$B:$B,{"licence","community"}))/SUM(SUMIFS('caseload data'!H:H,'caseload data'!$B:$B,{"licence","community"},'caseload data'!$C:$C,'community %'!$T$29)),"")</f>
        <v/>
      </c>
      <c r="Y34" s="167" t="str">
        <f>IFERROR(SUM(SUMIFS('caseload data'!I:I,'caseload data'!$C:$C,'community %'!$T$29,'caseload data'!$D:$D,"SPO",'caseload data'!$B:$B,{"licence","community"}))/SUM(SUMIFS('caseload data'!I:I,'caseload data'!$B:$B,{"licence","community"},'caseload data'!$C:$C,'community %'!$T$29)),"")</f>
        <v/>
      </c>
      <c r="Z34" s="167" t="str">
        <f>IFERROR(SUM(SUMIFS('caseload data'!J:J,'caseload data'!$C:$C,'community %'!$T$29,'caseload data'!$D:$D,"SPO",'caseload data'!$B:$B,{"licence","community"}))/SUM(SUMIFS('caseload data'!J:J,'caseload data'!$B:$B,{"licence","community"},'caseload data'!$C:$C,'community %'!$T$29)),"")</f>
        <v/>
      </c>
      <c r="AA34" s="167" t="str">
        <f>IFERROR(SUM(SUMIFS('caseload data'!K:K,'caseload data'!$C:$C,'community %'!$T$29,'caseload data'!$D:$D,"SPO",'caseload data'!$B:$B,{"licence","community"}))/SUM(SUMIFS('caseload data'!K:K,'caseload data'!$B:$B,{"licence","community"},'caseload data'!$C:$C,'community %'!$T$29)),"")</f>
        <v/>
      </c>
      <c r="AB34" s="167" t="str">
        <f>IFERROR(SUM(SUMIFS('caseload data'!L:L,'caseload data'!$C:$C,'community %'!$T$29,'caseload data'!$D:$D,"SPO",'caseload data'!$B:$B,{"licence","community"}))/SUM(SUMIFS('caseload data'!L:L,'caseload data'!$B:$B,{"licence","community"},'caseload data'!$C:$C,'community %'!$T$29)),"")</f>
        <v/>
      </c>
      <c r="AC34" s="167" t="str">
        <f>IFERROR(SUM(SUMIFS('caseload data'!M:M,'caseload data'!$C:$C,'community %'!$T$29,'caseload data'!$D:$D,"SPO",'caseload data'!$B:$B,{"licence","community"}))/SUM(SUMIFS('caseload data'!M:M,'caseload data'!$B:$B,{"licence","community"},'caseload data'!$C:$C,'community %'!$T$29)),"")</f>
        <v/>
      </c>
      <c r="AD34" s="167" t="str">
        <f>IFERROR(SUM(SUMIFS('caseload data'!N:N,'caseload data'!$C:$C,'community %'!$T$29,'caseload data'!$D:$D,"SPO",'caseload data'!$B:$B,{"licence","community"}))/SUM(SUMIFS('caseload data'!N:N,'caseload data'!$B:$B,{"licence","community"},'caseload data'!$C:$C,'community %'!$T$29)),"")</f>
        <v/>
      </c>
      <c r="AE34" s="167" t="str">
        <f>IFERROR(SUM(SUMIFS('caseload data'!O:O,'caseload data'!$C:$C,'community %'!$T$29,'caseload data'!$D:$D,"SPO",'caseload data'!$B:$B,{"licence","community"}))/SUM(SUMIFS('caseload data'!O:O,'caseload data'!$B:$B,{"licence","community"},'caseload data'!$C:$C,'community %'!$T$29)),"")</f>
        <v/>
      </c>
      <c r="AF34" s="167" t="str">
        <f>IFERROR(SUM(SUMIFS('caseload data'!P:P,'caseload data'!$C:$C,'community %'!$T$29,'caseload data'!$D:$D,"SPO",'caseload data'!$B:$B,{"licence","community"}))/SUM(SUMIFS('caseload data'!P:P,'caseload data'!$B:$B,{"licence","community"},'caseload data'!$C:$C,'community %'!$T$29)),"")</f>
        <v/>
      </c>
      <c r="AG34" s="167" t="str">
        <f>IFERROR(SUM(SUMIFS('caseload data'!Q:Q,'caseload data'!$C:$C,'community %'!$T$29,'caseload data'!$D:$D,"SPO",'caseload data'!$B:$B,{"licence","community"}))/SUM(SUMIFS('caseload data'!Q:Q,'caseload data'!$B:$B,{"licence","community"},'caseload data'!$C:$C,'community %'!$T$29)),"")</f>
        <v/>
      </c>
      <c r="AH34" s="167" t="str">
        <f>IFERROR(SUM(SUMIFS('caseload data'!R:R,'caseload data'!$C:$C,'community %'!$T$29,'caseload data'!$D:$D,"SPO",'caseload data'!$B:$B,{"licence","community"}))/SUM(SUMIFS('caseload data'!R:R,'caseload data'!$B:$B,{"licence","community"},'caseload data'!$C:$C,'community %'!$T$29)),"")</f>
        <v/>
      </c>
      <c r="AI34" s="167" t="str">
        <f>IFERROR(SUM(SUMIFS('caseload data'!S:S,'caseload data'!$C:$C,'community %'!$T$29,'caseload data'!$D:$D,"SPO",'caseload data'!$B:$B,{"licence","community"}))/SUM(SUMIFS('caseload data'!S:S,'caseload data'!$B:$B,{"licence","community"},'caseload data'!$C:$C,'community %'!$T$29)),"")</f>
        <v/>
      </c>
      <c r="AJ34" s="167" t="str">
        <f>IFERROR(SUM(SUMIFS('caseload data'!T:T,'caseload data'!$C:$C,'community %'!$T$29,'caseload data'!$D:$D,"SPO",'caseload data'!$B:$B,{"licence","community"}))/SUM(SUMIFS('caseload data'!T:T,'caseload data'!$B:$B,{"licence","community"},'caseload data'!$C:$C,'community %'!$T$29)),"")</f>
        <v/>
      </c>
    </row>
    <row r="35" spans="2:36" x14ac:dyDescent="0.15">
      <c r="B35" s="91"/>
      <c r="C35" s="64"/>
      <c r="D35" s="64"/>
      <c r="E35" s="64"/>
      <c r="F35" s="64"/>
      <c r="G35" s="64"/>
      <c r="H35" s="64"/>
      <c r="I35" s="64"/>
      <c r="J35" s="64"/>
      <c r="K35" s="64"/>
      <c r="L35" s="64"/>
      <c r="M35" s="64"/>
      <c r="N35" s="64"/>
      <c r="O35" s="64"/>
      <c r="P35" s="64"/>
      <c r="Q35" s="64"/>
      <c r="R35" s="64"/>
      <c r="S35" s="64"/>
      <c r="T35" s="91"/>
      <c r="U35" s="64"/>
      <c r="V35" s="64"/>
      <c r="W35" s="64"/>
      <c r="X35" s="64"/>
      <c r="Y35" s="64"/>
      <c r="Z35" s="64"/>
      <c r="AA35" s="64"/>
      <c r="AB35" s="64"/>
      <c r="AC35" s="64"/>
      <c r="AD35" s="64"/>
      <c r="AE35" s="64"/>
      <c r="AF35" s="64"/>
      <c r="AG35" s="64"/>
      <c r="AH35" s="64"/>
      <c r="AI35" s="64"/>
      <c r="AJ35" s="64"/>
    </row>
    <row r="36" spans="2:36" ht="30" customHeight="1" x14ac:dyDescent="0.15">
      <c r="B36" s="289">
        <f>HLOOKUP($B$5,Region_Table,10,0)</f>
        <v>0</v>
      </c>
      <c r="C36" s="509" t="s">
        <v>1134</v>
      </c>
      <c r="D36" s="510"/>
      <c r="E36" s="510"/>
      <c r="F36" s="510"/>
      <c r="G36" s="510"/>
      <c r="H36" s="510"/>
      <c r="I36" s="510"/>
      <c r="J36" s="510"/>
      <c r="K36" s="510"/>
      <c r="L36" s="510"/>
      <c r="M36" s="539"/>
      <c r="N36" s="539"/>
      <c r="O36" s="540"/>
      <c r="P36" s="512" cm="1">
        <f t="array" ref="P36">SUM(SUMIFS('caseload data'!V:V,'caseload data'!B:B,{"licence","community"},'caseload data'!$C:$C,B36))</f>
        <v>0</v>
      </c>
      <c r="Q36" s="529"/>
      <c r="R36" s="530"/>
      <c r="S36" s="64"/>
      <c r="T36" s="289">
        <f>HLOOKUP($B$5,Region_Table,11,0)</f>
        <v>0</v>
      </c>
      <c r="U36" s="509" t="s">
        <v>1134</v>
      </c>
      <c r="V36" s="510"/>
      <c r="W36" s="510"/>
      <c r="X36" s="510"/>
      <c r="Y36" s="510"/>
      <c r="Z36" s="510"/>
      <c r="AA36" s="510"/>
      <c r="AB36" s="510"/>
      <c r="AC36" s="510"/>
      <c r="AD36" s="510"/>
      <c r="AE36" s="539"/>
      <c r="AF36" s="539"/>
      <c r="AG36" s="540"/>
      <c r="AH36" s="512" cm="1">
        <f t="array" ref="AH36">SUM(SUMIFS('caseload data'!V:V,'caseload data'!B:B,{"licence","community"},'caseload data'!$C:$C,T36))</f>
        <v>0</v>
      </c>
      <c r="AI36" s="529"/>
      <c r="AJ36" s="530"/>
    </row>
    <row r="37" spans="2:36" x14ac:dyDescent="0.15">
      <c r="B37" s="95" t="s">
        <v>1000</v>
      </c>
      <c r="C37" s="38" t="s">
        <v>864</v>
      </c>
      <c r="D37" s="38" t="s">
        <v>865</v>
      </c>
      <c r="E37" s="38" t="s">
        <v>866</v>
      </c>
      <c r="F37" s="38" t="s">
        <v>867</v>
      </c>
      <c r="G37" s="38" t="s">
        <v>868</v>
      </c>
      <c r="H37" s="38" t="s">
        <v>869</v>
      </c>
      <c r="I37" s="38" t="s">
        <v>870</v>
      </c>
      <c r="J37" s="38" t="s">
        <v>871</v>
      </c>
      <c r="K37" s="38" t="s">
        <v>872</v>
      </c>
      <c r="L37" s="38" t="s">
        <v>873</v>
      </c>
      <c r="M37" s="38" t="s">
        <v>874</v>
      </c>
      <c r="N37" s="38" t="s">
        <v>875</v>
      </c>
      <c r="O37" s="38" t="s">
        <v>876</v>
      </c>
      <c r="P37" s="38" t="s">
        <v>877</v>
      </c>
      <c r="Q37" s="38" t="s">
        <v>878</v>
      </c>
      <c r="R37" s="38" t="s">
        <v>879</v>
      </c>
      <c r="S37" s="64"/>
      <c r="T37" s="95" t="s">
        <v>1000</v>
      </c>
      <c r="U37" s="38" t="s">
        <v>864</v>
      </c>
      <c r="V37" s="38" t="s">
        <v>865</v>
      </c>
      <c r="W37" s="38" t="s">
        <v>866</v>
      </c>
      <c r="X37" s="38" t="s">
        <v>867</v>
      </c>
      <c r="Y37" s="38" t="s">
        <v>868</v>
      </c>
      <c r="Z37" s="38" t="s">
        <v>869</v>
      </c>
      <c r="AA37" s="38" t="s">
        <v>870</v>
      </c>
      <c r="AB37" s="38" t="s">
        <v>871</v>
      </c>
      <c r="AC37" s="38" t="s">
        <v>872</v>
      </c>
      <c r="AD37" s="38" t="s">
        <v>873</v>
      </c>
      <c r="AE37" s="38" t="s">
        <v>874</v>
      </c>
      <c r="AF37" s="38" t="s">
        <v>875</v>
      </c>
      <c r="AG37" s="38" t="s">
        <v>876</v>
      </c>
      <c r="AH37" s="38" t="s">
        <v>877</v>
      </c>
      <c r="AI37" s="38" t="s">
        <v>878</v>
      </c>
      <c r="AJ37" s="38" t="s">
        <v>879</v>
      </c>
    </row>
    <row r="38" spans="2:36" x14ac:dyDescent="0.15">
      <c r="B38" s="96" t="s">
        <v>997</v>
      </c>
      <c r="C38" s="167" t="str">
        <f>IFERROR(SUM(SUMIFS('caseload data'!E:E,'caseload data'!$C:$C,'community %'!$B$36,'caseload data'!$D:$D,"PO",'caseload data'!$B:$B,{"licence","community"}))/SUM(SUMIFS('caseload data'!E:E,'caseload data'!$B:$B,{"licence","community"},'caseload data'!$C:$C,'community %'!$B$36)),"")</f>
        <v/>
      </c>
      <c r="D38" s="167" t="str">
        <f>IFERROR(SUM(SUMIFS('caseload data'!F:F,'caseload data'!$C:$C,'community %'!$B$36,'caseload data'!$D:$D,"PO",'caseload data'!$B:$B,{"licence","community"}))/SUM(SUMIFS('caseload data'!F:F,'caseload data'!$B:$B,{"licence","community"},'caseload data'!$C:$C,'community %'!$B$36)),"")</f>
        <v/>
      </c>
      <c r="E38" s="167" t="str">
        <f>IFERROR(SUM(SUMIFS('caseload data'!G:G,'caseload data'!$C:$C,'community %'!$B$36,'caseload data'!$D:$D,"PO",'caseload data'!$B:$B,{"licence","community"}))/SUM(SUMIFS('caseload data'!G:G,'caseload data'!$B:$B,{"licence","community"},'caseload data'!$C:$C,'community %'!$B$36)),"")</f>
        <v/>
      </c>
      <c r="F38" s="167" t="str">
        <f>IFERROR(SUM(SUMIFS('caseload data'!H:H,'caseload data'!$C:$C,'community %'!$B$36,'caseload data'!$D:$D,"PO",'caseload data'!$B:$B,{"licence","community"}))/SUM(SUMIFS('caseload data'!H:H,'caseload data'!$B:$B,{"licence","community"},'caseload data'!$C:$C,'community %'!$B$36)),"")</f>
        <v/>
      </c>
      <c r="G38" s="167" t="str">
        <f>IFERROR(SUM(SUMIFS('caseload data'!I:I,'caseload data'!$C:$C,'community %'!$B$36,'caseload data'!$D:$D,"PO",'caseload data'!$B:$B,{"licence","community"}))/SUM(SUMIFS('caseload data'!I:I,'caseload data'!$B:$B,{"licence","community"},'caseload data'!$C:$C,'community %'!$B$36)),"")</f>
        <v/>
      </c>
      <c r="H38" s="167" t="str">
        <f>IFERROR(SUM(SUMIFS('caseload data'!J:J,'caseload data'!$C:$C,'community %'!$B$36,'caseload data'!$D:$D,"PO",'caseload data'!$B:$B,{"licence","community"}))/SUM(SUMIFS('caseload data'!J:J,'caseload data'!$B:$B,{"licence","community"},'caseload data'!$C:$C,'community %'!$B$36)),"")</f>
        <v/>
      </c>
      <c r="I38" s="167" t="str">
        <f>IFERROR(SUM(SUMIFS('caseload data'!K:K,'caseload data'!$C:$C,'community %'!$B$36,'caseload data'!$D:$D,"PO",'caseload data'!$B:$B,{"licence","community"}))/SUM(SUMIFS('caseload data'!K:K,'caseload data'!$B:$B,{"licence","community"},'caseload data'!$C:$C,'community %'!$B$36)),"")</f>
        <v/>
      </c>
      <c r="J38" s="167" t="str">
        <f>IFERROR(SUM(SUMIFS('caseload data'!L:L,'caseload data'!$C:$C,'community %'!$B$36,'caseload data'!$D:$D,"PO",'caseload data'!$B:$B,{"licence","community"}))/SUM(SUMIFS('caseload data'!L:L,'caseload data'!$B:$B,{"licence","community"},'caseload data'!$C:$C,'community %'!$B$36)),"")</f>
        <v/>
      </c>
      <c r="K38" s="167" t="str">
        <f>IFERROR(SUM(SUMIFS('caseload data'!M:M,'caseload data'!$C:$C,'community %'!$B$36,'caseload data'!$D:$D,"PO",'caseload data'!$B:$B,{"licence","community"}))/SUM(SUMIFS('caseload data'!M:M,'caseload data'!$B:$B,{"licence","community"},'caseload data'!$C:$C,'community %'!$B$36)),"")</f>
        <v/>
      </c>
      <c r="L38" s="167" t="str">
        <f>IFERROR(SUM(SUMIFS('caseload data'!N:N,'caseload data'!$C:$C,'community %'!$B$36,'caseload data'!$D:$D,"PO",'caseload data'!$B:$B,{"licence","community"}))/SUM(SUMIFS('caseload data'!N:N,'caseload data'!$B:$B,{"licence","community"},'caseload data'!$C:$C,'community %'!$B$36)),"")</f>
        <v/>
      </c>
      <c r="M38" s="167" t="str">
        <f>IFERROR(SUM(SUMIFS('caseload data'!O:O,'caseload data'!$C:$C,'community %'!$B$36,'caseload data'!$D:$D,"PO",'caseload data'!$B:$B,{"licence","community"}))/SUM(SUMIFS('caseload data'!O:O,'caseload data'!$B:$B,{"licence","community"},'caseload data'!$C:$C,'community %'!$B$36)),"")</f>
        <v/>
      </c>
      <c r="N38" s="167" t="str">
        <f>IFERROR(SUM(SUMIFS('caseload data'!P:P,'caseload data'!$C:$C,'community %'!$B$36,'caseload data'!$D:$D,"PO",'caseload data'!$B:$B,{"licence","community"}))/SUM(SUMIFS('caseload data'!P:P,'caseload data'!$B:$B,{"licence","community"},'caseload data'!$C:$C,'community %'!$B$36)),"")</f>
        <v/>
      </c>
      <c r="O38" s="167" t="str">
        <f>IFERROR(SUM(SUMIFS('caseload data'!Q:Q,'caseload data'!$C:$C,'community %'!$B$36,'caseload data'!$D:$D,"PO",'caseload data'!$B:$B,{"licence","community"}))/SUM(SUMIFS('caseload data'!Q:Q,'caseload data'!$B:$B,{"licence","community"},'caseload data'!$C:$C,'community %'!$B$36)),"")</f>
        <v/>
      </c>
      <c r="P38" s="167" t="str">
        <f>IFERROR(SUM(SUMIFS('caseload data'!R:R,'caseload data'!$C:$C,'community %'!$B$36,'caseload data'!$D:$D,"PO",'caseload data'!$B:$B,{"licence","community"}))/SUM(SUMIFS('caseload data'!R:R,'caseload data'!$B:$B,{"licence","community"},'caseload data'!$C:$C,'community %'!$B$36)),"")</f>
        <v/>
      </c>
      <c r="Q38" s="167" t="str">
        <f>IFERROR(SUM(SUMIFS('caseload data'!S:S,'caseload data'!$C:$C,'community %'!$B$36,'caseload data'!$D:$D,"PO",'caseload data'!$B:$B,{"licence","community"}))/SUM(SUMIFS('caseload data'!S:S,'caseload data'!$B:$B,{"licence","community"},'caseload data'!$C:$C,'community %'!$B$36)),"")</f>
        <v/>
      </c>
      <c r="R38" s="167" t="str">
        <f>IFERROR(SUM(SUMIFS('caseload data'!T:T,'caseload data'!$C:$C,'community %'!$B$36,'caseload data'!$D:$D,"PO",'caseload data'!$B:$B,{"licence","community"}))/SUM(SUMIFS('caseload data'!T:T,'caseload data'!$B:$B,{"licence","community"},'caseload data'!$C:$C,'community %'!$B$36)),"")</f>
        <v/>
      </c>
      <c r="S38" s="64"/>
      <c r="T38" s="96" t="s">
        <v>997</v>
      </c>
      <c r="U38" s="167" t="str">
        <f>IFERROR(SUM(SUMIFS('caseload data'!E:E,'caseload data'!$C:$C,'community %'!$T$36,'caseload data'!$D:$D,"PO",'caseload data'!$B:$B,{"licence","community"}))/SUM(SUMIFS('caseload data'!E:E,'caseload data'!$B:$B,{"licence","community"},'caseload data'!$C:$C,'community %'!$T$36)),"")</f>
        <v/>
      </c>
      <c r="V38" s="167" t="str">
        <f>IFERROR(SUM(SUMIFS('caseload data'!F:F,'caseload data'!$C:$C,'community %'!$T$36,'caseload data'!$D:$D,"PO",'caseload data'!$B:$B,{"licence","community"}))/SUM(SUMIFS('caseload data'!F:F,'caseload data'!$B:$B,{"licence","community"},'caseload data'!$C:$C,'community %'!$T$36)),"")</f>
        <v/>
      </c>
      <c r="W38" s="167" t="str">
        <f>IFERROR(SUM(SUMIFS('caseload data'!G:G,'caseload data'!$C:$C,'community %'!$T$36,'caseload data'!$D:$D,"PO",'caseload data'!$B:$B,{"licence","community"}))/SUM(SUMIFS('caseload data'!G:G,'caseload data'!$B:$B,{"licence","community"},'caseload data'!$C:$C,'community %'!$T$36)),"")</f>
        <v/>
      </c>
      <c r="X38" s="167" t="str">
        <f>IFERROR(SUM(SUMIFS('caseload data'!H:H,'caseload data'!$C:$C,'community %'!$T$36,'caseload data'!$D:$D,"PO",'caseload data'!$B:$B,{"licence","community"}))/SUM(SUMIFS('caseload data'!H:H,'caseload data'!$B:$B,{"licence","community"},'caseload data'!$C:$C,'community %'!$T$36)),"")</f>
        <v/>
      </c>
      <c r="Y38" s="167" t="str">
        <f>IFERROR(SUM(SUMIFS('caseload data'!I:I,'caseload data'!$C:$C,'community %'!$T$36,'caseload data'!$D:$D,"PO",'caseload data'!$B:$B,{"licence","community"}))/SUM(SUMIFS('caseload data'!I:I,'caseload data'!$B:$B,{"licence","community"},'caseload data'!$C:$C,'community %'!$T$36)),"")</f>
        <v/>
      </c>
      <c r="Z38" s="167" t="str">
        <f>IFERROR(SUM(SUMIFS('caseload data'!J:J,'caseload data'!$C:$C,'community %'!$T$36,'caseload data'!$D:$D,"PO",'caseload data'!$B:$B,{"licence","community"}))/SUM(SUMIFS('caseload data'!J:J,'caseload data'!$B:$B,{"licence","community"},'caseload data'!$C:$C,'community %'!$T$36)),"")</f>
        <v/>
      </c>
      <c r="AA38" s="167" t="str">
        <f>IFERROR(SUM(SUMIFS('caseload data'!K:K,'caseload data'!$C:$C,'community %'!$T$36,'caseload data'!$D:$D,"PO",'caseload data'!$B:$B,{"licence","community"}))/SUM(SUMIFS('caseload data'!K:K,'caseload data'!$B:$B,{"licence","community"},'caseload data'!$C:$C,'community %'!$T$36)),"")</f>
        <v/>
      </c>
      <c r="AB38" s="167" t="str">
        <f>IFERROR(SUM(SUMIFS('caseload data'!L:L,'caseload data'!$C:$C,'community %'!$T$36,'caseload data'!$D:$D,"PO",'caseload data'!$B:$B,{"licence","community"}))/SUM(SUMIFS('caseload data'!L:L,'caseload data'!$B:$B,{"licence","community"},'caseload data'!$C:$C,'community %'!$T$36)),"")</f>
        <v/>
      </c>
      <c r="AC38" s="167" t="str">
        <f>IFERROR(SUM(SUMIFS('caseload data'!M:M,'caseload data'!$C:$C,'community %'!$T$36,'caseload data'!$D:$D,"PO",'caseload data'!$B:$B,{"licence","community"}))/SUM(SUMIFS('caseload data'!M:M,'caseload data'!$B:$B,{"licence","community"},'caseload data'!$C:$C,'community %'!$T$36)),"")</f>
        <v/>
      </c>
      <c r="AD38" s="167" t="str">
        <f>IFERROR(SUM(SUMIFS('caseload data'!N:N,'caseload data'!$C:$C,'community %'!$T$36,'caseload data'!$D:$D,"PO",'caseload data'!$B:$B,{"licence","community"}))/SUM(SUMIFS('caseload data'!N:N,'caseload data'!$B:$B,{"licence","community"},'caseload data'!$C:$C,'community %'!$T$36)),"")</f>
        <v/>
      </c>
      <c r="AE38" s="167" t="str">
        <f>IFERROR(SUM(SUMIFS('caseload data'!O:O,'caseload data'!$C:$C,'community %'!$T$36,'caseload data'!$D:$D,"PO",'caseload data'!$B:$B,{"licence","community"}))/SUM(SUMIFS('caseload data'!O:O,'caseload data'!$B:$B,{"licence","community"},'caseload data'!$C:$C,'community %'!$T$36)),"")</f>
        <v/>
      </c>
      <c r="AF38" s="167" t="str">
        <f>IFERROR(SUM(SUMIFS('caseload data'!P:P,'caseload data'!$C:$C,'community %'!$T$36,'caseload data'!$D:$D,"PO",'caseload data'!$B:$B,{"licence","community"}))/SUM(SUMIFS('caseload data'!P:P,'caseload data'!$B:$B,{"licence","community"},'caseload data'!$C:$C,'community %'!$T$36)),"")</f>
        <v/>
      </c>
      <c r="AG38" s="167" t="str">
        <f>IFERROR(SUM(SUMIFS('caseload data'!Q:Q,'caseload data'!$C:$C,'community %'!$T$36,'caseload data'!$D:$D,"PO",'caseload data'!$B:$B,{"licence","community"}))/SUM(SUMIFS('caseload data'!Q:Q,'caseload data'!$B:$B,{"licence","community"},'caseload data'!$C:$C,'community %'!$T$36)),"")</f>
        <v/>
      </c>
      <c r="AH38" s="167" t="str">
        <f>IFERROR(SUM(SUMIFS('caseload data'!R:R,'caseload data'!$C:$C,'community %'!$T$36,'caseload data'!$D:$D,"PO",'caseload data'!$B:$B,{"licence","community"}))/SUM(SUMIFS('caseload data'!R:R,'caseload data'!$B:$B,{"licence","community"},'caseload data'!$C:$C,'community %'!$T$36)),"")</f>
        <v/>
      </c>
      <c r="AI38" s="167" t="str">
        <f>IFERROR(SUM(SUMIFS('caseload data'!S:S,'caseload data'!$C:$C,'community %'!$T$36,'caseload data'!$D:$D,"PO",'caseload data'!$B:$B,{"licence","community"}))/SUM(SUMIFS('caseload data'!S:S,'caseload data'!$B:$B,{"licence","community"},'caseload data'!$C:$C,'community %'!$T$36)),"")</f>
        <v/>
      </c>
      <c r="AJ38" s="167" t="str">
        <f>IFERROR(SUM(SUMIFS('caseload data'!T:T,'caseload data'!$C:$C,'community %'!$T$36,'caseload data'!$D:$D,"PO",'caseload data'!$B:$B,{"licence","community"}))/SUM(SUMIFS('caseload data'!T:T,'caseload data'!$B:$B,{"licence","community"},'caseload data'!$C:$C,'community %'!$T$36)),"")</f>
        <v/>
      </c>
    </row>
    <row r="39" spans="2:36" x14ac:dyDescent="0.15">
      <c r="B39" s="97" t="s">
        <v>1002</v>
      </c>
      <c r="C39" s="167" t="str">
        <f>IFERROR(SUM(SUMIFS('caseload data'!E:E,'caseload data'!$C:$C,'community %'!$B$36,'caseload data'!$D:$D,"PSO",'caseload data'!$B:$B,{"licence","community"}))/SUM(SUMIFS('caseload data'!E:E,'caseload data'!$B:$B,{"licence","community"},'caseload data'!$C:$C,'community %'!$B$36)),"")</f>
        <v/>
      </c>
      <c r="D39" s="167" t="str">
        <f>IFERROR(SUM(SUMIFS('caseload data'!F:F,'caseload data'!$C:$C,'community %'!$B$36,'caseload data'!$D:$D,"PSO",'caseload data'!$B:$B,{"licence","community"}))/SUM(SUMIFS('caseload data'!F:F,'caseload data'!$B:$B,{"licence","community"},'caseload data'!$C:$C,'community %'!$B$36)),"")</f>
        <v/>
      </c>
      <c r="E39" s="167" t="str">
        <f>IFERROR(SUM(SUMIFS('caseload data'!G:G,'caseload data'!$C:$C,'community %'!$B$36,'caseload data'!$D:$D,"PSO",'caseload data'!$B:$B,{"licence","community"}))/SUM(SUMIFS('caseload data'!G:G,'caseload data'!$B:$B,{"licence","community"},'caseload data'!$C:$C,'community %'!$B$36)),"")</f>
        <v/>
      </c>
      <c r="F39" s="167" t="str">
        <f>IFERROR(SUM(SUMIFS('caseload data'!H:H,'caseload data'!$C:$C,'community %'!$B$36,'caseload data'!$D:$D,"PSO",'caseload data'!$B:$B,{"licence","community"}))/SUM(SUMIFS('caseload data'!H:H,'caseload data'!$B:$B,{"licence","community"},'caseload data'!$C:$C,'community %'!$B$36)),"")</f>
        <v/>
      </c>
      <c r="G39" s="167" t="str">
        <f>IFERROR(SUM(SUMIFS('caseload data'!I:I,'caseload data'!$C:$C,'community %'!$B$36,'caseload data'!$D:$D,"PSO",'caseload data'!$B:$B,{"licence","community"}))/SUM(SUMIFS('caseload data'!I:I,'caseload data'!$B:$B,{"licence","community"},'caseload data'!$C:$C,'community %'!$B$36)),"")</f>
        <v/>
      </c>
      <c r="H39" s="167" t="str">
        <f>IFERROR(SUM(SUMIFS('caseload data'!J:J,'caseload data'!$C:$C,'community %'!$B$36,'caseload data'!$D:$D,"PSO",'caseload data'!$B:$B,{"licence","community"}))/SUM(SUMIFS('caseload data'!J:J,'caseload data'!$B:$B,{"licence","community"},'caseload data'!$C:$C,'community %'!$B$36)),"")</f>
        <v/>
      </c>
      <c r="I39" s="167" t="str">
        <f>IFERROR(SUM(SUMIFS('caseload data'!K:K,'caseload data'!$C:$C,'community %'!$B$36,'caseload data'!$D:$D,"PSO",'caseload data'!$B:$B,{"licence","community"}))/SUM(SUMIFS('caseload data'!K:K,'caseload data'!$B:$B,{"licence","community"},'caseload data'!$C:$C,'community %'!$B$36)),"")</f>
        <v/>
      </c>
      <c r="J39" s="167" t="str">
        <f>IFERROR(SUM(SUMIFS('caseload data'!L:L,'caseload data'!$C:$C,'community %'!$B$36,'caseload data'!$D:$D,"PSO",'caseload data'!$B:$B,{"licence","community"}))/SUM(SUMIFS('caseload data'!L:L,'caseload data'!$B:$B,{"licence","community"},'caseload data'!$C:$C,'community %'!$B$36)),"")</f>
        <v/>
      </c>
      <c r="K39" s="167" t="str">
        <f>IFERROR(SUM(SUMIFS('caseload data'!M:M,'caseload data'!$C:$C,'community %'!$B$36,'caseload data'!$D:$D,"PSO",'caseload data'!$B:$B,{"licence","community"}))/SUM(SUMIFS('caseload data'!M:M,'caseload data'!$B:$B,{"licence","community"},'caseload data'!$C:$C,'community %'!$B$36)),"")</f>
        <v/>
      </c>
      <c r="L39" s="167" t="str">
        <f>IFERROR(SUM(SUMIFS('caseload data'!N:N,'caseload data'!$C:$C,'community %'!$B$36,'caseload data'!$D:$D,"PSO",'caseload data'!$B:$B,{"licence","community"}))/SUM(SUMIFS('caseload data'!N:N,'caseload data'!$B:$B,{"licence","community"},'caseload data'!$C:$C,'community %'!$B$36)),"")</f>
        <v/>
      </c>
      <c r="M39" s="167" t="str">
        <f>IFERROR(SUM(SUMIFS('caseload data'!O:O,'caseload data'!$C:$C,'community %'!$B$36,'caseload data'!$D:$D,"PSO",'caseload data'!$B:$B,{"licence","community"}))/SUM(SUMIFS('caseload data'!O:O,'caseload data'!$B:$B,{"licence","community"},'caseload data'!$C:$C,'community %'!$B$36)),"")</f>
        <v/>
      </c>
      <c r="N39" s="167" t="str">
        <f>IFERROR(SUM(SUMIFS('caseload data'!P:P,'caseload data'!$C:$C,'community %'!$B$36,'caseload data'!$D:$D,"PSO",'caseload data'!$B:$B,{"licence","community"}))/SUM(SUMIFS('caseload data'!P:P,'caseload data'!$B:$B,{"licence","community"},'caseload data'!$C:$C,'community %'!$B$36)),"")</f>
        <v/>
      </c>
      <c r="O39" s="167" t="str">
        <f>IFERROR(SUM(SUMIFS('caseload data'!Q:Q,'caseload data'!$C:$C,'community %'!$B$36,'caseload data'!$D:$D,"PSO",'caseload data'!$B:$B,{"licence","community"}))/SUM(SUMIFS('caseload data'!Q:Q,'caseload data'!$B:$B,{"licence","community"},'caseload data'!$C:$C,'community %'!$B$36)),"")</f>
        <v/>
      </c>
      <c r="P39" s="167" t="str">
        <f>IFERROR(SUM(SUMIFS('caseload data'!R:R,'caseload data'!$C:$C,'community %'!$B$36,'caseload data'!$D:$D,"PSO",'caseload data'!$B:$B,{"licence","community"}))/SUM(SUMIFS('caseload data'!R:R,'caseload data'!$B:$B,{"licence","community"},'caseload data'!$C:$C,'community %'!$B$36)),"")</f>
        <v/>
      </c>
      <c r="Q39" s="167" t="str">
        <f>IFERROR(SUM(SUMIFS('caseload data'!S:S,'caseload data'!$C:$C,'community %'!$B$36,'caseload data'!$D:$D,"PSO",'caseload data'!$B:$B,{"licence","community"}))/SUM(SUMIFS('caseload data'!S:S,'caseload data'!$B:$B,{"licence","community"},'caseload data'!$C:$C,'community %'!$B$36)),"")</f>
        <v/>
      </c>
      <c r="R39" s="167" t="str">
        <f>IFERROR(SUM(SUMIFS('caseload data'!T:T,'caseload data'!$C:$C,'community %'!$B$36,'caseload data'!$D:$D,"PSO",'caseload data'!$B:$B,{"licence","community"}))/SUM(SUMIFS('caseload data'!T:T,'caseload data'!$B:$B,{"licence","community"},'caseload data'!$C:$C,'community %'!$B$36)),"")</f>
        <v/>
      </c>
      <c r="S39" s="64"/>
      <c r="T39" s="97" t="s">
        <v>1002</v>
      </c>
      <c r="U39" s="167" t="str">
        <f>IFERROR(SUM(SUMIFS('caseload data'!E:E,'caseload data'!$C:$C,'community %'!$T$36,'caseload data'!$D:$D,"PSO",'caseload data'!$B:$B,{"licence","community"}))/SUM(SUMIFS('caseload data'!E:E,'caseload data'!$B:$B,{"licence","community"},'caseload data'!$C:$C,'community %'!$T$36)),"")</f>
        <v/>
      </c>
      <c r="V39" s="167" t="str">
        <f>IFERROR(SUM(SUMIFS('caseload data'!F:F,'caseload data'!$C:$C,'community %'!$T$36,'caseload data'!$D:$D,"PSO",'caseload data'!$B:$B,{"licence","community"}))/SUM(SUMIFS('caseload data'!F:F,'caseload data'!$B:$B,{"licence","community"},'caseload data'!$C:$C,'community %'!$T$36)),"")</f>
        <v/>
      </c>
      <c r="W39" s="167" t="str">
        <f>IFERROR(SUM(SUMIFS('caseload data'!G:G,'caseload data'!$C:$C,'community %'!$T$36,'caseload data'!$D:$D,"PSO",'caseload data'!$B:$B,{"licence","community"}))/SUM(SUMIFS('caseload data'!G:G,'caseload data'!$B:$B,{"licence","community"},'caseload data'!$C:$C,'community %'!$T$36)),"")</f>
        <v/>
      </c>
      <c r="X39" s="167" t="str">
        <f>IFERROR(SUM(SUMIFS('caseload data'!H:H,'caseload data'!$C:$C,'community %'!$T$36,'caseload data'!$D:$D,"PSO",'caseload data'!$B:$B,{"licence","community"}))/SUM(SUMIFS('caseload data'!H:H,'caseload data'!$B:$B,{"licence","community"},'caseload data'!$C:$C,'community %'!$T$36)),"")</f>
        <v/>
      </c>
      <c r="Y39" s="167" t="str">
        <f>IFERROR(SUM(SUMIFS('caseload data'!I:I,'caseload data'!$C:$C,'community %'!$T$36,'caseload data'!$D:$D,"PSO",'caseload data'!$B:$B,{"licence","community"}))/SUM(SUMIFS('caseload data'!I:I,'caseload data'!$B:$B,{"licence","community"},'caseload data'!$C:$C,'community %'!$T$36)),"")</f>
        <v/>
      </c>
      <c r="Z39" s="167" t="str">
        <f>IFERROR(SUM(SUMIFS('caseload data'!J:J,'caseload data'!$C:$C,'community %'!$T$36,'caseload data'!$D:$D,"PSO",'caseload data'!$B:$B,{"licence","community"}))/SUM(SUMIFS('caseload data'!J:J,'caseload data'!$B:$B,{"licence","community"},'caseload data'!$C:$C,'community %'!$T$36)),"")</f>
        <v/>
      </c>
      <c r="AA39" s="167" t="str">
        <f>IFERROR(SUM(SUMIFS('caseload data'!K:K,'caseload data'!$C:$C,'community %'!$T$36,'caseload data'!$D:$D,"PSO",'caseload data'!$B:$B,{"licence","community"}))/SUM(SUMIFS('caseload data'!K:K,'caseload data'!$B:$B,{"licence","community"},'caseload data'!$C:$C,'community %'!$T$36)),"")</f>
        <v/>
      </c>
      <c r="AB39" s="167" t="str">
        <f>IFERROR(SUM(SUMIFS('caseload data'!L:L,'caseload data'!$C:$C,'community %'!$T$36,'caseload data'!$D:$D,"PSO",'caseload data'!$B:$B,{"licence","community"}))/SUM(SUMIFS('caseload data'!L:L,'caseload data'!$B:$B,{"licence","community"},'caseload data'!$C:$C,'community %'!$T$36)),"")</f>
        <v/>
      </c>
      <c r="AC39" s="167" t="str">
        <f>IFERROR(SUM(SUMIFS('caseload data'!M:M,'caseload data'!$C:$C,'community %'!$T$36,'caseload data'!$D:$D,"PSO",'caseload data'!$B:$B,{"licence","community"}))/SUM(SUMIFS('caseload data'!M:M,'caseload data'!$B:$B,{"licence","community"},'caseload data'!$C:$C,'community %'!$T$36)),"")</f>
        <v/>
      </c>
      <c r="AD39" s="167" t="str">
        <f>IFERROR(SUM(SUMIFS('caseload data'!N:N,'caseload data'!$C:$C,'community %'!$T$36,'caseload data'!$D:$D,"PSO",'caseload data'!$B:$B,{"licence","community"}))/SUM(SUMIFS('caseload data'!N:N,'caseload data'!$B:$B,{"licence","community"},'caseload data'!$C:$C,'community %'!$T$36)),"")</f>
        <v/>
      </c>
      <c r="AE39" s="167" t="str">
        <f>IFERROR(SUM(SUMIFS('caseload data'!O:O,'caseload data'!$C:$C,'community %'!$T$36,'caseload data'!$D:$D,"PSO",'caseload data'!$B:$B,{"licence","community"}))/SUM(SUMIFS('caseload data'!O:O,'caseload data'!$B:$B,{"licence","community"},'caseload data'!$C:$C,'community %'!$T$36)),"")</f>
        <v/>
      </c>
      <c r="AF39" s="167" t="str">
        <f>IFERROR(SUM(SUMIFS('caseload data'!P:P,'caseload data'!$C:$C,'community %'!$T$36,'caseload data'!$D:$D,"PSO",'caseload data'!$B:$B,{"licence","community"}))/SUM(SUMIFS('caseload data'!P:P,'caseload data'!$B:$B,{"licence","community"},'caseload data'!$C:$C,'community %'!$T$36)),"")</f>
        <v/>
      </c>
      <c r="AG39" s="167" t="str">
        <f>IFERROR(SUM(SUMIFS('caseload data'!Q:Q,'caseload data'!$C:$C,'community %'!$T$36,'caseload data'!$D:$D,"PSO",'caseload data'!$B:$B,{"licence","community"}))/SUM(SUMIFS('caseload data'!Q:Q,'caseload data'!$B:$B,{"licence","community"},'caseload data'!$C:$C,'community %'!$T$36)),"")</f>
        <v/>
      </c>
      <c r="AH39" s="167" t="str">
        <f>IFERROR(SUM(SUMIFS('caseload data'!R:R,'caseload data'!$C:$C,'community %'!$T$36,'caseload data'!$D:$D,"PSO",'caseload data'!$B:$B,{"licence","community"}))/SUM(SUMIFS('caseload data'!R:R,'caseload data'!$B:$B,{"licence","community"},'caseload data'!$C:$C,'community %'!$T$36)),"")</f>
        <v/>
      </c>
      <c r="AI39" s="167" t="str">
        <f>IFERROR(SUM(SUMIFS('caseload data'!S:S,'caseload data'!$C:$C,'community %'!$T$36,'caseload data'!$D:$D,"PSO",'caseload data'!$B:$B,{"licence","community"}))/SUM(SUMIFS('caseload data'!S:S,'caseload data'!$B:$B,{"licence","community"},'caseload data'!$C:$C,'community %'!$T$36)),"")</f>
        <v/>
      </c>
      <c r="AJ39" s="167" t="str">
        <f>IFERROR(SUM(SUMIFS('caseload data'!T:T,'caseload data'!$C:$C,'community %'!$T$36,'caseload data'!$D:$D,"PSO",'caseload data'!$B:$B,{"licence","community"}))/SUM(SUMIFS('caseload data'!T:T,'caseload data'!$B:$B,{"licence","community"},'caseload data'!$C:$C,'community %'!$T$36)),"")</f>
        <v/>
      </c>
    </row>
    <row r="40" spans="2:36" x14ac:dyDescent="0.15">
      <c r="B40" s="97" t="s">
        <v>1003</v>
      </c>
      <c r="C40" s="167" t="str">
        <f>IFERROR(SUM(SUMIFS('caseload data'!E:E,'caseload data'!$C:$C,'community %'!$B$36,'caseload data'!$D:$D,"TPO",'caseload data'!$B:$B,{"licence","community"}))/SUM(SUMIFS('caseload data'!E:E,'caseload data'!$B:$B,{"licence","community"},'caseload data'!$C:$C,'community %'!$B$36)),"")</f>
        <v/>
      </c>
      <c r="D40" s="167" t="str">
        <f>IFERROR(SUM(SUMIFS('caseload data'!F:F,'caseload data'!$C:$C,'community %'!$B$36,'caseload data'!$D:$D,"TPO",'caseload data'!$B:$B,{"licence","community"}))/SUM(SUMIFS('caseload data'!F:F,'caseload data'!$B:$B,{"licence","community"},'caseload data'!$C:$C,'community %'!$B$36)),"")</f>
        <v/>
      </c>
      <c r="E40" s="167" t="str">
        <f>IFERROR(SUM(SUMIFS('caseload data'!G:G,'caseload data'!$C:$C,'community %'!$B$36,'caseload data'!$D:$D,"TPO",'caseload data'!$B:$B,{"licence","community"}))/SUM(SUMIFS('caseload data'!G:G,'caseload data'!$B:$B,{"licence","community"},'caseload data'!$C:$C,'community %'!$B$36)),"")</f>
        <v/>
      </c>
      <c r="F40" s="167" t="str">
        <f>IFERROR(SUM(SUMIFS('caseload data'!H:H,'caseload data'!$C:$C,'community %'!$B$36,'caseload data'!$D:$D,"TPO",'caseload data'!$B:$B,{"licence","community"}))/SUM(SUMIFS('caseload data'!H:H,'caseload data'!$B:$B,{"licence","community"},'caseload data'!$C:$C,'community %'!$B$36)),"")</f>
        <v/>
      </c>
      <c r="G40" s="167" t="str">
        <f>IFERROR(SUM(SUMIFS('caseload data'!I:I,'caseload data'!$C:$C,'community %'!$B$36,'caseload data'!$D:$D,"TPO",'caseload data'!$B:$B,{"licence","community"}))/SUM(SUMIFS('caseload data'!I:I,'caseload data'!$B:$B,{"licence","community"},'caseload data'!$C:$C,'community %'!$B$36)),"")</f>
        <v/>
      </c>
      <c r="H40" s="167" t="str">
        <f>IFERROR(SUM(SUMIFS('caseload data'!J:J,'caseload data'!$C:$C,'community %'!$B$36,'caseload data'!$D:$D,"TPO",'caseload data'!$B:$B,{"licence","community"}))/SUM(SUMIFS('caseload data'!J:J,'caseload data'!$B:$B,{"licence","community"},'caseload data'!$C:$C,'community %'!$B$36)),"")</f>
        <v/>
      </c>
      <c r="I40" s="167" t="str">
        <f>IFERROR(SUM(SUMIFS('caseload data'!K:K,'caseload data'!$C:$C,'community %'!$B$36,'caseload data'!$D:$D,"TPO",'caseload data'!$B:$B,{"licence","community"}))/SUM(SUMIFS('caseload data'!K:K,'caseload data'!$B:$B,{"licence","community"},'caseload data'!$C:$C,'community %'!$B$36)),"")</f>
        <v/>
      </c>
      <c r="J40" s="167" t="str">
        <f>IFERROR(SUM(SUMIFS('caseload data'!L:L,'caseload data'!$C:$C,'community %'!$B$36,'caseload data'!$D:$D,"TPO",'caseload data'!$B:$B,{"licence","community"}))/SUM(SUMIFS('caseload data'!L:L,'caseload data'!$B:$B,{"licence","community"},'caseload data'!$C:$C,'community %'!$B$36)),"")</f>
        <v/>
      </c>
      <c r="K40" s="167" t="str">
        <f>IFERROR(SUM(SUMIFS('caseload data'!M:M,'caseload data'!$C:$C,'community %'!$B$36,'caseload data'!$D:$D,"TPO",'caseload data'!$B:$B,{"licence","community"}))/SUM(SUMIFS('caseload data'!M:M,'caseload data'!$B:$B,{"licence","community"},'caseload data'!$C:$C,'community %'!$B$36)),"")</f>
        <v/>
      </c>
      <c r="L40" s="167" t="str">
        <f>IFERROR(SUM(SUMIFS('caseload data'!N:N,'caseload data'!$C:$C,'community %'!$B$36,'caseload data'!$D:$D,"TPO",'caseload data'!$B:$B,{"licence","community"}))/SUM(SUMIFS('caseload data'!N:N,'caseload data'!$B:$B,{"licence","community"},'caseload data'!$C:$C,'community %'!$B$36)),"")</f>
        <v/>
      </c>
      <c r="M40" s="167" t="str">
        <f>IFERROR(SUM(SUMIFS('caseload data'!O:O,'caseload data'!$C:$C,'community %'!$B$36,'caseload data'!$D:$D,"TPO",'caseload data'!$B:$B,{"licence","community"}))/SUM(SUMIFS('caseload data'!O:O,'caseload data'!$B:$B,{"licence","community"},'caseload data'!$C:$C,'community %'!$B$36)),"")</f>
        <v/>
      </c>
      <c r="N40" s="167" t="str">
        <f>IFERROR(SUM(SUMIFS('caseload data'!P:P,'caseload data'!$C:$C,'community %'!$B$36,'caseload data'!$D:$D,"TPO",'caseload data'!$B:$B,{"licence","community"}))/SUM(SUMIFS('caseload data'!P:P,'caseload data'!$B:$B,{"licence","community"},'caseload data'!$C:$C,'community %'!$B$36)),"")</f>
        <v/>
      </c>
      <c r="O40" s="167" t="str">
        <f>IFERROR(SUM(SUMIFS('caseload data'!Q:Q,'caseload data'!$C:$C,'community %'!$B$36,'caseload data'!$D:$D,"TPO",'caseload data'!$B:$B,{"licence","community"}))/SUM(SUMIFS('caseload data'!Q:Q,'caseload data'!$B:$B,{"licence","community"},'caseload data'!$C:$C,'community %'!$B$36)),"")</f>
        <v/>
      </c>
      <c r="P40" s="167" t="str">
        <f>IFERROR(SUM(SUMIFS('caseload data'!R:R,'caseload data'!$C:$C,'community %'!$B$36,'caseload data'!$D:$D,"TPO",'caseload data'!$B:$B,{"licence","community"}))/SUM(SUMIFS('caseload data'!R:R,'caseload data'!$B:$B,{"licence","community"},'caseload data'!$C:$C,'community %'!$B$36)),"")</f>
        <v/>
      </c>
      <c r="Q40" s="167" t="str">
        <f>IFERROR(SUM(SUMIFS('caseload data'!S:S,'caseload data'!$C:$C,'community %'!$B$36,'caseload data'!$D:$D,"TPO",'caseload data'!$B:$B,{"licence","community"}))/SUM(SUMIFS('caseload data'!S:S,'caseload data'!$B:$B,{"licence","community"},'caseload data'!$C:$C,'community %'!$B$36)),"")</f>
        <v/>
      </c>
      <c r="R40" s="167" t="str">
        <f>IFERROR(SUM(SUMIFS('caseload data'!T:T,'caseload data'!$C:$C,'community %'!$B$36,'caseload data'!$D:$D,"TPO",'caseload data'!$B:$B,{"licence","community"}))/SUM(SUMIFS('caseload data'!T:T,'caseload data'!$B:$B,{"licence","community"},'caseload data'!$C:$C,'community %'!$B$36)),"")</f>
        <v/>
      </c>
      <c r="S40" s="64"/>
      <c r="T40" s="97" t="s">
        <v>1003</v>
      </c>
      <c r="U40" s="167" t="str">
        <f>IFERROR(SUM(SUMIFS('caseload data'!E:E,'caseload data'!$C:$C,'community %'!$T$36,'caseload data'!$D:$D,"TPO",'caseload data'!$B:$B,{"licence","community"}))/SUM(SUMIFS('caseload data'!E:E,'caseload data'!$B:$B,{"licence","community"},'caseload data'!$C:$C,'community %'!$T$36)),"")</f>
        <v/>
      </c>
      <c r="V40" s="167" t="str">
        <f>IFERROR(SUM(SUMIFS('caseload data'!F:F,'caseload data'!$C:$C,'community %'!$T$36,'caseload data'!$D:$D,"TPO",'caseload data'!$B:$B,{"licence","community"}))/SUM(SUMIFS('caseload data'!F:F,'caseload data'!$B:$B,{"licence","community"},'caseload data'!$C:$C,'community %'!$T$36)),"")</f>
        <v/>
      </c>
      <c r="W40" s="167" t="str">
        <f>IFERROR(SUM(SUMIFS('caseload data'!G:G,'caseload data'!$C:$C,'community %'!$T$36,'caseload data'!$D:$D,"TPO",'caseload data'!$B:$B,{"licence","community"}))/SUM(SUMIFS('caseload data'!G:G,'caseload data'!$B:$B,{"licence","community"},'caseload data'!$C:$C,'community %'!$T$36)),"")</f>
        <v/>
      </c>
      <c r="X40" s="167" t="str">
        <f>IFERROR(SUM(SUMIFS('caseload data'!H:H,'caseload data'!$C:$C,'community %'!$T$36,'caseload data'!$D:$D,"TPO",'caseload data'!$B:$B,{"licence","community"}))/SUM(SUMIFS('caseload data'!H:H,'caseload data'!$B:$B,{"licence","community"},'caseload data'!$C:$C,'community %'!$T$36)),"")</f>
        <v/>
      </c>
      <c r="Y40" s="167" t="str">
        <f>IFERROR(SUM(SUMIFS('caseload data'!I:I,'caseload data'!$C:$C,'community %'!$T$36,'caseload data'!$D:$D,"TPO",'caseload data'!$B:$B,{"licence","community"}))/SUM(SUMIFS('caseload data'!I:I,'caseload data'!$B:$B,{"licence","community"},'caseload data'!$C:$C,'community %'!$T$36)),"")</f>
        <v/>
      </c>
      <c r="Z40" s="167" t="str">
        <f>IFERROR(SUM(SUMIFS('caseload data'!J:J,'caseload data'!$C:$C,'community %'!$T$36,'caseload data'!$D:$D,"TPO",'caseload data'!$B:$B,{"licence","community"}))/SUM(SUMIFS('caseload data'!J:J,'caseload data'!$B:$B,{"licence","community"},'caseload data'!$C:$C,'community %'!$T$36)),"")</f>
        <v/>
      </c>
      <c r="AA40" s="167" t="str">
        <f>IFERROR(SUM(SUMIFS('caseload data'!K:K,'caseload data'!$C:$C,'community %'!$T$36,'caseload data'!$D:$D,"TPO",'caseload data'!$B:$B,{"licence","community"}))/SUM(SUMIFS('caseload data'!K:K,'caseload data'!$B:$B,{"licence","community"},'caseload data'!$C:$C,'community %'!$T$36)),"")</f>
        <v/>
      </c>
      <c r="AB40" s="167" t="str">
        <f>IFERROR(SUM(SUMIFS('caseload data'!L:L,'caseload data'!$C:$C,'community %'!$T$36,'caseload data'!$D:$D,"TPO",'caseload data'!$B:$B,{"licence","community"}))/SUM(SUMIFS('caseload data'!L:L,'caseload data'!$B:$B,{"licence","community"},'caseload data'!$C:$C,'community %'!$T$36)),"")</f>
        <v/>
      </c>
      <c r="AC40" s="167" t="str">
        <f>IFERROR(SUM(SUMIFS('caseload data'!M:M,'caseload data'!$C:$C,'community %'!$T$36,'caseload data'!$D:$D,"TPO",'caseload data'!$B:$B,{"licence","community"}))/SUM(SUMIFS('caseload data'!M:M,'caseload data'!$B:$B,{"licence","community"},'caseload data'!$C:$C,'community %'!$T$36)),"")</f>
        <v/>
      </c>
      <c r="AD40" s="167" t="str">
        <f>IFERROR(SUM(SUMIFS('caseload data'!N:N,'caseload data'!$C:$C,'community %'!$T$36,'caseload data'!$D:$D,"TPO",'caseload data'!$B:$B,{"licence","community"}))/SUM(SUMIFS('caseload data'!N:N,'caseload data'!$B:$B,{"licence","community"},'caseload data'!$C:$C,'community %'!$T$36)),"")</f>
        <v/>
      </c>
      <c r="AE40" s="167" t="str">
        <f>IFERROR(SUM(SUMIFS('caseload data'!O:O,'caseload data'!$C:$C,'community %'!$T$36,'caseload data'!$D:$D,"TPO",'caseload data'!$B:$B,{"licence","community"}))/SUM(SUMIFS('caseload data'!O:O,'caseload data'!$B:$B,{"licence","community"},'caseload data'!$C:$C,'community %'!$T$36)),"")</f>
        <v/>
      </c>
      <c r="AF40" s="167" t="str">
        <f>IFERROR(SUM(SUMIFS('caseload data'!P:P,'caseload data'!$C:$C,'community %'!$T$36,'caseload data'!$D:$D,"TPO",'caseload data'!$B:$B,{"licence","community"}))/SUM(SUMIFS('caseload data'!P:P,'caseload data'!$B:$B,{"licence","community"},'caseload data'!$C:$C,'community %'!$T$36)),"")</f>
        <v/>
      </c>
      <c r="AG40" s="167" t="str">
        <f>IFERROR(SUM(SUMIFS('caseload data'!Q:Q,'caseload data'!$C:$C,'community %'!$T$36,'caseload data'!$D:$D,"TPO",'caseload data'!$B:$B,{"licence","community"}))/SUM(SUMIFS('caseload data'!Q:Q,'caseload data'!$B:$B,{"licence","community"},'caseload data'!$C:$C,'community %'!$T$36)),"")</f>
        <v/>
      </c>
      <c r="AH40" s="167" t="str">
        <f>IFERROR(SUM(SUMIFS('caseload data'!R:R,'caseload data'!$C:$C,'community %'!$T$36,'caseload data'!$D:$D,"TPO",'caseload data'!$B:$B,{"licence","community"}))/SUM(SUMIFS('caseload data'!R:R,'caseload data'!$B:$B,{"licence","community"},'caseload data'!$C:$C,'community %'!$T$36)),"")</f>
        <v/>
      </c>
      <c r="AI40" s="167" t="str">
        <f>IFERROR(SUM(SUMIFS('caseload data'!S:S,'caseload data'!$C:$C,'community %'!$T$36,'caseload data'!$D:$D,"TPO",'caseload data'!$B:$B,{"licence","community"}))/SUM(SUMIFS('caseload data'!S:S,'caseload data'!$B:$B,{"licence","community"},'caseload data'!$C:$C,'community %'!$T$36)),"")</f>
        <v/>
      </c>
      <c r="AJ40" s="167" t="str">
        <f>IFERROR(SUM(SUMIFS('caseload data'!T:T,'caseload data'!$C:$C,'community %'!$T$36,'caseload data'!$D:$D,"TPO",'caseload data'!$B:$B,{"licence","community"}))/SUM(SUMIFS('caseload data'!T:T,'caseload data'!$B:$B,{"licence","community"},'caseload data'!$C:$C,'community %'!$T$36)),"")</f>
        <v/>
      </c>
    </row>
    <row r="41" spans="2:36" x14ac:dyDescent="0.15">
      <c r="B41" s="98" t="s">
        <v>1004</v>
      </c>
      <c r="C41" s="167" t="str">
        <f>IFERROR(SUM(SUMIFS('caseload data'!E:E,'caseload data'!$C:$C,'community %'!$B$36,'caseload data'!$D:$D,"SPO",'caseload data'!$B:$B,{"licence","community"}))/SUM(SUMIFS('caseload data'!E:E,'caseload data'!$B:$B,{"licence","community"},'caseload data'!$C:$C,'community %'!$B$36)),"")</f>
        <v/>
      </c>
      <c r="D41" s="167" t="str">
        <f>IFERROR(SUM(SUMIFS('caseload data'!F:F,'caseload data'!$C:$C,'community %'!$B$36,'caseload data'!$D:$D,"SPO",'caseload data'!$B:$B,{"licence","community"}))/SUM(SUMIFS('caseload data'!F:F,'caseload data'!$B:$B,{"licence","community"},'caseload data'!$C:$C,'community %'!$B$36)),"")</f>
        <v/>
      </c>
      <c r="E41" s="167" t="str">
        <f>IFERROR(SUM(SUMIFS('caseload data'!G:G,'caseload data'!$C:$C,'community %'!$B$36,'caseload data'!$D:$D,"SPO",'caseload data'!$B:$B,{"licence","community"}))/SUM(SUMIFS('caseload data'!G:G,'caseload data'!$B:$B,{"licence","community"},'caseload data'!$C:$C,'community %'!$B$36)),"")</f>
        <v/>
      </c>
      <c r="F41" s="167" t="str">
        <f>IFERROR(SUM(SUMIFS('caseload data'!H:H,'caseload data'!$C:$C,'community %'!$B$36,'caseload data'!$D:$D,"SPO",'caseload data'!$B:$B,{"licence","community"}))/SUM(SUMIFS('caseload data'!H:H,'caseload data'!$B:$B,{"licence","community"},'caseload data'!$C:$C,'community %'!$B$36)),"")</f>
        <v/>
      </c>
      <c r="G41" s="167" t="str">
        <f>IFERROR(SUM(SUMIFS('caseload data'!I:I,'caseload data'!$C:$C,'community %'!$B$36,'caseload data'!$D:$D,"SPO",'caseload data'!$B:$B,{"licence","community"}))/SUM(SUMIFS('caseload data'!I:I,'caseload data'!$B:$B,{"licence","community"},'caseload data'!$C:$C,'community %'!$B$36)),"")</f>
        <v/>
      </c>
      <c r="H41" s="167" t="str">
        <f>IFERROR(SUM(SUMIFS('caseload data'!J:J,'caseload data'!$C:$C,'community %'!$B$36,'caseload data'!$D:$D,"SPO",'caseload data'!$B:$B,{"licence","community"}))/SUM(SUMIFS('caseload data'!J:J,'caseload data'!$B:$B,{"licence","community"},'caseload data'!$C:$C,'community %'!$B$36)),"")</f>
        <v/>
      </c>
      <c r="I41" s="167" t="str">
        <f>IFERROR(SUM(SUMIFS('caseload data'!K:K,'caseload data'!$C:$C,'community %'!$B$36,'caseload data'!$D:$D,"SPO",'caseload data'!$B:$B,{"licence","community"}))/SUM(SUMIFS('caseload data'!K:K,'caseload data'!$B:$B,{"licence","community"},'caseload data'!$C:$C,'community %'!$B$36)),"")</f>
        <v/>
      </c>
      <c r="J41" s="167" t="str">
        <f>IFERROR(SUM(SUMIFS('caseload data'!L:L,'caseload data'!$C:$C,'community %'!$B$36,'caseload data'!$D:$D,"SPO",'caseload data'!$B:$B,{"licence","community"}))/SUM(SUMIFS('caseload data'!L:L,'caseload data'!$B:$B,{"licence","community"},'caseload data'!$C:$C,'community %'!$B$36)),"")</f>
        <v/>
      </c>
      <c r="K41" s="167" t="str">
        <f>IFERROR(SUM(SUMIFS('caseload data'!M:M,'caseload data'!$C:$C,'community %'!$B$36,'caseload data'!$D:$D,"SPO",'caseload data'!$B:$B,{"licence","community"}))/SUM(SUMIFS('caseload data'!M:M,'caseload data'!$B:$B,{"licence","community"},'caseload data'!$C:$C,'community %'!$B$36)),"")</f>
        <v/>
      </c>
      <c r="L41" s="167" t="str">
        <f>IFERROR(SUM(SUMIFS('caseload data'!N:N,'caseload data'!$C:$C,'community %'!$B$36,'caseload data'!$D:$D,"SPO",'caseload data'!$B:$B,{"licence","community"}))/SUM(SUMIFS('caseload data'!N:N,'caseload data'!$B:$B,{"licence","community"},'caseload data'!$C:$C,'community %'!$B$36)),"")</f>
        <v/>
      </c>
      <c r="M41" s="167" t="str">
        <f>IFERROR(SUM(SUMIFS('caseload data'!O:O,'caseload data'!$C:$C,'community %'!$B$36,'caseload data'!$D:$D,"SPO",'caseload data'!$B:$B,{"licence","community"}))/SUM(SUMIFS('caseload data'!O:O,'caseload data'!$B:$B,{"licence","community"},'caseload data'!$C:$C,'community %'!$B$36)),"")</f>
        <v/>
      </c>
      <c r="N41" s="167" t="str">
        <f>IFERROR(SUM(SUMIFS('caseload data'!P:P,'caseload data'!$C:$C,'community %'!$B$36,'caseload data'!$D:$D,"SPO",'caseload data'!$B:$B,{"licence","community"}))/SUM(SUMIFS('caseload data'!P:P,'caseload data'!$B:$B,{"licence","community"},'caseload data'!$C:$C,'community %'!$B$36)),"")</f>
        <v/>
      </c>
      <c r="O41" s="167" t="str">
        <f>IFERROR(SUM(SUMIFS('caseload data'!Q:Q,'caseload data'!$C:$C,'community %'!$B$36,'caseload data'!$D:$D,"SPO",'caseload data'!$B:$B,{"licence","community"}))/SUM(SUMIFS('caseload data'!Q:Q,'caseload data'!$B:$B,{"licence","community"},'caseload data'!$C:$C,'community %'!$B$36)),"")</f>
        <v/>
      </c>
      <c r="P41" s="167" t="str">
        <f>IFERROR(SUM(SUMIFS('caseload data'!R:R,'caseload data'!$C:$C,'community %'!$B$36,'caseload data'!$D:$D,"SPO",'caseload data'!$B:$B,{"licence","community"}))/SUM(SUMIFS('caseload data'!R:R,'caseload data'!$B:$B,{"licence","community"},'caseload data'!$C:$C,'community %'!$B$36)),"")</f>
        <v/>
      </c>
      <c r="Q41" s="167" t="str">
        <f>IFERROR(SUM(SUMIFS('caseload data'!S:S,'caseload data'!$C:$C,'community %'!$B$36,'caseload data'!$D:$D,"SPO",'caseload data'!$B:$B,{"licence","community"}))/SUM(SUMIFS('caseload data'!S:S,'caseload data'!$B:$B,{"licence","community"},'caseload data'!$C:$C,'community %'!$B$36)),"")</f>
        <v/>
      </c>
      <c r="R41" s="167" t="str">
        <f>IFERROR(SUM(SUMIFS('caseload data'!T:T,'caseload data'!$C:$C,'community %'!$B$36,'caseload data'!$D:$D,"SPO",'caseload data'!$B:$B,{"licence","community"}))/SUM(SUMIFS('caseload data'!T:T,'caseload data'!$B:$B,{"licence","community"},'caseload data'!$C:$C,'community %'!$B$36)),"")</f>
        <v/>
      </c>
      <c r="S41" s="64"/>
      <c r="T41" s="98" t="s">
        <v>1004</v>
      </c>
      <c r="U41" s="167" t="str">
        <f>IFERROR(SUM(SUMIFS('caseload data'!E:E,'caseload data'!$C:$C,'community %'!$T$36,'caseload data'!$D:$D,"SPO",'caseload data'!$B:$B,{"licence","community"}))/SUM(SUMIFS('caseload data'!E:E,'caseload data'!$B:$B,{"licence","community"},'caseload data'!$C:$C,'community %'!$T$36)),"")</f>
        <v/>
      </c>
      <c r="V41" s="167" t="str">
        <f>IFERROR(SUM(SUMIFS('caseload data'!F:F,'caseload data'!$C:$C,'community %'!$T$36,'caseload data'!$D:$D,"SPO",'caseload data'!$B:$B,{"licence","community"}))/SUM(SUMIFS('caseload data'!F:F,'caseload data'!$B:$B,{"licence","community"},'caseload data'!$C:$C,'community %'!$T$36)),"")</f>
        <v/>
      </c>
      <c r="W41" s="167" t="str">
        <f>IFERROR(SUM(SUMIFS('caseload data'!G:G,'caseload data'!$C:$C,'community %'!$T$36,'caseload data'!$D:$D,"SPO",'caseload data'!$B:$B,{"licence","community"}))/SUM(SUMIFS('caseload data'!G:G,'caseload data'!$B:$B,{"licence","community"},'caseload data'!$C:$C,'community %'!$T$36)),"")</f>
        <v/>
      </c>
      <c r="X41" s="167" t="str">
        <f>IFERROR(SUM(SUMIFS('caseload data'!H:H,'caseload data'!$C:$C,'community %'!$T$36,'caseload data'!$D:$D,"SPO",'caseload data'!$B:$B,{"licence","community"}))/SUM(SUMIFS('caseload data'!H:H,'caseload data'!$B:$B,{"licence","community"},'caseload data'!$C:$C,'community %'!$T$36)),"")</f>
        <v/>
      </c>
      <c r="Y41" s="167" t="str">
        <f>IFERROR(SUM(SUMIFS('caseload data'!I:I,'caseload data'!$C:$C,'community %'!$T$36,'caseload data'!$D:$D,"SPO",'caseload data'!$B:$B,{"licence","community"}))/SUM(SUMIFS('caseload data'!I:I,'caseload data'!$B:$B,{"licence","community"},'caseload data'!$C:$C,'community %'!$T$36)),"")</f>
        <v/>
      </c>
      <c r="Z41" s="167" t="str">
        <f>IFERROR(SUM(SUMIFS('caseload data'!J:J,'caseload data'!$C:$C,'community %'!$T$36,'caseload data'!$D:$D,"SPO",'caseload data'!$B:$B,{"licence","community"}))/SUM(SUMIFS('caseload data'!J:J,'caseload data'!$B:$B,{"licence","community"},'caseload data'!$C:$C,'community %'!$T$36)),"")</f>
        <v/>
      </c>
      <c r="AA41" s="167" t="str">
        <f>IFERROR(SUM(SUMIFS('caseload data'!K:K,'caseload data'!$C:$C,'community %'!$T$36,'caseload data'!$D:$D,"SPO",'caseload data'!$B:$B,{"licence","community"}))/SUM(SUMIFS('caseload data'!K:K,'caseload data'!$B:$B,{"licence","community"},'caseload data'!$C:$C,'community %'!$T$36)),"")</f>
        <v/>
      </c>
      <c r="AB41" s="167" t="str">
        <f>IFERROR(SUM(SUMIFS('caseload data'!L:L,'caseload data'!$C:$C,'community %'!$T$36,'caseload data'!$D:$D,"SPO",'caseload data'!$B:$B,{"licence","community"}))/SUM(SUMIFS('caseload data'!L:L,'caseload data'!$B:$B,{"licence","community"},'caseload data'!$C:$C,'community %'!$T$36)),"")</f>
        <v/>
      </c>
      <c r="AC41" s="167" t="str">
        <f>IFERROR(SUM(SUMIFS('caseload data'!M:M,'caseload data'!$C:$C,'community %'!$T$36,'caseload data'!$D:$D,"SPO",'caseload data'!$B:$B,{"licence","community"}))/SUM(SUMIFS('caseload data'!M:M,'caseload data'!$B:$B,{"licence","community"},'caseload data'!$C:$C,'community %'!$T$36)),"")</f>
        <v/>
      </c>
      <c r="AD41" s="167" t="str">
        <f>IFERROR(SUM(SUMIFS('caseload data'!N:N,'caseload data'!$C:$C,'community %'!$T$36,'caseload data'!$D:$D,"SPO",'caseload data'!$B:$B,{"licence","community"}))/SUM(SUMIFS('caseload data'!N:N,'caseload data'!$B:$B,{"licence","community"},'caseload data'!$C:$C,'community %'!$T$36)),"")</f>
        <v/>
      </c>
      <c r="AE41" s="167" t="str">
        <f>IFERROR(SUM(SUMIFS('caseload data'!O:O,'caseload data'!$C:$C,'community %'!$T$36,'caseload data'!$D:$D,"SPO",'caseload data'!$B:$B,{"licence","community"}))/SUM(SUMIFS('caseload data'!O:O,'caseload data'!$B:$B,{"licence","community"},'caseload data'!$C:$C,'community %'!$T$36)),"")</f>
        <v/>
      </c>
      <c r="AF41" s="167" t="str">
        <f>IFERROR(SUM(SUMIFS('caseload data'!P:P,'caseload data'!$C:$C,'community %'!$T$36,'caseload data'!$D:$D,"SPO",'caseload data'!$B:$B,{"licence","community"}))/SUM(SUMIFS('caseload data'!P:P,'caseload data'!$B:$B,{"licence","community"},'caseload data'!$C:$C,'community %'!$T$36)),"")</f>
        <v/>
      </c>
      <c r="AG41" s="167" t="str">
        <f>IFERROR(SUM(SUMIFS('caseload data'!Q:Q,'caseload data'!$C:$C,'community %'!$T$36,'caseload data'!$D:$D,"SPO",'caseload data'!$B:$B,{"licence","community"}))/SUM(SUMIFS('caseload data'!Q:Q,'caseload data'!$B:$B,{"licence","community"},'caseload data'!$C:$C,'community %'!$T$36)),"")</f>
        <v/>
      </c>
      <c r="AH41" s="167" t="str">
        <f>IFERROR(SUM(SUMIFS('caseload data'!R:R,'caseload data'!$C:$C,'community %'!$T$36,'caseload data'!$D:$D,"SPO",'caseload data'!$B:$B,{"licence","community"}))/SUM(SUMIFS('caseload data'!R:R,'caseload data'!$B:$B,{"licence","community"},'caseload data'!$C:$C,'community %'!$T$36)),"")</f>
        <v/>
      </c>
      <c r="AI41" s="167" t="str">
        <f>IFERROR(SUM(SUMIFS('caseload data'!S:S,'caseload data'!$C:$C,'community %'!$T$36,'caseload data'!$D:$D,"SPO",'caseload data'!$B:$B,{"licence","community"}))/SUM(SUMIFS('caseload data'!S:S,'caseload data'!$B:$B,{"licence","community"},'caseload data'!$C:$C,'community %'!$T$36)),"")</f>
        <v/>
      </c>
      <c r="AJ41" s="167" t="str">
        <f>IFERROR(SUM(SUMIFS('caseload data'!T:T,'caseload data'!$C:$C,'community %'!$T$36,'caseload data'!$D:$D,"SPO",'caseload data'!$B:$B,{"licence","community"}))/SUM(SUMIFS('caseload data'!T:T,'caseload data'!$B:$B,{"licence","community"},'caseload data'!$C:$C,'community %'!$T$36)),"")</f>
        <v/>
      </c>
    </row>
    <row r="42" spans="2:36" x14ac:dyDescent="0.15">
      <c r="B42" s="91"/>
      <c r="C42" s="64"/>
      <c r="D42" s="64"/>
      <c r="E42" s="64"/>
      <c r="F42" s="64"/>
      <c r="G42" s="64"/>
      <c r="H42" s="64"/>
      <c r="I42" s="64"/>
      <c r="J42" s="64"/>
      <c r="K42" s="64"/>
      <c r="L42" s="64"/>
      <c r="M42" s="64"/>
      <c r="N42" s="64"/>
      <c r="O42" s="64"/>
      <c r="P42" s="64"/>
      <c r="Q42" s="64"/>
      <c r="R42" s="64"/>
      <c r="S42" s="64"/>
      <c r="T42" s="91"/>
      <c r="U42" s="64"/>
      <c r="V42" s="64"/>
      <c r="W42" s="64"/>
      <c r="X42" s="64"/>
      <c r="Y42" s="64"/>
      <c r="Z42" s="64"/>
      <c r="AA42" s="64"/>
      <c r="AB42" s="64"/>
      <c r="AC42" s="64"/>
      <c r="AD42" s="64"/>
      <c r="AE42" s="64"/>
      <c r="AF42" s="64"/>
      <c r="AG42" s="64"/>
      <c r="AH42" s="64"/>
      <c r="AI42" s="64"/>
      <c r="AJ42" s="64"/>
    </row>
    <row r="43" spans="2:36" ht="33.75" customHeight="1" x14ac:dyDescent="0.15">
      <c r="B43" s="289">
        <f>HLOOKUP($B$5,Region_Table,12,0)</f>
        <v>0</v>
      </c>
      <c r="C43" s="509" t="s">
        <v>1134</v>
      </c>
      <c r="D43" s="510"/>
      <c r="E43" s="510"/>
      <c r="F43" s="510"/>
      <c r="G43" s="510"/>
      <c r="H43" s="510"/>
      <c r="I43" s="510"/>
      <c r="J43" s="510"/>
      <c r="K43" s="510"/>
      <c r="L43" s="510"/>
      <c r="M43" s="539"/>
      <c r="N43" s="539"/>
      <c r="O43" s="540"/>
      <c r="P43" s="512" cm="1">
        <f t="array" ref="P43">SUM(SUMIFS('caseload data'!V:V,'caseload data'!B:B,{"licence","community"},'caseload data'!$C:$C,B43))</f>
        <v>0</v>
      </c>
      <c r="Q43" s="529"/>
      <c r="R43" s="530"/>
      <c r="S43" s="64"/>
      <c r="T43" s="289">
        <f>HLOOKUP($B$5,Region_Table,13,0)</f>
        <v>0</v>
      </c>
      <c r="U43" s="509" t="s">
        <v>1134</v>
      </c>
      <c r="V43" s="510"/>
      <c r="W43" s="510"/>
      <c r="X43" s="510"/>
      <c r="Y43" s="510"/>
      <c r="Z43" s="510"/>
      <c r="AA43" s="510"/>
      <c r="AB43" s="510"/>
      <c r="AC43" s="510"/>
      <c r="AD43" s="510"/>
      <c r="AE43" s="539"/>
      <c r="AF43" s="539"/>
      <c r="AG43" s="540"/>
      <c r="AH43" s="512" cm="1">
        <f t="array" ref="AH43">SUM(SUMIFS('caseload data'!V:V,'caseload data'!B:B,{"licence","community"},'caseload data'!$C:$C,T43))</f>
        <v>0</v>
      </c>
      <c r="AI43" s="529"/>
      <c r="AJ43" s="530"/>
    </row>
    <row r="44" spans="2:36" x14ac:dyDescent="0.15">
      <c r="B44" s="95" t="s">
        <v>1000</v>
      </c>
      <c r="C44" s="38" t="s">
        <v>864</v>
      </c>
      <c r="D44" s="38" t="s">
        <v>865</v>
      </c>
      <c r="E44" s="38" t="s">
        <v>866</v>
      </c>
      <c r="F44" s="38" t="s">
        <v>867</v>
      </c>
      <c r="G44" s="38" t="s">
        <v>868</v>
      </c>
      <c r="H44" s="38" t="s">
        <v>869</v>
      </c>
      <c r="I44" s="38" t="s">
        <v>870</v>
      </c>
      <c r="J44" s="38" t="s">
        <v>871</v>
      </c>
      <c r="K44" s="38" t="s">
        <v>872</v>
      </c>
      <c r="L44" s="38" t="s">
        <v>873</v>
      </c>
      <c r="M44" s="38" t="s">
        <v>874</v>
      </c>
      <c r="N44" s="38" t="s">
        <v>875</v>
      </c>
      <c r="O44" s="38" t="s">
        <v>876</v>
      </c>
      <c r="P44" s="38" t="s">
        <v>877</v>
      </c>
      <c r="Q44" s="38" t="s">
        <v>878</v>
      </c>
      <c r="R44" s="38" t="s">
        <v>879</v>
      </c>
      <c r="S44" s="64"/>
      <c r="T44" s="95" t="s">
        <v>1000</v>
      </c>
      <c r="U44" s="38" t="s">
        <v>864</v>
      </c>
      <c r="V44" s="38" t="s">
        <v>865</v>
      </c>
      <c r="W44" s="38" t="s">
        <v>866</v>
      </c>
      <c r="X44" s="38" t="s">
        <v>867</v>
      </c>
      <c r="Y44" s="38" t="s">
        <v>868</v>
      </c>
      <c r="Z44" s="38" t="s">
        <v>869</v>
      </c>
      <c r="AA44" s="38" t="s">
        <v>870</v>
      </c>
      <c r="AB44" s="38" t="s">
        <v>871</v>
      </c>
      <c r="AC44" s="38" t="s">
        <v>872</v>
      </c>
      <c r="AD44" s="38" t="s">
        <v>873</v>
      </c>
      <c r="AE44" s="38" t="s">
        <v>874</v>
      </c>
      <c r="AF44" s="38" t="s">
        <v>875</v>
      </c>
      <c r="AG44" s="38" t="s">
        <v>876</v>
      </c>
      <c r="AH44" s="38" t="s">
        <v>877</v>
      </c>
      <c r="AI44" s="38" t="s">
        <v>878</v>
      </c>
      <c r="AJ44" s="38" t="s">
        <v>879</v>
      </c>
    </row>
    <row r="45" spans="2:36" x14ac:dyDescent="0.15">
      <c r="B45" s="96" t="s">
        <v>997</v>
      </c>
      <c r="C45" s="167" t="str">
        <f>IFERROR(SUM(SUMIFS('caseload data'!E:E,'caseload data'!$C:$C,'community %'!$B$43,'caseload data'!$D:$D,"PO",'caseload data'!$B:$B,{"licence","community"}))/SUM(SUMIFS('caseload data'!E:E,'caseload data'!$B:$B,{"licence","community"},'caseload data'!$C:$C,'community %'!$B$43)),"")</f>
        <v/>
      </c>
      <c r="D45" s="167" t="str">
        <f>IFERROR(SUM(SUMIFS('caseload data'!F:F,'caseload data'!$C:$C,'community %'!$B$43,'caseload data'!$D:$D,"PO",'caseload data'!$B:$B,{"licence","community"}))/SUM(SUMIFS('caseload data'!F:F,'caseload data'!$B:$B,{"licence","community"},'caseload data'!$C:$C,'community %'!$B$43)),"")</f>
        <v/>
      </c>
      <c r="E45" s="167" t="str">
        <f>IFERROR(SUM(SUMIFS('caseload data'!G:G,'caseload data'!$C:$C,'community %'!$B$43,'caseload data'!$D:$D,"PO",'caseload data'!$B:$B,{"licence","community"}))/SUM(SUMIFS('caseload data'!G:G,'caseload data'!$B:$B,{"licence","community"},'caseload data'!$C:$C,'community %'!$B$43)),"")</f>
        <v/>
      </c>
      <c r="F45" s="167" t="str">
        <f>IFERROR(SUM(SUMIFS('caseload data'!H:H,'caseload data'!$C:$C,'community %'!$B$43,'caseload data'!$D:$D,"PO",'caseload data'!$B:$B,{"licence","community"}))/SUM(SUMIFS('caseload data'!H:H,'caseload data'!$B:$B,{"licence","community"},'caseload data'!$C:$C,'community %'!$B$43)),"")</f>
        <v/>
      </c>
      <c r="G45" s="167" t="str">
        <f>IFERROR(SUM(SUMIFS('caseload data'!I:I,'caseload data'!$C:$C,'community %'!$B$43,'caseload data'!$D:$D,"PO",'caseload data'!$B:$B,{"licence","community"}))/SUM(SUMIFS('caseload data'!I:I,'caseload data'!$B:$B,{"licence","community"},'caseload data'!$C:$C,'community %'!$B$43)),"")</f>
        <v/>
      </c>
      <c r="H45" s="167" t="str">
        <f>IFERROR(SUM(SUMIFS('caseload data'!J:J,'caseload data'!$C:$C,'community %'!$B$43,'caseload data'!$D:$D,"PO",'caseload data'!$B:$B,{"licence","community"}))/SUM(SUMIFS('caseload data'!J:J,'caseload data'!$B:$B,{"licence","community"},'caseload data'!$C:$C,'community %'!$B$43)),"")</f>
        <v/>
      </c>
      <c r="I45" s="167" t="str">
        <f>IFERROR(SUM(SUMIFS('caseload data'!K:K,'caseload data'!$C:$C,'community %'!$B$43,'caseload data'!$D:$D,"PO",'caseload data'!$B:$B,{"licence","community"}))/SUM(SUMIFS('caseload data'!K:K,'caseload data'!$B:$B,{"licence","community"},'caseload data'!$C:$C,'community %'!$B$43)),"")</f>
        <v/>
      </c>
      <c r="J45" s="167" t="str">
        <f>IFERROR(SUM(SUMIFS('caseload data'!L:L,'caseload data'!$C:$C,'community %'!$B$43,'caseload data'!$D:$D,"PO",'caseload data'!$B:$B,{"licence","community"}))/SUM(SUMIFS('caseload data'!L:L,'caseload data'!$B:$B,{"licence","community"},'caseload data'!$C:$C,'community %'!$B$43)),"")</f>
        <v/>
      </c>
      <c r="K45" s="167" t="str">
        <f>IFERROR(SUM(SUMIFS('caseload data'!M:M,'caseload data'!$C:$C,'community %'!$B$43,'caseload data'!$D:$D,"PO",'caseload data'!$B:$B,{"licence","community"}))/SUM(SUMIFS('caseload data'!M:M,'caseload data'!$B:$B,{"licence","community"},'caseload data'!$C:$C,'community %'!$B$43)),"")</f>
        <v/>
      </c>
      <c r="L45" s="167" t="str">
        <f>IFERROR(SUM(SUMIFS('caseload data'!N:N,'caseload data'!$C:$C,'community %'!$B$43,'caseload data'!$D:$D,"PO",'caseload data'!$B:$B,{"licence","community"}))/SUM(SUMIFS('caseload data'!N:N,'caseload data'!$B:$B,{"licence","community"},'caseload data'!$C:$C,'community %'!$B$43)),"")</f>
        <v/>
      </c>
      <c r="M45" s="167" t="str">
        <f>IFERROR(SUM(SUMIFS('caseload data'!O:O,'caseload data'!$C:$C,'community %'!$B$43,'caseload data'!$D:$D,"PO",'caseload data'!$B:$B,{"licence","community"}))/SUM(SUMIFS('caseload data'!O:O,'caseload data'!$B:$B,{"licence","community"},'caseload data'!$C:$C,'community %'!$B$43)),"")</f>
        <v/>
      </c>
      <c r="N45" s="167" t="str">
        <f>IFERROR(SUM(SUMIFS('caseload data'!P:P,'caseload data'!$C:$C,'community %'!$B$43,'caseload data'!$D:$D,"PO",'caseload data'!$B:$B,{"licence","community"}))/SUM(SUMIFS('caseload data'!P:P,'caseload data'!$B:$B,{"licence","community"},'caseload data'!$C:$C,'community %'!$B$43)),"")</f>
        <v/>
      </c>
      <c r="O45" s="167" t="str">
        <f>IFERROR(SUM(SUMIFS('caseload data'!Q:Q,'caseload data'!$C:$C,'community %'!$B$43,'caseload data'!$D:$D,"PO",'caseload data'!$B:$B,{"licence","community"}))/SUM(SUMIFS('caseload data'!Q:Q,'caseload data'!$B:$B,{"licence","community"},'caseload data'!$C:$C,'community %'!$B$43)),"")</f>
        <v/>
      </c>
      <c r="P45" s="167" t="str">
        <f>IFERROR(SUM(SUMIFS('caseload data'!R:R,'caseload data'!$C:$C,'community %'!$B$43,'caseload data'!$D:$D,"PO",'caseload data'!$B:$B,{"licence","community"}))/SUM(SUMIFS('caseload data'!R:R,'caseload data'!$B:$B,{"licence","community"},'caseload data'!$C:$C,'community %'!$B$43)),"")</f>
        <v/>
      </c>
      <c r="Q45" s="167" t="str">
        <f>IFERROR(SUM(SUMIFS('caseload data'!S:S,'caseload data'!$C:$C,'community %'!$B$43,'caseload data'!$D:$D,"PO",'caseload data'!$B:$B,{"licence","community"}))/SUM(SUMIFS('caseload data'!S:S,'caseload data'!$B:$B,{"licence","community"},'caseload data'!$C:$C,'community %'!$B$43)),"")</f>
        <v/>
      </c>
      <c r="R45" s="167" t="str">
        <f>IFERROR(SUM(SUMIFS('caseload data'!T:T,'caseload data'!$C:$C,'community %'!$B$43,'caseload data'!$D:$D,"PO",'caseload data'!$B:$B,{"licence","community"}))/SUM(SUMIFS('caseload data'!T:T,'caseload data'!$B:$B,{"licence","community"},'caseload data'!$C:$C,'community %'!$B$43)),"")</f>
        <v/>
      </c>
      <c r="S45" s="64"/>
      <c r="T45" s="96" t="s">
        <v>997</v>
      </c>
      <c r="U45" s="167" t="str">
        <f>IFERROR(SUM(SUMIFS('caseload data'!E:E,'caseload data'!$C:$C,'community %'!$T$43,'caseload data'!$D:$D,"PO",'caseload data'!$B:$B,{"licence","community"}))/SUM(SUMIFS('caseload data'!E:E,'caseload data'!$B:$B,{"licence","community"},'caseload data'!$C:$C,'community %'!$T$43)),"")</f>
        <v/>
      </c>
      <c r="V45" s="167" t="str">
        <f>IFERROR(SUM(SUMIFS('caseload data'!F:F,'caseload data'!$C:$C,'community %'!$T$43,'caseload data'!$D:$D,"PO",'caseload data'!$B:$B,{"licence","community"}))/SUM(SUMIFS('caseload data'!F:F,'caseload data'!$B:$B,{"licence","community"},'caseload data'!$C:$C,'community %'!$T$43)),"")</f>
        <v/>
      </c>
      <c r="W45" s="167" t="str">
        <f>IFERROR(SUM(SUMIFS('caseload data'!G:G,'caseload data'!$C:$C,'community %'!$T$43,'caseload data'!$D:$D,"PO",'caseload data'!$B:$B,{"licence","community"}))/SUM(SUMIFS('caseload data'!G:G,'caseload data'!$B:$B,{"licence","community"},'caseload data'!$C:$C,'community %'!$T$43)),"")</f>
        <v/>
      </c>
      <c r="X45" s="167" t="str">
        <f>IFERROR(SUM(SUMIFS('caseload data'!H:H,'caseload data'!$C:$C,'community %'!$T$43,'caseload data'!$D:$D,"PO",'caseload data'!$B:$B,{"licence","community"}))/SUM(SUMIFS('caseload data'!H:H,'caseload data'!$B:$B,{"licence","community"},'caseload data'!$C:$C,'community %'!$T$43)),"")</f>
        <v/>
      </c>
      <c r="Y45" s="167" t="str">
        <f>IFERROR(SUM(SUMIFS('caseload data'!I:I,'caseload data'!$C:$C,'community %'!$T$43,'caseload data'!$D:$D,"PO",'caseload data'!$B:$B,{"licence","community"}))/SUM(SUMIFS('caseload data'!I:I,'caseload data'!$B:$B,{"licence","community"},'caseload data'!$C:$C,'community %'!$T$43)),"")</f>
        <v/>
      </c>
      <c r="Z45" s="167" t="str">
        <f>IFERROR(SUM(SUMIFS('caseload data'!J:J,'caseload data'!$C:$C,'community %'!$T$43,'caseload data'!$D:$D,"PO",'caseload data'!$B:$B,{"licence","community"}))/SUM(SUMIFS('caseload data'!J:J,'caseload data'!$B:$B,{"licence","community"},'caseload data'!$C:$C,'community %'!$T$43)),"")</f>
        <v/>
      </c>
      <c r="AA45" s="167" t="str">
        <f>IFERROR(SUM(SUMIFS('caseload data'!K:K,'caseload data'!$C:$C,'community %'!$T$43,'caseload data'!$D:$D,"PO",'caseload data'!$B:$B,{"licence","community"}))/SUM(SUMIFS('caseload data'!K:K,'caseload data'!$B:$B,{"licence","community"},'caseload data'!$C:$C,'community %'!$T$43)),"")</f>
        <v/>
      </c>
      <c r="AB45" s="167" t="str">
        <f>IFERROR(SUM(SUMIFS('caseload data'!L:L,'caseload data'!$C:$C,'community %'!$T$43,'caseload data'!$D:$D,"PO",'caseload data'!$B:$B,{"licence","community"}))/SUM(SUMIFS('caseload data'!L:L,'caseload data'!$B:$B,{"licence","community"},'caseload data'!$C:$C,'community %'!$T$43)),"")</f>
        <v/>
      </c>
      <c r="AC45" s="167" t="str">
        <f>IFERROR(SUM(SUMIFS('caseload data'!M:M,'caseload data'!$C:$C,'community %'!$T$43,'caseload data'!$D:$D,"PO",'caseload data'!$B:$B,{"licence","community"}))/SUM(SUMIFS('caseload data'!M:M,'caseload data'!$B:$B,{"licence","community"},'caseload data'!$C:$C,'community %'!$T$43)),"")</f>
        <v/>
      </c>
      <c r="AD45" s="167" t="str">
        <f>IFERROR(SUM(SUMIFS('caseload data'!N:N,'caseload data'!$C:$C,'community %'!$T$43,'caseload data'!$D:$D,"PO",'caseload data'!$B:$B,{"licence","community"}))/SUM(SUMIFS('caseload data'!N:N,'caseload data'!$B:$B,{"licence","community"},'caseload data'!$C:$C,'community %'!$T$43)),"")</f>
        <v/>
      </c>
      <c r="AE45" s="167" t="str">
        <f>IFERROR(SUM(SUMIFS('caseload data'!O:O,'caseload data'!$C:$C,'community %'!$T$43,'caseload data'!$D:$D,"PO",'caseload data'!$B:$B,{"licence","community"}))/SUM(SUMIFS('caseload data'!O:O,'caseload data'!$B:$B,{"licence","community"},'caseload data'!$C:$C,'community %'!$T$43)),"")</f>
        <v/>
      </c>
      <c r="AF45" s="167" t="str">
        <f>IFERROR(SUM(SUMIFS('caseload data'!P:P,'caseload data'!$C:$C,'community %'!$T$43,'caseload data'!$D:$D,"PO",'caseload data'!$B:$B,{"licence","community"}))/SUM(SUMIFS('caseload data'!P:P,'caseload data'!$B:$B,{"licence","community"},'caseload data'!$C:$C,'community %'!$T$43)),"")</f>
        <v/>
      </c>
      <c r="AG45" s="167" t="str">
        <f>IFERROR(SUM(SUMIFS('caseload data'!Q:Q,'caseload data'!$C:$C,'community %'!$T$43,'caseload data'!$D:$D,"PO",'caseload data'!$B:$B,{"licence","community"}))/SUM(SUMIFS('caseload data'!Q:Q,'caseload data'!$B:$B,{"licence","community"},'caseload data'!$C:$C,'community %'!$T$43)),"")</f>
        <v/>
      </c>
      <c r="AH45" s="167" t="str">
        <f>IFERROR(SUM(SUMIFS('caseload data'!R:R,'caseload data'!$C:$C,'community %'!$T$43,'caseload data'!$D:$D,"PO",'caseload data'!$B:$B,{"licence","community"}))/SUM(SUMIFS('caseload data'!R:R,'caseload data'!$B:$B,{"licence","community"},'caseload data'!$C:$C,'community %'!$T$43)),"")</f>
        <v/>
      </c>
      <c r="AI45" s="167" t="str">
        <f>IFERROR(SUM(SUMIFS('caseload data'!S:S,'caseload data'!$C:$C,'community %'!$T$43,'caseload data'!$D:$D,"PO",'caseload data'!$B:$B,{"licence","community"}))/SUM(SUMIFS('caseload data'!S:S,'caseload data'!$B:$B,{"licence","community"},'caseload data'!$C:$C,'community %'!$T$43)),"")</f>
        <v/>
      </c>
      <c r="AJ45" s="167" t="str">
        <f>IFERROR(SUM(SUMIFS('caseload data'!T:T,'caseload data'!$C:$C,'community %'!$T$43,'caseload data'!$D:$D,"PO",'caseload data'!$B:$B,{"licence","community"}))/SUM(SUMIFS('caseload data'!T:T,'caseload data'!$B:$B,{"licence","community"},'caseload data'!$C:$C,'community %'!$T$43)),"")</f>
        <v/>
      </c>
    </row>
    <row r="46" spans="2:36" x14ac:dyDescent="0.15">
      <c r="B46" s="97" t="s">
        <v>1002</v>
      </c>
      <c r="C46" s="167" t="str">
        <f>IFERROR(SUM(SUMIFS('caseload data'!E:E,'caseload data'!$C:$C,'community %'!$B$43,'caseload data'!$D:$D,"PSO",'caseload data'!$B:$B,{"licence","community"}))/SUM(SUMIFS('caseload data'!E:E,'caseload data'!$B:$B,{"licence","community"},'caseload data'!$C:$C,'community %'!$B$43)),"")</f>
        <v/>
      </c>
      <c r="D46" s="167" t="str">
        <f>IFERROR(SUM(SUMIFS('caseload data'!F:F,'caseload data'!$C:$C,'community %'!$B$43,'caseload data'!$D:$D,"PSO",'caseload data'!$B:$B,{"licence","community"}))/SUM(SUMIFS('caseload data'!F:F,'caseload data'!$B:$B,{"licence","community"},'caseload data'!$C:$C,'community %'!$B$43)),"")</f>
        <v/>
      </c>
      <c r="E46" s="167" t="str">
        <f>IFERROR(SUM(SUMIFS('caseload data'!G:G,'caseload data'!$C:$C,'community %'!$B$43,'caseload data'!$D:$D,"PSO",'caseload data'!$B:$B,{"licence","community"}))/SUM(SUMIFS('caseload data'!G:G,'caseload data'!$B:$B,{"licence","community"},'caseload data'!$C:$C,'community %'!$B$43)),"")</f>
        <v/>
      </c>
      <c r="F46" s="167" t="str">
        <f>IFERROR(SUM(SUMIFS('caseload data'!H:H,'caseload data'!$C:$C,'community %'!$B$43,'caseload data'!$D:$D,"PSO",'caseload data'!$B:$B,{"licence","community"}))/SUM(SUMIFS('caseload data'!H:H,'caseload data'!$B:$B,{"licence","community"},'caseload data'!$C:$C,'community %'!$B$43)),"")</f>
        <v/>
      </c>
      <c r="G46" s="167" t="str">
        <f>IFERROR(SUM(SUMIFS('caseload data'!I:I,'caseload data'!$C:$C,'community %'!$B$43,'caseload data'!$D:$D,"PSO",'caseload data'!$B:$B,{"licence","community"}))/SUM(SUMIFS('caseload data'!I:I,'caseload data'!$B:$B,{"licence","community"},'caseload data'!$C:$C,'community %'!$B$43)),"")</f>
        <v/>
      </c>
      <c r="H46" s="167" t="str">
        <f>IFERROR(SUM(SUMIFS('caseload data'!J:J,'caseload data'!$C:$C,'community %'!$B$43,'caseload data'!$D:$D,"PSO",'caseload data'!$B:$B,{"licence","community"}))/SUM(SUMIFS('caseload data'!J:J,'caseload data'!$B:$B,{"licence","community"},'caseload data'!$C:$C,'community %'!$B$43)),"")</f>
        <v/>
      </c>
      <c r="I46" s="167" t="str">
        <f>IFERROR(SUM(SUMIFS('caseload data'!K:K,'caseload data'!$C:$C,'community %'!$B$43,'caseload data'!$D:$D,"PSO",'caseload data'!$B:$B,{"licence","community"}))/SUM(SUMIFS('caseload data'!K:K,'caseload data'!$B:$B,{"licence","community"},'caseload data'!$C:$C,'community %'!$B$43)),"")</f>
        <v/>
      </c>
      <c r="J46" s="167" t="str">
        <f>IFERROR(SUM(SUMIFS('caseload data'!L:L,'caseload data'!$C:$C,'community %'!$B$43,'caseload data'!$D:$D,"PSO",'caseload data'!$B:$B,{"licence","community"}))/SUM(SUMIFS('caseload data'!L:L,'caseload data'!$B:$B,{"licence","community"},'caseload data'!$C:$C,'community %'!$B$43)),"")</f>
        <v/>
      </c>
      <c r="K46" s="167" t="str">
        <f>IFERROR(SUM(SUMIFS('caseload data'!M:M,'caseload data'!$C:$C,'community %'!$B$43,'caseload data'!$D:$D,"PSO",'caseload data'!$B:$B,{"licence","community"}))/SUM(SUMIFS('caseload data'!M:M,'caseload data'!$B:$B,{"licence","community"},'caseload data'!$C:$C,'community %'!$B$43)),"")</f>
        <v/>
      </c>
      <c r="L46" s="167" t="str">
        <f>IFERROR(SUM(SUMIFS('caseload data'!N:N,'caseload data'!$C:$C,'community %'!$B$43,'caseload data'!$D:$D,"PSO",'caseload data'!$B:$B,{"licence","community"}))/SUM(SUMIFS('caseload data'!N:N,'caseload data'!$B:$B,{"licence","community"},'caseload data'!$C:$C,'community %'!$B$43)),"")</f>
        <v/>
      </c>
      <c r="M46" s="167" t="str">
        <f>IFERROR(SUM(SUMIFS('caseload data'!O:O,'caseload data'!$C:$C,'community %'!$B$43,'caseload data'!$D:$D,"PSO",'caseload data'!$B:$B,{"licence","community"}))/SUM(SUMIFS('caseload data'!O:O,'caseload data'!$B:$B,{"licence","community"},'caseload data'!$C:$C,'community %'!$B$43)),"")</f>
        <v/>
      </c>
      <c r="N46" s="167" t="str">
        <f>IFERROR(SUM(SUMIFS('caseload data'!P:P,'caseload data'!$C:$C,'community %'!$B$43,'caseload data'!$D:$D,"PSO",'caseload data'!$B:$B,{"licence","community"}))/SUM(SUMIFS('caseload data'!P:P,'caseload data'!$B:$B,{"licence","community"},'caseload data'!$C:$C,'community %'!$B$43)),"")</f>
        <v/>
      </c>
      <c r="O46" s="167" t="str">
        <f>IFERROR(SUM(SUMIFS('caseload data'!Q:Q,'caseload data'!$C:$C,'community %'!$B$43,'caseload data'!$D:$D,"PSO",'caseload data'!$B:$B,{"licence","community"}))/SUM(SUMIFS('caseload data'!Q:Q,'caseload data'!$B:$B,{"licence","community"},'caseload data'!$C:$C,'community %'!$B$43)),"")</f>
        <v/>
      </c>
      <c r="P46" s="167" t="str">
        <f>IFERROR(SUM(SUMIFS('caseload data'!R:R,'caseload data'!$C:$C,'community %'!$B$43,'caseload data'!$D:$D,"PSO",'caseload data'!$B:$B,{"licence","community"}))/SUM(SUMIFS('caseload data'!R:R,'caseload data'!$B:$B,{"licence","community"},'caseload data'!$C:$C,'community %'!$B$43)),"")</f>
        <v/>
      </c>
      <c r="Q46" s="167" t="str">
        <f>IFERROR(SUM(SUMIFS('caseload data'!S:S,'caseload data'!$C:$C,'community %'!$B$43,'caseload data'!$D:$D,"PSO",'caseload data'!$B:$B,{"licence","community"}))/SUM(SUMIFS('caseload data'!S:S,'caseload data'!$B:$B,{"licence","community"},'caseload data'!$C:$C,'community %'!$B$43)),"")</f>
        <v/>
      </c>
      <c r="R46" s="167" t="str">
        <f>IFERROR(SUM(SUMIFS('caseload data'!T:T,'caseload data'!$C:$C,'community %'!$B$43,'caseload data'!$D:$D,"PSO",'caseload data'!$B:$B,{"licence","community"}))/SUM(SUMIFS('caseload data'!T:T,'caseload data'!$B:$B,{"licence","community"},'caseload data'!$C:$C,'community %'!$B$43)),"")</f>
        <v/>
      </c>
      <c r="S46" s="64"/>
      <c r="T46" s="97" t="s">
        <v>1002</v>
      </c>
      <c r="U46" s="167" t="str">
        <f>IFERROR(SUM(SUMIFS('caseload data'!E:E,'caseload data'!$C:$C,'community %'!$T$43,'caseload data'!$D:$D,"PSO",'caseload data'!$B:$B,{"licence","community"}))/SUM(SUMIFS('caseload data'!E:E,'caseload data'!$B:$B,{"licence","community"},'caseload data'!$C:$C,'community %'!$T$43)),"")</f>
        <v/>
      </c>
      <c r="V46" s="167" t="str">
        <f>IFERROR(SUM(SUMIFS('caseload data'!F:F,'caseload data'!$C:$C,'community %'!$T$43,'caseload data'!$D:$D,"PSO",'caseload data'!$B:$B,{"licence","community"}))/SUM(SUMIFS('caseload data'!F:F,'caseload data'!$B:$B,{"licence","community"},'caseload data'!$C:$C,'community %'!$T$43)),"")</f>
        <v/>
      </c>
      <c r="W46" s="167" t="str">
        <f>IFERROR(SUM(SUMIFS('caseload data'!G:G,'caseload data'!$C:$C,'community %'!$T$43,'caseload data'!$D:$D,"PSO",'caseload data'!$B:$B,{"licence","community"}))/SUM(SUMIFS('caseload data'!G:G,'caseload data'!$B:$B,{"licence","community"},'caseload data'!$C:$C,'community %'!$T$43)),"")</f>
        <v/>
      </c>
      <c r="X46" s="167" t="str">
        <f>IFERROR(SUM(SUMIFS('caseload data'!H:H,'caseload data'!$C:$C,'community %'!$T$43,'caseload data'!$D:$D,"PSO",'caseload data'!$B:$B,{"licence","community"}))/SUM(SUMIFS('caseload data'!H:H,'caseload data'!$B:$B,{"licence","community"},'caseload data'!$C:$C,'community %'!$T$43)),"")</f>
        <v/>
      </c>
      <c r="Y46" s="167" t="str">
        <f>IFERROR(SUM(SUMIFS('caseload data'!I:I,'caseload data'!$C:$C,'community %'!$T$43,'caseload data'!$D:$D,"PSO",'caseload data'!$B:$B,{"licence","community"}))/SUM(SUMIFS('caseload data'!I:I,'caseload data'!$B:$B,{"licence","community"},'caseload data'!$C:$C,'community %'!$T$43)),"")</f>
        <v/>
      </c>
      <c r="Z46" s="167" t="str">
        <f>IFERROR(SUM(SUMIFS('caseload data'!J:J,'caseload data'!$C:$C,'community %'!$T$43,'caseload data'!$D:$D,"PSO",'caseload data'!$B:$B,{"licence","community"}))/SUM(SUMIFS('caseload data'!J:J,'caseload data'!$B:$B,{"licence","community"},'caseload data'!$C:$C,'community %'!$T$43)),"")</f>
        <v/>
      </c>
      <c r="AA46" s="167" t="str">
        <f>IFERROR(SUM(SUMIFS('caseload data'!K:K,'caseload data'!$C:$C,'community %'!$T$43,'caseload data'!$D:$D,"PSO",'caseload data'!$B:$B,{"licence","community"}))/SUM(SUMIFS('caseload data'!K:K,'caseload data'!$B:$B,{"licence","community"},'caseload data'!$C:$C,'community %'!$T$43)),"")</f>
        <v/>
      </c>
      <c r="AB46" s="167" t="str">
        <f>IFERROR(SUM(SUMIFS('caseload data'!L:L,'caseload data'!$C:$C,'community %'!$T$43,'caseload data'!$D:$D,"PSO",'caseload data'!$B:$B,{"licence","community"}))/SUM(SUMIFS('caseload data'!L:L,'caseload data'!$B:$B,{"licence","community"},'caseload data'!$C:$C,'community %'!$T$43)),"")</f>
        <v/>
      </c>
      <c r="AC46" s="167" t="str">
        <f>IFERROR(SUM(SUMIFS('caseload data'!M:M,'caseload data'!$C:$C,'community %'!$T$43,'caseload data'!$D:$D,"PSO",'caseload data'!$B:$B,{"licence","community"}))/SUM(SUMIFS('caseload data'!M:M,'caseload data'!$B:$B,{"licence","community"},'caseload data'!$C:$C,'community %'!$T$43)),"")</f>
        <v/>
      </c>
      <c r="AD46" s="167" t="str">
        <f>IFERROR(SUM(SUMIFS('caseload data'!N:N,'caseload data'!$C:$C,'community %'!$T$43,'caseload data'!$D:$D,"PSO",'caseload data'!$B:$B,{"licence","community"}))/SUM(SUMIFS('caseload data'!N:N,'caseload data'!$B:$B,{"licence","community"},'caseload data'!$C:$C,'community %'!$T$43)),"")</f>
        <v/>
      </c>
      <c r="AE46" s="167" t="str">
        <f>IFERROR(SUM(SUMIFS('caseload data'!O:O,'caseload data'!$C:$C,'community %'!$T$43,'caseload data'!$D:$D,"PSO",'caseload data'!$B:$B,{"licence","community"}))/SUM(SUMIFS('caseload data'!O:O,'caseload data'!$B:$B,{"licence","community"},'caseload data'!$C:$C,'community %'!$T$43)),"")</f>
        <v/>
      </c>
      <c r="AF46" s="167" t="str">
        <f>IFERROR(SUM(SUMIFS('caseload data'!P:P,'caseload data'!$C:$C,'community %'!$T$43,'caseload data'!$D:$D,"PSO",'caseload data'!$B:$B,{"licence","community"}))/SUM(SUMIFS('caseload data'!P:P,'caseload data'!$B:$B,{"licence","community"},'caseload data'!$C:$C,'community %'!$T$43)),"")</f>
        <v/>
      </c>
      <c r="AG46" s="167" t="str">
        <f>IFERROR(SUM(SUMIFS('caseload data'!Q:Q,'caseload data'!$C:$C,'community %'!$T$43,'caseload data'!$D:$D,"PSO",'caseload data'!$B:$B,{"licence","community"}))/SUM(SUMIFS('caseload data'!Q:Q,'caseload data'!$B:$B,{"licence","community"},'caseload data'!$C:$C,'community %'!$T$43)),"")</f>
        <v/>
      </c>
      <c r="AH46" s="167" t="str">
        <f>IFERROR(SUM(SUMIFS('caseload data'!R:R,'caseload data'!$C:$C,'community %'!$T$43,'caseload data'!$D:$D,"PSO",'caseload data'!$B:$B,{"licence","community"}))/SUM(SUMIFS('caseload data'!R:R,'caseload data'!$B:$B,{"licence","community"},'caseload data'!$C:$C,'community %'!$T$43)),"")</f>
        <v/>
      </c>
      <c r="AI46" s="167" t="str">
        <f>IFERROR(SUM(SUMIFS('caseload data'!S:S,'caseload data'!$C:$C,'community %'!$T$43,'caseload data'!$D:$D,"PSO",'caseload data'!$B:$B,{"licence","community"}))/SUM(SUMIFS('caseload data'!S:S,'caseload data'!$B:$B,{"licence","community"},'caseload data'!$C:$C,'community %'!$T$43)),"")</f>
        <v/>
      </c>
      <c r="AJ46" s="167" t="str">
        <f>IFERROR(SUM(SUMIFS('caseload data'!T:T,'caseload data'!$C:$C,'community %'!$T$43,'caseload data'!$D:$D,"PSO",'caseload data'!$B:$B,{"licence","community"}))/SUM(SUMIFS('caseload data'!T:T,'caseload data'!$B:$B,{"licence","community"},'caseload data'!$C:$C,'community %'!$T$43)),"")</f>
        <v/>
      </c>
    </row>
    <row r="47" spans="2:36" x14ac:dyDescent="0.15">
      <c r="B47" s="97" t="s">
        <v>1003</v>
      </c>
      <c r="C47" s="167" t="str">
        <f>IFERROR(SUM(SUMIFS('caseload data'!E:E,'caseload data'!$C:$C,'community %'!$B$43,'caseload data'!$D:$D,"TPO",'caseload data'!$B:$B,{"licence","community"}))/SUM(SUMIFS('caseload data'!E:E,'caseload data'!$B:$B,{"licence","community"},'caseload data'!$C:$C,'community %'!$B$43)),"")</f>
        <v/>
      </c>
      <c r="D47" s="167" t="str">
        <f>IFERROR(SUM(SUMIFS('caseload data'!F:F,'caseload data'!$C:$C,'community %'!$B$43,'caseload data'!$D:$D,"TPO",'caseload data'!$B:$B,{"licence","community"}))/SUM(SUMIFS('caseload data'!F:F,'caseload data'!$B:$B,{"licence","community"},'caseload data'!$C:$C,'community %'!$B$43)),"")</f>
        <v/>
      </c>
      <c r="E47" s="167" t="str">
        <f>IFERROR(SUM(SUMIFS('caseload data'!G:G,'caseload data'!$C:$C,'community %'!$B$43,'caseload data'!$D:$D,"TPO",'caseload data'!$B:$B,{"licence","community"}))/SUM(SUMIFS('caseload data'!G:G,'caseload data'!$B:$B,{"licence","community"},'caseload data'!$C:$C,'community %'!$B$43)),"")</f>
        <v/>
      </c>
      <c r="F47" s="167" t="str">
        <f>IFERROR(SUM(SUMIFS('caseload data'!H:H,'caseload data'!$C:$C,'community %'!$B$43,'caseload data'!$D:$D,"TPO",'caseload data'!$B:$B,{"licence","community"}))/SUM(SUMIFS('caseload data'!H:H,'caseload data'!$B:$B,{"licence","community"},'caseload data'!$C:$C,'community %'!$B$43)),"")</f>
        <v/>
      </c>
      <c r="G47" s="167" t="str">
        <f>IFERROR(SUM(SUMIFS('caseload data'!I:I,'caseload data'!$C:$C,'community %'!$B$43,'caseload data'!$D:$D,"TPO",'caseload data'!$B:$B,{"licence","community"}))/SUM(SUMIFS('caseload data'!I:I,'caseload data'!$B:$B,{"licence","community"},'caseload data'!$C:$C,'community %'!$B$43)),"")</f>
        <v/>
      </c>
      <c r="H47" s="167" t="str">
        <f>IFERROR(SUM(SUMIFS('caseload data'!J:J,'caseload data'!$C:$C,'community %'!$B$43,'caseload data'!$D:$D,"TPO",'caseload data'!$B:$B,{"licence","community"}))/SUM(SUMIFS('caseload data'!J:J,'caseload data'!$B:$B,{"licence","community"},'caseload data'!$C:$C,'community %'!$B$43)),"")</f>
        <v/>
      </c>
      <c r="I47" s="167" t="str">
        <f>IFERROR(SUM(SUMIFS('caseload data'!K:K,'caseload data'!$C:$C,'community %'!$B$43,'caseload data'!$D:$D,"TPO",'caseload data'!$B:$B,{"licence","community"}))/SUM(SUMIFS('caseload data'!K:K,'caseload data'!$B:$B,{"licence","community"},'caseload data'!$C:$C,'community %'!$B$43)),"")</f>
        <v/>
      </c>
      <c r="J47" s="167" t="str">
        <f>IFERROR(SUM(SUMIFS('caseload data'!L:L,'caseload data'!$C:$C,'community %'!$B$43,'caseload data'!$D:$D,"TPO",'caseload data'!$B:$B,{"licence","community"}))/SUM(SUMIFS('caseload data'!L:L,'caseload data'!$B:$B,{"licence","community"},'caseload data'!$C:$C,'community %'!$B$43)),"")</f>
        <v/>
      </c>
      <c r="K47" s="167" t="str">
        <f>IFERROR(SUM(SUMIFS('caseload data'!M:M,'caseload data'!$C:$C,'community %'!$B$43,'caseload data'!$D:$D,"TPO",'caseload data'!$B:$B,{"licence","community"}))/SUM(SUMIFS('caseload data'!M:M,'caseload data'!$B:$B,{"licence","community"},'caseload data'!$C:$C,'community %'!$B$43)),"")</f>
        <v/>
      </c>
      <c r="L47" s="167" t="str">
        <f>IFERROR(SUM(SUMIFS('caseload data'!N:N,'caseload data'!$C:$C,'community %'!$B$43,'caseload data'!$D:$D,"TPO",'caseload data'!$B:$B,{"licence","community"}))/SUM(SUMIFS('caseload data'!N:N,'caseload data'!$B:$B,{"licence","community"},'caseload data'!$C:$C,'community %'!$B$43)),"")</f>
        <v/>
      </c>
      <c r="M47" s="167" t="str">
        <f>IFERROR(SUM(SUMIFS('caseload data'!O:O,'caseload data'!$C:$C,'community %'!$B$43,'caseload data'!$D:$D,"TPO",'caseload data'!$B:$B,{"licence","community"}))/SUM(SUMIFS('caseload data'!O:O,'caseload data'!$B:$B,{"licence","community"},'caseload data'!$C:$C,'community %'!$B$43)),"")</f>
        <v/>
      </c>
      <c r="N47" s="167" t="str">
        <f>IFERROR(SUM(SUMIFS('caseload data'!P:P,'caseload data'!$C:$C,'community %'!$B$43,'caseload data'!$D:$D,"TPO",'caseload data'!$B:$B,{"licence","community"}))/SUM(SUMIFS('caseload data'!P:P,'caseload data'!$B:$B,{"licence","community"},'caseload data'!$C:$C,'community %'!$B$43)),"")</f>
        <v/>
      </c>
      <c r="O47" s="167" t="str">
        <f>IFERROR(SUM(SUMIFS('caseload data'!Q:Q,'caseload data'!$C:$C,'community %'!$B$43,'caseload data'!$D:$D,"TPO",'caseload data'!$B:$B,{"licence","community"}))/SUM(SUMIFS('caseload data'!Q:Q,'caseload data'!$B:$B,{"licence","community"},'caseload data'!$C:$C,'community %'!$B$43)),"")</f>
        <v/>
      </c>
      <c r="P47" s="167" t="str">
        <f>IFERROR(SUM(SUMIFS('caseload data'!R:R,'caseload data'!$C:$C,'community %'!$B$43,'caseload data'!$D:$D,"TPO",'caseload data'!$B:$B,{"licence","community"}))/SUM(SUMIFS('caseload data'!R:R,'caseload data'!$B:$B,{"licence","community"},'caseload data'!$C:$C,'community %'!$B$43)),"")</f>
        <v/>
      </c>
      <c r="Q47" s="167" t="str">
        <f>IFERROR(SUM(SUMIFS('caseload data'!S:S,'caseload data'!$C:$C,'community %'!$B$43,'caseload data'!$D:$D,"TPO",'caseload data'!$B:$B,{"licence","community"}))/SUM(SUMIFS('caseload data'!S:S,'caseload data'!$B:$B,{"licence","community"},'caseload data'!$C:$C,'community %'!$B$43)),"")</f>
        <v/>
      </c>
      <c r="R47" s="167" t="str">
        <f>IFERROR(SUM(SUMIFS('caseload data'!T:T,'caseload data'!$C:$C,'community %'!$B$43,'caseload data'!$D:$D,"TPO",'caseload data'!$B:$B,{"licence","community"}))/SUM(SUMIFS('caseload data'!T:T,'caseload data'!$B:$B,{"licence","community"},'caseload data'!$C:$C,'community %'!$B$43)),"")</f>
        <v/>
      </c>
      <c r="S47" s="64"/>
      <c r="T47" s="97" t="s">
        <v>1003</v>
      </c>
      <c r="U47" s="167" t="str">
        <f>IFERROR(SUM(SUMIFS('caseload data'!E:E,'caseload data'!$C:$C,'community %'!$T$43,'caseload data'!$D:$D,"TPO",'caseload data'!$B:$B,{"licence","community"}))/SUM(SUMIFS('caseload data'!E:E,'caseload data'!$B:$B,{"licence","community"},'caseload data'!$C:$C,'community %'!$T$43)),"")</f>
        <v/>
      </c>
      <c r="V47" s="167" t="str">
        <f>IFERROR(SUM(SUMIFS('caseload data'!F:F,'caseload data'!$C:$C,'community %'!$T$43,'caseload data'!$D:$D,"TPO",'caseload data'!$B:$B,{"licence","community"}))/SUM(SUMIFS('caseload data'!F:F,'caseload data'!$B:$B,{"licence","community"},'caseload data'!$C:$C,'community %'!$T$43)),"")</f>
        <v/>
      </c>
      <c r="W47" s="167" t="str">
        <f>IFERROR(SUM(SUMIFS('caseload data'!G:G,'caseload data'!$C:$C,'community %'!$T$43,'caseload data'!$D:$D,"TPO",'caseload data'!$B:$B,{"licence","community"}))/SUM(SUMIFS('caseload data'!G:G,'caseload data'!$B:$B,{"licence","community"},'caseload data'!$C:$C,'community %'!$T$43)),"")</f>
        <v/>
      </c>
      <c r="X47" s="167" t="str">
        <f>IFERROR(SUM(SUMIFS('caseload data'!H:H,'caseload data'!$C:$C,'community %'!$T$43,'caseload data'!$D:$D,"TPO",'caseload data'!$B:$B,{"licence","community"}))/SUM(SUMIFS('caseload data'!H:H,'caseload data'!$B:$B,{"licence","community"},'caseload data'!$C:$C,'community %'!$T$43)),"")</f>
        <v/>
      </c>
      <c r="Y47" s="167" t="str">
        <f>IFERROR(SUM(SUMIFS('caseload data'!I:I,'caseload data'!$C:$C,'community %'!$T$43,'caseload data'!$D:$D,"TPO",'caseload data'!$B:$B,{"licence","community"}))/SUM(SUMIFS('caseload data'!I:I,'caseload data'!$B:$B,{"licence","community"},'caseload data'!$C:$C,'community %'!$T$43)),"")</f>
        <v/>
      </c>
      <c r="Z47" s="167" t="str">
        <f>IFERROR(SUM(SUMIFS('caseload data'!J:J,'caseload data'!$C:$C,'community %'!$T$43,'caseload data'!$D:$D,"TPO",'caseload data'!$B:$B,{"licence","community"}))/SUM(SUMIFS('caseload data'!J:J,'caseload data'!$B:$B,{"licence","community"},'caseload data'!$C:$C,'community %'!$T$43)),"")</f>
        <v/>
      </c>
      <c r="AA47" s="167" t="str">
        <f>IFERROR(SUM(SUMIFS('caseload data'!K:K,'caseload data'!$C:$C,'community %'!$T$43,'caseload data'!$D:$D,"TPO",'caseload data'!$B:$B,{"licence","community"}))/SUM(SUMIFS('caseload data'!K:K,'caseload data'!$B:$B,{"licence","community"},'caseload data'!$C:$C,'community %'!$T$43)),"")</f>
        <v/>
      </c>
      <c r="AB47" s="167" t="str">
        <f>IFERROR(SUM(SUMIFS('caseload data'!L:L,'caseload data'!$C:$C,'community %'!$T$43,'caseload data'!$D:$D,"TPO",'caseload data'!$B:$B,{"licence","community"}))/SUM(SUMIFS('caseload data'!L:L,'caseload data'!$B:$B,{"licence","community"},'caseload data'!$C:$C,'community %'!$T$43)),"")</f>
        <v/>
      </c>
      <c r="AC47" s="167" t="str">
        <f>IFERROR(SUM(SUMIFS('caseload data'!M:M,'caseload data'!$C:$C,'community %'!$T$43,'caseload data'!$D:$D,"TPO",'caseload data'!$B:$B,{"licence","community"}))/SUM(SUMIFS('caseload data'!M:M,'caseload data'!$B:$B,{"licence","community"},'caseload data'!$C:$C,'community %'!$T$43)),"")</f>
        <v/>
      </c>
      <c r="AD47" s="167" t="str">
        <f>IFERROR(SUM(SUMIFS('caseload data'!N:N,'caseload data'!$C:$C,'community %'!$T$43,'caseload data'!$D:$D,"TPO",'caseload data'!$B:$B,{"licence","community"}))/SUM(SUMIFS('caseload data'!N:N,'caseload data'!$B:$B,{"licence","community"},'caseload data'!$C:$C,'community %'!$T$43)),"")</f>
        <v/>
      </c>
      <c r="AE47" s="167" t="str">
        <f>IFERROR(SUM(SUMIFS('caseload data'!O:O,'caseload data'!$C:$C,'community %'!$T$43,'caseload data'!$D:$D,"TPO",'caseload data'!$B:$B,{"licence","community"}))/SUM(SUMIFS('caseload data'!O:O,'caseload data'!$B:$B,{"licence","community"},'caseload data'!$C:$C,'community %'!$T$43)),"")</f>
        <v/>
      </c>
      <c r="AF47" s="167" t="str">
        <f>IFERROR(SUM(SUMIFS('caseload data'!P:P,'caseload data'!$C:$C,'community %'!$T$43,'caseload data'!$D:$D,"TPO",'caseload data'!$B:$B,{"licence","community"}))/SUM(SUMIFS('caseload data'!P:P,'caseload data'!$B:$B,{"licence","community"},'caseload data'!$C:$C,'community %'!$T$43)),"")</f>
        <v/>
      </c>
      <c r="AG47" s="167" t="str">
        <f>IFERROR(SUM(SUMIFS('caseload data'!Q:Q,'caseload data'!$C:$C,'community %'!$T$43,'caseload data'!$D:$D,"TPO",'caseload data'!$B:$B,{"licence","community"}))/SUM(SUMIFS('caseload data'!Q:Q,'caseload data'!$B:$B,{"licence","community"},'caseload data'!$C:$C,'community %'!$T$43)),"")</f>
        <v/>
      </c>
      <c r="AH47" s="167" t="str">
        <f>IFERROR(SUM(SUMIFS('caseload data'!R:R,'caseload data'!$C:$C,'community %'!$T$43,'caseload data'!$D:$D,"TPO",'caseload data'!$B:$B,{"licence","community"}))/SUM(SUMIFS('caseload data'!R:R,'caseload data'!$B:$B,{"licence","community"},'caseload data'!$C:$C,'community %'!$T$43)),"")</f>
        <v/>
      </c>
      <c r="AI47" s="167" t="str">
        <f>IFERROR(SUM(SUMIFS('caseload data'!S:S,'caseload data'!$C:$C,'community %'!$T$43,'caseload data'!$D:$D,"TPO",'caseload data'!$B:$B,{"licence","community"}))/SUM(SUMIFS('caseload data'!S:S,'caseload data'!$B:$B,{"licence","community"},'caseload data'!$C:$C,'community %'!$T$43)),"")</f>
        <v/>
      </c>
      <c r="AJ47" s="167" t="str">
        <f>IFERROR(SUM(SUMIFS('caseload data'!T:T,'caseload data'!$C:$C,'community %'!$T$43,'caseload data'!$D:$D,"TPO",'caseload data'!$B:$B,{"licence","community"}))/SUM(SUMIFS('caseload data'!T:T,'caseload data'!$B:$B,{"licence","community"},'caseload data'!$C:$C,'community %'!$T$43)),"")</f>
        <v/>
      </c>
    </row>
    <row r="48" spans="2:36" x14ac:dyDescent="0.15">
      <c r="B48" s="98" t="s">
        <v>1004</v>
      </c>
      <c r="C48" s="167" t="str">
        <f>IFERROR(SUM(SUMIFS('caseload data'!E:E,'caseload data'!$C:$C,'community %'!$B$43,'caseload data'!$D:$D,"SPO",'caseload data'!$B:$B,{"licence","community"}))/SUM(SUMIFS('caseload data'!E:E,'caseload data'!$B:$B,{"licence","community"},'caseload data'!$C:$C,'community %'!$B$43)),"")</f>
        <v/>
      </c>
      <c r="D48" s="167" t="str">
        <f>IFERROR(SUM(SUMIFS('caseload data'!F:F,'caseload data'!$C:$C,'community %'!$B$43,'caseload data'!$D:$D,"SPO",'caseload data'!$B:$B,{"licence","community"}))/SUM(SUMIFS('caseload data'!F:F,'caseload data'!$B:$B,{"licence","community"},'caseload data'!$C:$C,'community %'!$B$43)),"")</f>
        <v/>
      </c>
      <c r="E48" s="167" t="str">
        <f>IFERROR(SUM(SUMIFS('caseload data'!G:G,'caseload data'!$C:$C,'community %'!$B$43,'caseload data'!$D:$D,"SPO",'caseload data'!$B:$B,{"licence","community"}))/SUM(SUMIFS('caseload data'!G:G,'caseload data'!$B:$B,{"licence","community"},'caseload data'!$C:$C,'community %'!$B$43)),"")</f>
        <v/>
      </c>
      <c r="F48" s="167" t="str">
        <f>IFERROR(SUM(SUMIFS('caseload data'!H:H,'caseload data'!$C:$C,'community %'!$B$43,'caseload data'!$D:$D,"SPO",'caseload data'!$B:$B,{"licence","community"}))/SUM(SUMIFS('caseload data'!H:H,'caseload data'!$B:$B,{"licence","community"},'caseload data'!$C:$C,'community %'!$B$43)),"")</f>
        <v/>
      </c>
      <c r="G48" s="167" t="str">
        <f>IFERROR(SUM(SUMIFS('caseload data'!I:I,'caseload data'!$C:$C,'community %'!$B$43,'caseload data'!$D:$D,"SPO",'caseload data'!$B:$B,{"licence","community"}))/SUM(SUMIFS('caseload data'!I:I,'caseload data'!$B:$B,{"licence","community"},'caseload data'!$C:$C,'community %'!$B$43)),"")</f>
        <v/>
      </c>
      <c r="H48" s="167" t="str">
        <f>IFERROR(SUM(SUMIFS('caseload data'!J:J,'caseload data'!$C:$C,'community %'!$B$43,'caseload data'!$D:$D,"SPO",'caseload data'!$B:$B,{"licence","community"}))/SUM(SUMIFS('caseload data'!J:J,'caseload data'!$B:$B,{"licence","community"},'caseload data'!$C:$C,'community %'!$B$43)),"")</f>
        <v/>
      </c>
      <c r="I48" s="167" t="str">
        <f>IFERROR(SUM(SUMIFS('caseload data'!K:K,'caseload data'!$C:$C,'community %'!$B$43,'caseload data'!$D:$D,"SPO",'caseload data'!$B:$B,{"licence","community"}))/SUM(SUMIFS('caseload data'!K:K,'caseload data'!$B:$B,{"licence","community"},'caseload data'!$C:$C,'community %'!$B$43)),"")</f>
        <v/>
      </c>
      <c r="J48" s="167" t="str">
        <f>IFERROR(SUM(SUMIFS('caseload data'!L:L,'caseload data'!$C:$C,'community %'!$B$43,'caseload data'!$D:$D,"SPO",'caseload data'!$B:$B,{"licence","community"}))/SUM(SUMIFS('caseload data'!L:L,'caseload data'!$B:$B,{"licence","community"},'caseload data'!$C:$C,'community %'!$B$43)),"")</f>
        <v/>
      </c>
      <c r="K48" s="167" t="str">
        <f>IFERROR(SUM(SUMIFS('caseload data'!M:M,'caseload data'!$C:$C,'community %'!$B$43,'caseload data'!$D:$D,"SPO",'caseload data'!$B:$B,{"licence","community"}))/SUM(SUMIFS('caseload data'!M:M,'caseload data'!$B:$B,{"licence","community"},'caseload data'!$C:$C,'community %'!$B$43)),"")</f>
        <v/>
      </c>
      <c r="L48" s="167" t="str">
        <f>IFERROR(SUM(SUMIFS('caseload data'!N:N,'caseload data'!$C:$C,'community %'!$B$43,'caseload data'!$D:$D,"SPO",'caseload data'!$B:$B,{"licence","community"}))/SUM(SUMIFS('caseload data'!N:N,'caseload data'!$B:$B,{"licence","community"},'caseload data'!$C:$C,'community %'!$B$43)),"")</f>
        <v/>
      </c>
      <c r="M48" s="167" t="str">
        <f>IFERROR(SUM(SUMIFS('caseload data'!O:O,'caseload data'!$C:$C,'community %'!$B$43,'caseload data'!$D:$D,"SPO",'caseload data'!$B:$B,{"licence","community"}))/SUM(SUMIFS('caseload data'!O:O,'caseload data'!$B:$B,{"licence","community"},'caseload data'!$C:$C,'community %'!$B$43)),"")</f>
        <v/>
      </c>
      <c r="N48" s="167" t="str">
        <f>IFERROR(SUM(SUMIFS('caseload data'!P:P,'caseload data'!$C:$C,'community %'!$B$43,'caseload data'!$D:$D,"SPO",'caseload data'!$B:$B,{"licence","community"}))/SUM(SUMIFS('caseload data'!P:P,'caseload data'!$B:$B,{"licence","community"},'caseload data'!$C:$C,'community %'!$B$43)),"")</f>
        <v/>
      </c>
      <c r="O48" s="167" t="str">
        <f>IFERROR(SUM(SUMIFS('caseload data'!Q:Q,'caseload data'!$C:$C,'community %'!$B$43,'caseload data'!$D:$D,"SPO",'caseload data'!$B:$B,{"licence","community"}))/SUM(SUMIFS('caseload data'!Q:Q,'caseload data'!$B:$B,{"licence","community"},'caseload data'!$C:$C,'community %'!$B$43)),"")</f>
        <v/>
      </c>
      <c r="P48" s="167" t="str">
        <f>IFERROR(SUM(SUMIFS('caseload data'!R:R,'caseload data'!$C:$C,'community %'!$B$43,'caseload data'!$D:$D,"SPO",'caseload data'!$B:$B,{"licence","community"}))/SUM(SUMIFS('caseload data'!R:R,'caseload data'!$B:$B,{"licence","community"},'caseload data'!$C:$C,'community %'!$B$43)),"")</f>
        <v/>
      </c>
      <c r="Q48" s="167" t="str">
        <f>IFERROR(SUM(SUMIFS('caseload data'!S:S,'caseload data'!$C:$C,'community %'!$B$43,'caseload data'!$D:$D,"SPO",'caseload data'!$B:$B,{"licence","community"}))/SUM(SUMIFS('caseload data'!S:S,'caseload data'!$B:$B,{"licence","community"},'caseload data'!$C:$C,'community %'!$B$43)),"")</f>
        <v/>
      </c>
      <c r="R48" s="167" t="str">
        <f>IFERROR(SUM(SUMIFS('caseload data'!T:T,'caseload data'!$C:$C,'community %'!$B$43,'caseload data'!$D:$D,"SPO",'caseload data'!$B:$B,{"licence","community"}))/SUM(SUMIFS('caseload data'!T:T,'caseload data'!$B:$B,{"licence","community"},'caseload data'!$C:$C,'community %'!$B$43)),"")</f>
        <v/>
      </c>
      <c r="S48" s="64"/>
      <c r="T48" s="98" t="s">
        <v>1004</v>
      </c>
      <c r="U48" s="167" t="str">
        <f>IFERROR(SUM(SUMIFS('caseload data'!E:E,'caseload data'!$C:$C,'community %'!$T$43,'caseload data'!$D:$D,"SPO",'caseload data'!$B:$B,{"licence","community"}))/SUM(SUMIFS('caseload data'!E:E,'caseload data'!$B:$B,{"licence","community"},'caseload data'!$C:$C,'community %'!$T$43)),"")</f>
        <v/>
      </c>
      <c r="V48" s="167" t="str">
        <f>IFERROR(SUM(SUMIFS('caseload data'!F:F,'caseload data'!$C:$C,'community %'!$T$43,'caseload data'!$D:$D,"SPO",'caseload data'!$B:$B,{"licence","community"}))/SUM(SUMIFS('caseload data'!F:F,'caseload data'!$B:$B,{"licence","community"},'caseload data'!$C:$C,'community %'!$T$43)),"")</f>
        <v/>
      </c>
      <c r="W48" s="167" t="str">
        <f>IFERROR(SUM(SUMIFS('caseload data'!G:G,'caseload data'!$C:$C,'community %'!$T$43,'caseload data'!$D:$D,"SPO",'caseload data'!$B:$B,{"licence","community"}))/SUM(SUMIFS('caseload data'!G:G,'caseload data'!$B:$B,{"licence","community"},'caseload data'!$C:$C,'community %'!$T$43)),"")</f>
        <v/>
      </c>
      <c r="X48" s="167" t="str">
        <f>IFERROR(SUM(SUMIFS('caseload data'!H:H,'caseload data'!$C:$C,'community %'!$T$43,'caseload data'!$D:$D,"SPO",'caseload data'!$B:$B,{"licence","community"}))/SUM(SUMIFS('caseload data'!H:H,'caseload data'!$B:$B,{"licence","community"},'caseload data'!$C:$C,'community %'!$T$43)),"")</f>
        <v/>
      </c>
      <c r="Y48" s="167" t="str">
        <f>IFERROR(SUM(SUMIFS('caseload data'!I:I,'caseload data'!$C:$C,'community %'!$T$43,'caseload data'!$D:$D,"SPO",'caseload data'!$B:$B,{"licence","community"}))/SUM(SUMIFS('caseload data'!I:I,'caseload data'!$B:$B,{"licence","community"},'caseload data'!$C:$C,'community %'!$T$43)),"")</f>
        <v/>
      </c>
      <c r="Z48" s="167" t="str">
        <f>IFERROR(SUM(SUMIFS('caseload data'!J:J,'caseload data'!$C:$C,'community %'!$T$43,'caseload data'!$D:$D,"SPO",'caseload data'!$B:$B,{"licence","community"}))/SUM(SUMIFS('caseload data'!J:J,'caseload data'!$B:$B,{"licence","community"},'caseload data'!$C:$C,'community %'!$T$43)),"")</f>
        <v/>
      </c>
      <c r="AA48" s="167" t="str">
        <f>IFERROR(SUM(SUMIFS('caseload data'!K:K,'caseload data'!$C:$C,'community %'!$T$43,'caseload data'!$D:$D,"SPO",'caseload data'!$B:$B,{"licence","community"}))/SUM(SUMIFS('caseload data'!K:K,'caseload data'!$B:$B,{"licence","community"},'caseload data'!$C:$C,'community %'!$T$43)),"")</f>
        <v/>
      </c>
      <c r="AB48" s="167" t="str">
        <f>IFERROR(SUM(SUMIFS('caseload data'!L:L,'caseload data'!$C:$C,'community %'!$T$43,'caseload data'!$D:$D,"SPO",'caseload data'!$B:$B,{"licence","community"}))/SUM(SUMIFS('caseload data'!L:L,'caseload data'!$B:$B,{"licence","community"},'caseload data'!$C:$C,'community %'!$T$43)),"")</f>
        <v/>
      </c>
      <c r="AC48" s="167" t="str">
        <f>IFERROR(SUM(SUMIFS('caseload data'!M:M,'caseload data'!$C:$C,'community %'!$T$43,'caseload data'!$D:$D,"SPO",'caseload data'!$B:$B,{"licence","community"}))/SUM(SUMIFS('caseload data'!M:M,'caseload data'!$B:$B,{"licence","community"},'caseload data'!$C:$C,'community %'!$T$43)),"")</f>
        <v/>
      </c>
      <c r="AD48" s="167" t="str">
        <f>IFERROR(SUM(SUMIFS('caseload data'!N:N,'caseload data'!$C:$C,'community %'!$T$43,'caseload data'!$D:$D,"SPO",'caseload data'!$B:$B,{"licence","community"}))/SUM(SUMIFS('caseload data'!N:N,'caseload data'!$B:$B,{"licence","community"},'caseload data'!$C:$C,'community %'!$T$43)),"")</f>
        <v/>
      </c>
      <c r="AE48" s="167" t="str">
        <f>IFERROR(SUM(SUMIFS('caseload data'!O:O,'caseload data'!$C:$C,'community %'!$T$43,'caseload data'!$D:$D,"SPO",'caseload data'!$B:$B,{"licence","community"}))/SUM(SUMIFS('caseload data'!O:O,'caseload data'!$B:$B,{"licence","community"},'caseload data'!$C:$C,'community %'!$T$43)),"")</f>
        <v/>
      </c>
      <c r="AF48" s="167" t="str">
        <f>IFERROR(SUM(SUMIFS('caseload data'!P:P,'caseload data'!$C:$C,'community %'!$T$43,'caseload data'!$D:$D,"SPO",'caseload data'!$B:$B,{"licence","community"}))/SUM(SUMIFS('caseload data'!P:P,'caseload data'!$B:$B,{"licence","community"},'caseload data'!$C:$C,'community %'!$T$43)),"")</f>
        <v/>
      </c>
      <c r="AG48" s="167" t="str">
        <f>IFERROR(SUM(SUMIFS('caseload data'!Q:Q,'caseload data'!$C:$C,'community %'!$T$43,'caseload data'!$D:$D,"SPO",'caseload data'!$B:$B,{"licence","community"}))/SUM(SUMIFS('caseload data'!Q:Q,'caseload data'!$B:$B,{"licence","community"},'caseload data'!$C:$C,'community %'!$T$43)),"")</f>
        <v/>
      </c>
      <c r="AH48" s="167" t="str">
        <f>IFERROR(SUM(SUMIFS('caseload data'!R:R,'caseload data'!$C:$C,'community %'!$T$43,'caseload data'!$D:$D,"SPO",'caseload data'!$B:$B,{"licence","community"}))/SUM(SUMIFS('caseload data'!R:R,'caseload data'!$B:$B,{"licence","community"},'caseload data'!$C:$C,'community %'!$T$43)),"")</f>
        <v/>
      </c>
      <c r="AI48" s="167" t="str">
        <f>IFERROR(SUM(SUMIFS('caseload data'!S:S,'caseload data'!$C:$C,'community %'!$T$43,'caseload data'!$D:$D,"SPO",'caseload data'!$B:$B,{"licence","community"}))/SUM(SUMIFS('caseload data'!S:S,'caseload data'!$B:$B,{"licence","community"},'caseload data'!$C:$C,'community %'!$T$43)),"")</f>
        <v/>
      </c>
      <c r="AJ48" s="167" t="str">
        <f>IFERROR(SUM(SUMIFS('caseload data'!T:T,'caseload data'!$C:$C,'community %'!$T$43,'caseload data'!$D:$D,"SPO",'caseload data'!$B:$B,{"licence","community"}))/SUM(SUMIFS('caseload data'!T:T,'caseload data'!$B:$B,{"licence","community"},'caseload data'!$C:$C,'community %'!$T$43)),"")</f>
        <v/>
      </c>
    </row>
    <row r="49" spans="2:36" x14ac:dyDescent="0.15">
      <c r="B49" s="91"/>
      <c r="C49" s="64"/>
      <c r="D49" s="64"/>
      <c r="E49" s="64"/>
      <c r="F49" s="64"/>
      <c r="G49" s="64"/>
      <c r="H49" s="64"/>
      <c r="I49" s="64"/>
      <c r="J49" s="64"/>
      <c r="K49" s="64"/>
      <c r="L49" s="64"/>
      <c r="M49" s="64"/>
      <c r="N49" s="64"/>
      <c r="O49" s="64"/>
      <c r="P49" s="64"/>
      <c r="Q49" s="64"/>
      <c r="R49" s="64"/>
      <c r="S49" s="64"/>
      <c r="T49" s="91"/>
      <c r="U49" s="64"/>
      <c r="V49" s="64"/>
      <c r="W49" s="64"/>
      <c r="X49" s="64"/>
      <c r="Y49" s="64"/>
      <c r="Z49" s="64"/>
      <c r="AA49" s="64"/>
      <c r="AB49" s="64"/>
      <c r="AC49" s="64"/>
      <c r="AD49" s="64"/>
      <c r="AE49" s="64"/>
      <c r="AF49" s="64"/>
      <c r="AG49" s="64"/>
      <c r="AH49" s="64"/>
      <c r="AI49" s="64"/>
      <c r="AJ49" s="64"/>
    </row>
    <row r="50" spans="2:36" ht="24.75" customHeight="1" x14ac:dyDescent="0.15">
      <c r="B50" s="289">
        <f>HLOOKUP($B$5,Region_Table,14,0)</f>
        <v>0</v>
      </c>
      <c r="C50" s="509" t="s">
        <v>1134</v>
      </c>
      <c r="D50" s="510"/>
      <c r="E50" s="510"/>
      <c r="F50" s="510"/>
      <c r="G50" s="510"/>
      <c r="H50" s="510"/>
      <c r="I50" s="510"/>
      <c r="J50" s="510"/>
      <c r="K50" s="510"/>
      <c r="L50" s="510"/>
      <c r="M50" s="539"/>
      <c r="N50" s="539"/>
      <c r="O50" s="540"/>
      <c r="P50" s="512" cm="1">
        <f t="array" ref="P50">SUM(SUMIFS('caseload data'!V:V,'caseload data'!B:B,{"licence","community"},'caseload data'!$C:$C,B50))</f>
        <v>0</v>
      </c>
      <c r="Q50" s="529"/>
      <c r="R50" s="530"/>
      <c r="S50" s="64"/>
      <c r="T50" s="289">
        <f>HLOOKUP($B$5,Region_Table,15,0)</f>
        <v>0</v>
      </c>
      <c r="U50" s="509" t="s">
        <v>1134</v>
      </c>
      <c r="V50" s="510"/>
      <c r="W50" s="510"/>
      <c r="X50" s="510"/>
      <c r="Y50" s="510"/>
      <c r="Z50" s="510"/>
      <c r="AA50" s="510"/>
      <c r="AB50" s="510"/>
      <c r="AC50" s="510"/>
      <c r="AD50" s="510"/>
      <c r="AE50" s="539"/>
      <c r="AF50" s="539"/>
      <c r="AG50" s="540"/>
      <c r="AH50" s="512" cm="1">
        <f t="array" ref="AH50">SUM(SUMIFS('caseload data'!V:V,'caseload data'!B:B,{"licence","community"},'caseload data'!$C:$C,T50))</f>
        <v>0</v>
      </c>
      <c r="AI50" s="529"/>
      <c r="AJ50" s="530"/>
    </row>
    <row r="51" spans="2:36" x14ac:dyDescent="0.15">
      <c r="B51" s="95" t="s">
        <v>1000</v>
      </c>
      <c r="C51" s="38" t="s">
        <v>864</v>
      </c>
      <c r="D51" s="38" t="s">
        <v>865</v>
      </c>
      <c r="E51" s="38" t="s">
        <v>866</v>
      </c>
      <c r="F51" s="38" t="s">
        <v>867</v>
      </c>
      <c r="G51" s="38" t="s">
        <v>868</v>
      </c>
      <c r="H51" s="38" t="s">
        <v>869</v>
      </c>
      <c r="I51" s="38" t="s">
        <v>870</v>
      </c>
      <c r="J51" s="38" t="s">
        <v>871</v>
      </c>
      <c r="K51" s="38" t="s">
        <v>872</v>
      </c>
      <c r="L51" s="38" t="s">
        <v>873</v>
      </c>
      <c r="M51" s="38" t="s">
        <v>874</v>
      </c>
      <c r="N51" s="38" t="s">
        <v>875</v>
      </c>
      <c r="O51" s="38" t="s">
        <v>876</v>
      </c>
      <c r="P51" s="38" t="s">
        <v>877</v>
      </c>
      <c r="Q51" s="38" t="s">
        <v>878</v>
      </c>
      <c r="R51" s="38" t="s">
        <v>879</v>
      </c>
      <c r="S51" s="64"/>
      <c r="T51" s="95" t="s">
        <v>1000</v>
      </c>
      <c r="U51" s="38" t="s">
        <v>864</v>
      </c>
      <c r="V51" s="38" t="s">
        <v>865</v>
      </c>
      <c r="W51" s="38" t="s">
        <v>866</v>
      </c>
      <c r="X51" s="38" t="s">
        <v>867</v>
      </c>
      <c r="Y51" s="38" t="s">
        <v>868</v>
      </c>
      <c r="Z51" s="38" t="s">
        <v>869</v>
      </c>
      <c r="AA51" s="38" t="s">
        <v>870</v>
      </c>
      <c r="AB51" s="38" t="s">
        <v>871</v>
      </c>
      <c r="AC51" s="38" t="s">
        <v>872</v>
      </c>
      <c r="AD51" s="38" t="s">
        <v>873</v>
      </c>
      <c r="AE51" s="38" t="s">
        <v>874</v>
      </c>
      <c r="AF51" s="38" t="s">
        <v>875</v>
      </c>
      <c r="AG51" s="38" t="s">
        <v>876</v>
      </c>
      <c r="AH51" s="38" t="s">
        <v>877</v>
      </c>
      <c r="AI51" s="38" t="s">
        <v>878</v>
      </c>
      <c r="AJ51" s="38" t="s">
        <v>879</v>
      </c>
    </row>
    <row r="52" spans="2:36" x14ac:dyDescent="0.15">
      <c r="B52" s="96" t="s">
        <v>997</v>
      </c>
      <c r="C52" s="167" t="str">
        <f>IFERROR(SUM(SUMIFS('caseload data'!E:E,'caseload data'!$C:$C,'community %'!$B$50,'caseload data'!$D:$D,"PO",'caseload data'!$B:$B,{"licence","community"}))/SUM(SUMIFS('caseload data'!E:E,'caseload data'!$B:$B,{"licence","community"},'caseload data'!$C:$C,'community %'!$B$50)),"")</f>
        <v/>
      </c>
      <c r="D52" s="167" t="str">
        <f>IFERROR(SUM(SUMIFS('caseload data'!F:F,'caseload data'!$C:$C,'community %'!$B$50,'caseload data'!$D:$D,"PO",'caseload data'!$B:$B,{"licence","community"}))/SUM(SUMIFS('caseload data'!F:F,'caseload data'!$B:$B,{"licence","community"},'caseload data'!$C:$C,'community %'!$B$50)),"")</f>
        <v/>
      </c>
      <c r="E52" s="167" t="str">
        <f>IFERROR(SUM(SUMIFS('caseload data'!G:G,'caseload data'!$C:$C,'community %'!$B$50,'caseload data'!$D:$D,"PO",'caseload data'!$B:$B,{"licence","community"}))/SUM(SUMIFS('caseload data'!G:G,'caseload data'!$B:$B,{"licence","community"},'caseload data'!$C:$C,'community %'!$B$50)),"")</f>
        <v/>
      </c>
      <c r="F52" s="167" t="str">
        <f>IFERROR(SUM(SUMIFS('caseload data'!H:H,'caseload data'!$C:$C,'community %'!$B$50,'caseload data'!$D:$D,"PO",'caseload data'!$B:$B,{"licence","community"}))/SUM(SUMIFS('caseload data'!H:H,'caseload data'!$B:$B,{"licence","community"},'caseload data'!$C:$C,'community %'!$B$50)),"")</f>
        <v/>
      </c>
      <c r="G52" s="167" t="str">
        <f>IFERROR(SUM(SUMIFS('caseload data'!I:I,'caseload data'!$C:$C,'community %'!$B$50,'caseload data'!$D:$D,"PO",'caseload data'!$B:$B,{"licence","community"}))/SUM(SUMIFS('caseload data'!I:I,'caseload data'!$B:$B,{"licence","community"},'caseload data'!$C:$C,'community %'!$B$50)),"")</f>
        <v/>
      </c>
      <c r="H52" s="167" t="str">
        <f>IFERROR(SUM(SUMIFS('caseload data'!J:J,'caseload data'!$C:$C,'community %'!$B$50,'caseload data'!$D:$D,"PO",'caseload data'!$B:$B,{"licence","community"}))/SUM(SUMIFS('caseload data'!J:J,'caseload data'!$B:$B,{"licence","community"},'caseload data'!$C:$C,'community %'!$B$50)),"")</f>
        <v/>
      </c>
      <c r="I52" s="167" t="str">
        <f>IFERROR(SUM(SUMIFS('caseload data'!K:K,'caseload data'!$C:$C,'community %'!$B$50,'caseload data'!$D:$D,"PO",'caseload data'!$B:$B,{"licence","community"}))/SUM(SUMIFS('caseload data'!K:K,'caseload data'!$B:$B,{"licence","community"},'caseload data'!$C:$C,'community %'!$B$50)),"")</f>
        <v/>
      </c>
      <c r="J52" s="167" t="str">
        <f>IFERROR(SUM(SUMIFS('caseload data'!L:L,'caseload data'!$C:$C,'community %'!$B$50,'caseload data'!$D:$D,"PO",'caseload data'!$B:$B,{"licence","community"}))/SUM(SUMIFS('caseload data'!L:L,'caseload data'!$B:$B,{"licence","community"},'caseload data'!$C:$C,'community %'!$B$50)),"")</f>
        <v/>
      </c>
      <c r="K52" s="167" t="str">
        <f>IFERROR(SUM(SUMIFS('caseload data'!M:M,'caseload data'!$C:$C,'community %'!$B$50,'caseload data'!$D:$D,"PO",'caseload data'!$B:$B,{"licence","community"}))/SUM(SUMIFS('caseload data'!M:M,'caseload data'!$B:$B,{"licence","community"},'caseload data'!$C:$C,'community %'!$B$50)),"")</f>
        <v/>
      </c>
      <c r="L52" s="167" t="str">
        <f>IFERROR(SUM(SUMIFS('caseload data'!N:N,'caseload data'!$C:$C,'community %'!$B$50,'caseload data'!$D:$D,"PO",'caseload data'!$B:$B,{"licence","community"}))/SUM(SUMIFS('caseload data'!N:N,'caseload data'!$B:$B,{"licence","community"},'caseload data'!$C:$C,'community %'!$B$50)),"")</f>
        <v/>
      </c>
      <c r="M52" s="167" t="str">
        <f>IFERROR(SUM(SUMIFS('caseload data'!O:O,'caseload data'!$C:$C,'community %'!$B$50,'caseload data'!$D:$D,"PO",'caseload data'!$B:$B,{"licence","community"}))/SUM(SUMIFS('caseload data'!O:O,'caseload data'!$B:$B,{"licence","community"},'caseload data'!$C:$C,'community %'!$B$50)),"")</f>
        <v/>
      </c>
      <c r="N52" s="167" t="str">
        <f>IFERROR(SUM(SUMIFS('caseload data'!P:P,'caseload data'!$C:$C,'community %'!$B$50,'caseload data'!$D:$D,"PO",'caseload data'!$B:$B,{"licence","community"}))/SUM(SUMIFS('caseload data'!P:P,'caseload data'!$B:$B,{"licence","community"},'caseload data'!$C:$C,'community %'!$B$50)),"")</f>
        <v/>
      </c>
      <c r="O52" s="167" t="str">
        <f>IFERROR(SUM(SUMIFS('caseload data'!Q:Q,'caseload data'!$C:$C,'community %'!$B$50,'caseload data'!$D:$D,"PO",'caseload data'!$B:$B,{"licence","community"}))/SUM(SUMIFS('caseload data'!Q:Q,'caseload data'!$B:$B,{"licence","community"},'caseload data'!$C:$C,'community %'!$B$50)),"")</f>
        <v/>
      </c>
      <c r="P52" s="167" t="str">
        <f>IFERROR(SUM(SUMIFS('caseload data'!R:R,'caseload data'!$C:$C,'community %'!$B$50,'caseload data'!$D:$D,"PO",'caseload data'!$B:$B,{"licence","community"}))/SUM(SUMIFS('caseload data'!R:R,'caseload data'!$B:$B,{"licence","community"},'caseload data'!$C:$C,'community %'!$B$50)),"")</f>
        <v/>
      </c>
      <c r="Q52" s="167" t="str">
        <f>IFERROR(SUM(SUMIFS('caseload data'!S:S,'caseload data'!$C:$C,'community %'!$B$50,'caseload data'!$D:$D,"PO",'caseload data'!$B:$B,{"licence","community"}))/SUM(SUMIFS('caseload data'!S:S,'caseload data'!$B:$B,{"licence","community"},'caseload data'!$C:$C,'community %'!$B$50)),"")</f>
        <v/>
      </c>
      <c r="R52" s="167" t="str">
        <f>IFERROR(SUM(SUMIFS('caseload data'!T:T,'caseload data'!$C:$C,'community %'!$B$50,'caseload data'!$D:$D,"PO",'caseload data'!$B:$B,{"licence","community"}))/SUM(SUMIFS('caseload data'!T:T,'caseload data'!$B:$B,{"licence","community"},'caseload data'!$C:$C,'community %'!$B$50)),"")</f>
        <v/>
      </c>
      <c r="S52" s="64"/>
      <c r="T52" s="96" t="s">
        <v>997</v>
      </c>
      <c r="U52" s="167" t="str">
        <f>IFERROR(SUM(SUMIFS('caseload data'!E:E,'caseload data'!$C:$C,'community %'!$T$50,'caseload data'!$D:$D,"PO",'caseload data'!$B:$B,{"licence","community"}))/SUM(SUMIFS('caseload data'!E:E,'caseload data'!$B:$B,{"licence","community"},'caseload data'!$C:$C,'community %'!$T$50)),"")</f>
        <v/>
      </c>
      <c r="V52" s="167" t="str">
        <f>IFERROR(SUM(SUMIFS('caseload data'!F:F,'caseload data'!$C:$C,'community %'!$T$50,'caseload data'!$D:$D,"PO",'caseload data'!$B:$B,{"licence","community"}))/SUM(SUMIFS('caseload data'!F:F,'caseload data'!$B:$B,{"licence","community"},'caseload data'!$C:$C,'community %'!$T$50)),"")</f>
        <v/>
      </c>
      <c r="W52" s="167" t="str">
        <f>IFERROR(SUM(SUMIFS('caseload data'!G:G,'caseload data'!$C:$C,'community %'!$T$50,'caseload data'!$D:$D,"PO",'caseload data'!$B:$B,{"licence","community"}))/SUM(SUMIFS('caseload data'!G:G,'caseload data'!$B:$B,{"licence","community"},'caseload data'!$C:$C,'community %'!$T$50)),"")</f>
        <v/>
      </c>
      <c r="X52" s="167" t="str">
        <f>IFERROR(SUM(SUMIFS('caseload data'!H:H,'caseload data'!$C:$C,'community %'!$T$50,'caseload data'!$D:$D,"PO",'caseload data'!$B:$B,{"licence","community"}))/SUM(SUMIFS('caseload data'!H:H,'caseload data'!$B:$B,{"licence","community"},'caseload data'!$C:$C,'community %'!$T$50)),"")</f>
        <v/>
      </c>
      <c r="Y52" s="167" t="str">
        <f>IFERROR(SUM(SUMIFS('caseload data'!I:I,'caseload data'!$C:$C,'community %'!$T$50,'caseload data'!$D:$D,"PO",'caseload data'!$B:$B,{"licence","community"}))/SUM(SUMIFS('caseload data'!I:I,'caseload data'!$B:$B,{"licence","community"},'caseload data'!$C:$C,'community %'!$T$50)),"")</f>
        <v/>
      </c>
      <c r="Z52" s="167" t="str">
        <f>IFERROR(SUM(SUMIFS('caseload data'!J:J,'caseload data'!$C:$C,'community %'!$T$50,'caseload data'!$D:$D,"PO",'caseload data'!$B:$B,{"licence","community"}))/SUM(SUMIFS('caseload data'!J:J,'caseload data'!$B:$B,{"licence","community"},'caseload data'!$C:$C,'community %'!$T$50)),"")</f>
        <v/>
      </c>
      <c r="AA52" s="167" t="str">
        <f>IFERROR(SUM(SUMIFS('caseload data'!K:K,'caseload data'!$C:$C,'community %'!$T$50,'caseload data'!$D:$D,"PO",'caseload data'!$B:$B,{"licence","community"}))/SUM(SUMIFS('caseload data'!K:K,'caseload data'!$B:$B,{"licence","community"},'caseload data'!$C:$C,'community %'!$T$50)),"")</f>
        <v/>
      </c>
      <c r="AB52" s="167" t="str">
        <f>IFERROR(SUM(SUMIFS('caseload data'!L:L,'caseload data'!$C:$C,'community %'!$T$50,'caseload data'!$D:$D,"PO",'caseload data'!$B:$B,{"licence","community"}))/SUM(SUMIFS('caseload data'!L:L,'caseload data'!$B:$B,{"licence","community"},'caseload data'!$C:$C,'community %'!$T$50)),"")</f>
        <v/>
      </c>
      <c r="AC52" s="167" t="str">
        <f>IFERROR(SUM(SUMIFS('caseload data'!M:M,'caseload data'!$C:$C,'community %'!$T$50,'caseload data'!$D:$D,"PO",'caseload data'!$B:$B,{"licence","community"}))/SUM(SUMIFS('caseload data'!M:M,'caseload data'!$B:$B,{"licence","community"},'caseload data'!$C:$C,'community %'!$T$50)),"")</f>
        <v/>
      </c>
      <c r="AD52" s="167" t="str">
        <f>IFERROR(SUM(SUMIFS('caseload data'!N:N,'caseload data'!$C:$C,'community %'!$T$50,'caseload data'!$D:$D,"PO",'caseload data'!$B:$B,{"licence","community"}))/SUM(SUMIFS('caseload data'!N:N,'caseload data'!$B:$B,{"licence","community"},'caseload data'!$C:$C,'community %'!$T$50)),"")</f>
        <v/>
      </c>
      <c r="AE52" s="167" t="str">
        <f>IFERROR(SUM(SUMIFS('caseload data'!O:O,'caseload data'!$C:$C,'community %'!$T$50,'caseload data'!$D:$D,"PO",'caseload data'!$B:$B,{"licence","community"}))/SUM(SUMIFS('caseload data'!O:O,'caseload data'!$B:$B,{"licence","community"},'caseload data'!$C:$C,'community %'!$T$50)),"")</f>
        <v/>
      </c>
      <c r="AF52" s="167" t="str">
        <f>IFERROR(SUM(SUMIFS('caseload data'!P:P,'caseload data'!$C:$C,'community %'!$T$50,'caseload data'!$D:$D,"PO",'caseload data'!$B:$B,{"licence","community"}))/SUM(SUMIFS('caseload data'!P:P,'caseload data'!$B:$B,{"licence","community"},'caseload data'!$C:$C,'community %'!$T$50)),"")</f>
        <v/>
      </c>
      <c r="AG52" s="167" t="str">
        <f>IFERROR(SUM(SUMIFS('caseload data'!Q:Q,'caseload data'!$C:$C,'community %'!$T$50,'caseload data'!$D:$D,"PO",'caseload data'!$B:$B,{"licence","community"}))/SUM(SUMIFS('caseload data'!Q:Q,'caseload data'!$B:$B,{"licence","community"},'caseload data'!$C:$C,'community %'!$T$50)),"")</f>
        <v/>
      </c>
      <c r="AH52" s="167" t="str">
        <f>IFERROR(SUM(SUMIFS('caseload data'!R:R,'caseload data'!$C:$C,'community %'!$T$50,'caseload data'!$D:$D,"PO",'caseload data'!$B:$B,{"licence","community"}))/SUM(SUMIFS('caseload data'!R:R,'caseload data'!$B:$B,{"licence","community"},'caseload data'!$C:$C,'community %'!$T$50)),"")</f>
        <v/>
      </c>
      <c r="AI52" s="167" t="str">
        <f>IFERROR(SUM(SUMIFS('caseload data'!S:S,'caseload data'!$C:$C,'community %'!$T$50,'caseload data'!$D:$D,"PO",'caseload data'!$B:$B,{"licence","community"}))/SUM(SUMIFS('caseload data'!S:S,'caseload data'!$B:$B,{"licence","community"},'caseload data'!$C:$C,'community %'!$T$50)),"")</f>
        <v/>
      </c>
      <c r="AJ52" s="167" t="str">
        <f>IFERROR(SUM(SUMIFS('caseload data'!T:T,'caseload data'!$C:$C,'community %'!$T$50,'caseload data'!$D:$D,"PO",'caseload data'!$B:$B,{"licence","community"}))/SUM(SUMIFS('caseload data'!T:T,'caseload data'!$B:$B,{"licence","community"},'caseload data'!$C:$C,'community %'!$T$50)),"")</f>
        <v/>
      </c>
    </row>
    <row r="53" spans="2:36" x14ac:dyDescent="0.15">
      <c r="B53" s="97" t="s">
        <v>1002</v>
      </c>
      <c r="C53" s="167" t="str">
        <f>IFERROR(SUM(SUMIFS('caseload data'!E:E,'caseload data'!$C:$C,'community %'!$B$50,'caseload data'!$D:$D,"PSO",'caseload data'!$B:$B,{"licence","community"}))/SUM(SUMIFS('caseload data'!E:E,'caseload data'!$B:$B,{"licence","community"},'caseload data'!$C:$C,'community %'!$B$50)),"")</f>
        <v/>
      </c>
      <c r="D53" s="167" t="str">
        <f>IFERROR(SUM(SUMIFS('caseload data'!F:F,'caseload data'!$C:$C,'community %'!$B$50,'caseload data'!$D:$D,"PSO",'caseload data'!$B:$B,{"licence","community"}))/SUM(SUMIFS('caseload data'!F:F,'caseload data'!$B:$B,{"licence","community"},'caseload data'!$C:$C,'community %'!$B$50)),"")</f>
        <v/>
      </c>
      <c r="E53" s="167" t="str">
        <f>IFERROR(SUM(SUMIFS('caseload data'!G:G,'caseload data'!$C:$C,'community %'!$B$50,'caseload data'!$D:$D,"PSO",'caseload data'!$B:$B,{"licence","community"}))/SUM(SUMIFS('caseload data'!G:G,'caseload data'!$B:$B,{"licence","community"},'caseload data'!$C:$C,'community %'!$B$50)),"")</f>
        <v/>
      </c>
      <c r="F53" s="167" t="str">
        <f>IFERROR(SUM(SUMIFS('caseload data'!H:H,'caseload data'!$C:$C,'community %'!$B$50,'caseload data'!$D:$D,"PSO",'caseload data'!$B:$B,{"licence","community"}))/SUM(SUMIFS('caseload data'!H:H,'caseload data'!$B:$B,{"licence","community"},'caseload data'!$C:$C,'community %'!$B$50)),"")</f>
        <v/>
      </c>
      <c r="G53" s="167" t="str">
        <f>IFERROR(SUM(SUMIFS('caseload data'!I:I,'caseload data'!$C:$C,'community %'!$B$50,'caseload data'!$D:$D,"PSO",'caseload data'!$B:$B,{"licence","community"}))/SUM(SUMIFS('caseload data'!I:I,'caseload data'!$B:$B,{"licence","community"},'caseload data'!$C:$C,'community %'!$B$50)),"")</f>
        <v/>
      </c>
      <c r="H53" s="167" t="str">
        <f>IFERROR(SUM(SUMIFS('caseload data'!J:J,'caseload data'!$C:$C,'community %'!$B$50,'caseload data'!$D:$D,"PSO",'caseload data'!$B:$B,{"licence","community"}))/SUM(SUMIFS('caseload data'!J:J,'caseload data'!$B:$B,{"licence","community"},'caseload data'!$C:$C,'community %'!$B$50)),"")</f>
        <v/>
      </c>
      <c r="I53" s="167" t="str">
        <f>IFERROR(SUM(SUMIFS('caseload data'!K:K,'caseload data'!$C:$C,'community %'!$B$50,'caseload data'!$D:$D,"PSO",'caseload data'!$B:$B,{"licence","community"}))/SUM(SUMIFS('caseload data'!K:K,'caseload data'!$B:$B,{"licence","community"},'caseload data'!$C:$C,'community %'!$B$50)),"")</f>
        <v/>
      </c>
      <c r="J53" s="167" t="str">
        <f>IFERROR(SUM(SUMIFS('caseload data'!L:L,'caseload data'!$C:$C,'community %'!$B$50,'caseload data'!$D:$D,"PSO",'caseload data'!$B:$B,{"licence","community"}))/SUM(SUMIFS('caseload data'!L:L,'caseload data'!$B:$B,{"licence","community"},'caseload data'!$C:$C,'community %'!$B$50)),"")</f>
        <v/>
      </c>
      <c r="K53" s="167" t="str">
        <f>IFERROR(SUM(SUMIFS('caseload data'!M:M,'caseload data'!$C:$C,'community %'!$B$50,'caseload data'!$D:$D,"PSO",'caseload data'!$B:$B,{"licence","community"}))/SUM(SUMIFS('caseload data'!M:M,'caseload data'!$B:$B,{"licence","community"},'caseload data'!$C:$C,'community %'!$B$50)),"")</f>
        <v/>
      </c>
      <c r="L53" s="167" t="str">
        <f>IFERROR(SUM(SUMIFS('caseload data'!N:N,'caseload data'!$C:$C,'community %'!$B$50,'caseload data'!$D:$D,"PSO",'caseload data'!$B:$B,{"licence","community"}))/SUM(SUMIFS('caseload data'!N:N,'caseload data'!$B:$B,{"licence","community"},'caseload data'!$C:$C,'community %'!$B$50)),"")</f>
        <v/>
      </c>
      <c r="M53" s="167" t="str">
        <f>IFERROR(SUM(SUMIFS('caseload data'!O:O,'caseload data'!$C:$C,'community %'!$B$50,'caseload data'!$D:$D,"PSO",'caseload data'!$B:$B,{"licence","community"}))/SUM(SUMIFS('caseload data'!O:O,'caseload data'!$B:$B,{"licence","community"},'caseload data'!$C:$C,'community %'!$B$50)),"")</f>
        <v/>
      </c>
      <c r="N53" s="167" t="str">
        <f>IFERROR(SUM(SUMIFS('caseload data'!P:P,'caseload data'!$C:$C,'community %'!$B$50,'caseload data'!$D:$D,"PSO",'caseload data'!$B:$B,{"licence","community"}))/SUM(SUMIFS('caseload data'!P:P,'caseload data'!$B:$B,{"licence","community"},'caseload data'!$C:$C,'community %'!$B$50)),"")</f>
        <v/>
      </c>
      <c r="O53" s="167" t="str">
        <f>IFERROR(SUM(SUMIFS('caseload data'!Q:Q,'caseload data'!$C:$C,'community %'!$B$50,'caseload data'!$D:$D,"PSO",'caseload data'!$B:$B,{"licence","community"}))/SUM(SUMIFS('caseload data'!Q:Q,'caseload data'!$B:$B,{"licence","community"},'caseload data'!$C:$C,'community %'!$B$50)),"")</f>
        <v/>
      </c>
      <c r="P53" s="167" t="str">
        <f>IFERROR(SUM(SUMIFS('caseload data'!R:R,'caseload data'!$C:$C,'community %'!$B$50,'caseload data'!$D:$D,"PSO",'caseload data'!$B:$B,{"licence","community"}))/SUM(SUMIFS('caseload data'!R:R,'caseload data'!$B:$B,{"licence","community"},'caseload data'!$C:$C,'community %'!$B$50)),"")</f>
        <v/>
      </c>
      <c r="Q53" s="167" t="str">
        <f>IFERROR(SUM(SUMIFS('caseload data'!S:S,'caseload data'!$C:$C,'community %'!$B$50,'caseload data'!$D:$D,"PSO",'caseload data'!$B:$B,{"licence","community"}))/SUM(SUMIFS('caseload data'!S:S,'caseload data'!$B:$B,{"licence","community"},'caseload data'!$C:$C,'community %'!$B$50)),"")</f>
        <v/>
      </c>
      <c r="R53" s="167" t="str">
        <f>IFERROR(SUM(SUMIFS('caseload data'!T:T,'caseload data'!$C:$C,'community %'!$B$50,'caseload data'!$D:$D,"PSO",'caseload data'!$B:$B,{"licence","community"}))/SUM(SUMIFS('caseload data'!T:T,'caseload data'!$B:$B,{"licence","community"},'caseload data'!$C:$C,'community %'!$B$50)),"")</f>
        <v/>
      </c>
      <c r="S53" s="64"/>
      <c r="T53" s="97" t="s">
        <v>1002</v>
      </c>
      <c r="U53" s="167" t="str">
        <f>IFERROR(SUM(SUMIFS('caseload data'!E:E,'caseload data'!$C:$C,'community %'!$T$50,'caseload data'!$D:$D,"PSO",'caseload data'!$B:$B,{"licence","community"}))/SUM(SUMIFS('caseload data'!E:E,'caseload data'!$B:$B,{"licence","community"},'caseload data'!$C:$C,'community %'!$T$50)),"")</f>
        <v/>
      </c>
      <c r="V53" s="167" t="str">
        <f>IFERROR(SUM(SUMIFS('caseload data'!F:F,'caseload data'!$C:$C,'community %'!$T$50,'caseload data'!$D:$D,"PSO",'caseload data'!$B:$B,{"licence","community"}))/SUM(SUMIFS('caseload data'!F:F,'caseload data'!$B:$B,{"licence","community"},'caseload data'!$C:$C,'community %'!$T$50)),"")</f>
        <v/>
      </c>
      <c r="W53" s="167" t="str">
        <f>IFERROR(SUM(SUMIFS('caseload data'!G:G,'caseload data'!$C:$C,'community %'!$T$50,'caseload data'!$D:$D,"PSO",'caseload data'!$B:$B,{"licence","community"}))/SUM(SUMIFS('caseload data'!G:G,'caseload data'!$B:$B,{"licence","community"},'caseload data'!$C:$C,'community %'!$T$50)),"")</f>
        <v/>
      </c>
      <c r="X53" s="167" t="str">
        <f>IFERROR(SUM(SUMIFS('caseload data'!H:H,'caseload data'!$C:$C,'community %'!$T$50,'caseload data'!$D:$D,"PSO",'caseload data'!$B:$B,{"licence","community"}))/SUM(SUMIFS('caseload data'!H:H,'caseload data'!$B:$B,{"licence","community"},'caseload data'!$C:$C,'community %'!$T$50)),"")</f>
        <v/>
      </c>
      <c r="Y53" s="167" t="str">
        <f>IFERROR(SUM(SUMIFS('caseload data'!I:I,'caseload data'!$C:$C,'community %'!$T$50,'caseload data'!$D:$D,"PSO",'caseload data'!$B:$B,{"licence","community"}))/SUM(SUMIFS('caseload data'!I:I,'caseload data'!$B:$B,{"licence","community"},'caseload data'!$C:$C,'community %'!$T$50)),"")</f>
        <v/>
      </c>
      <c r="Z53" s="167" t="str">
        <f>IFERROR(SUM(SUMIFS('caseload data'!J:J,'caseload data'!$C:$C,'community %'!$T$50,'caseload data'!$D:$D,"PSO",'caseload data'!$B:$B,{"licence","community"}))/SUM(SUMIFS('caseload data'!J:J,'caseload data'!$B:$B,{"licence","community"},'caseload data'!$C:$C,'community %'!$T$50)),"")</f>
        <v/>
      </c>
      <c r="AA53" s="167" t="str">
        <f>IFERROR(SUM(SUMIFS('caseload data'!K:K,'caseload data'!$C:$C,'community %'!$T$50,'caseload data'!$D:$D,"PSO",'caseload data'!$B:$B,{"licence","community"}))/SUM(SUMIFS('caseload data'!K:K,'caseload data'!$B:$B,{"licence","community"},'caseload data'!$C:$C,'community %'!$T$50)),"")</f>
        <v/>
      </c>
      <c r="AB53" s="167" t="str">
        <f>IFERROR(SUM(SUMIFS('caseload data'!L:L,'caseload data'!$C:$C,'community %'!$T$50,'caseload data'!$D:$D,"PSO",'caseload data'!$B:$B,{"licence","community"}))/SUM(SUMIFS('caseload data'!L:L,'caseload data'!$B:$B,{"licence","community"},'caseload data'!$C:$C,'community %'!$T$50)),"")</f>
        <v/>
      </c>
      <c r="AC53" s="167" t="str">
        <f>IFERROR(SUM(SUMIFS('caseload data'!M:M,'caseload data'!$C:$C,'community %'!$T$50,'caseload data'!$D:$D,"PSO",'caseload data'!$B:$B,{"licence","community"}))/SUM(SUMIFS('caseload data'!M:M,'caseload data'!$B:$B,{"licence","community"},'caseload data'!$C:$C,'community %'!$T$50)),"")</f>
        <v/>
      </c>
      <c r="AD53" s="167" t="str">
        <f>IFERROR(SUM(SUMIFS('caseload data'!N:N,'caseload data'!$C:$C,'community %'!$T$50,'caseload data'!$D:$D,"PSO",'caseload data'!$B:$B,{"licence","community"}))/SUM(SUMIFS('caseload data'!N:N,'caseload data'!$B:$B,{"licence","community"},'caseload data'!$C:$C,'community %'!$T$50)),"")</f>
        <v/>
      </c>
      <c r="AE53" s="167" t="str">
        <f>IFERROR(SUM(SUMIFS('caseload data'!O:O,'caseload data'!$C:$C,'community %'!$T$50,'caseload data'!$D:$D,"PSO",'caseload data'!$B:$B,{"licence","community"}))/SUM(SUMIFS('caseload data'!O:O,'caseload data'!$B:$B,{"licence","community"},'caseload data'!$C:$C,'community %'!$T$50)),"")</f>
        <v/>
      </c>
      <c r="AF53" s="167" t="str">
        <f>IFERROR(SUM(SUMIFS('caseload data'!P:P,'caseload data'!$C:$C,'community %'!$T$50,'caseload data'!$D:$D,"PSO",'caseload data'!$B:$B,{"licence","community"}))/SUM(SUMIFS('caseload data'!P:P,'caseload data'!$B:$B,{"licence","community"},'caseload data'!$C:$C,'community %'!$T$50)),"")</f>
        <v/>
      </c>
      <c r="AG53" s="167" t="str">
        <f>IFERROR(SUM(SUMIFS('caseload data'!Q:Q,'caseload data'!$C:$C,'community %'!$T$50,'caseload data'!$D:$D,"PSO",'caseload data'!$B:$B,{"licence","community"}))/SUM(SUMIFS('caseload data'!Q:Q,'caseload data'!$B:$B,{"licence","community"},'caseload data'!$C:$C,'community %'!$T$50)),"")</f>
        <v/>
      </c>
      <c r="AH53" s="167" t="str">
        <f>IFERROR(SUM(SUMIFS('caseload data'!R:R,'caseload data'!$C:$C,'community %'!$T$50,'caseload data'!$D:$D,"PSO",'caseload data'!$B:$B,{"licence","community"}))/SUM(SUMIFS('caseload data'!R:R,'caseload data'!$B:$B,{"licence","community"},'caseload data'!$C:$C,'community %'!$T$50)),"")</f>
        <v/>
      </c>
      <c r="AI53" s="167" t="str">
        <f>IFERROR(SUM(SUMIFS('caseload data'!S:S,'caseload data'!$C:$C,'community %'!$T$50,'caseload data'!$D:$D,"PSO",'caseload data'!$B:$B,{"licence","community"}))/SUM(SUMIFS('caseload data'!S:S,'caseload data'!$B:$B,{"licence","community"},'caseload data'!$C:$C,'community %'!$T$50)),"")</f>
        <v/>
      </c>
      <c r="AJ53" s="167" t="str">
        <f>IFERROR(SUM(SUMIFS('caseload data'!T:T,'caseload data'!$C:$C,'community %'!$T$50,'caseload data'!$D:$D,"PSO",'caseload data'!$B:$B,{"licence","community"}))/SUM(SUMIFS('caseload data'!T:T,'caseload data'!$B:$B,{"licence","community"},'caseload data'!$C:$C,'community %'!$T$50)),"")</f>
        <v/>
      </c>
    </row>
    <row r="54" spans="2:36" x14ac:dyDescent="0.15">
      <c r="B54" s="97" t="s">
        <v>1003</v>
      </c>
      <c r="C54" s="167" t="str">
        <f>IFERROR(SUM(SUMIFS('caseload data'!E:E,'caseload data'!$C:$C,'community %'!$B$50,'caseload data'!$D:$D,"TPO",'caseload data'!$B:$B,{"licence","community"}))/SUM(SUMIFS('caseload data'!E:E,'caseload data'!$B:$B,{"licence","community"},'caseload data'!$C:$C,'community %'!$B$50)),"")</f>
        <v/>
      </c>
      <c r="D54" s="167" t="str">
        <f>IFERROR(SUM(SUMIFS('caseload data'!F:F,'caseload data'!$C:$C,'community %'!$B$50,'caseload data'!$D:$D,"TPO",'caseload data'!$B:$B,{"licence","community"}))/SUM(SUMIFS('caseload data'!F:F,'caseload data'!$B:$B,{"licence","community"},'caseload data'!$C:$C,'community %'!$B$50)),"")</f>
        <v/>
      </c>
      <c r="E54" s="167" t="str">
        <f>IFERROR(SUM(SUMIFS('caseload data'!G:G,'caseload data'!$C:$C,'community %'!$B$50,'caseload data'!$D:$D,"TPO",'caseload data'!$B:$B,{"licence","community"}))/SUM(SUMIFS('caseload data'!G:G,'caseload data'!$B:$B,{"licence","community"},'caseload data'!$C:$C,'community %'!$B$50)),"")</f>
        <v/>
      </c>
      <c r="F54" s="167" t="str">
        <f>IFERROR(SUM(SUMIFS('caseload data'!H:H,'caseload data'!$C:$C,'community %'!$B$50,'caseload data'!$D:$D,"TPO",'caseload data'!$B:$B,{"licence","community"}))/SUM(SUMIFS('caseload data'!H:H,'caseload data'!$B:$B,{"licence","community"},'caseload data'!$C:$C,'community %'!$B$50)),"")</f>
        <v/>
      </c>
      <c r="G54" s="167" t="str">
        <f>IFERROR(SUM(SUMIFS('caseload data'!I:I,'caseload data'!$C:$C,'community %'!$B$50,'caseload data'!$D:$D,"TPO",'caseload data'!$B:$B,{"licence","community"}))/SUM(SUMIFS('caseload data'!I:I,'caseload data'!$B:$B,{"licence","community"},'caseload data'!$C:$C,'community %'!$B$50)),"")</f>
        <v/>
      </c>
      <c r="H54" s="167" t="str">
        <f>IFERROR(SUM(SUMIFS('caseload data'!J:J,'caseload data'!$C:$C,'community %'!$B$50,'caseload data'!$D:$D,"TPO",'caseload data'!$B:$B,{"licence","community"}))/SUM(SUMIFS('caseload data'!J:J,'caseload data'!$B:$B,{"licence","community"},'caseload data'!$C:$C,'community %'!$B$50)),"")</f>
        <v/>
      </c>
      <c r="I54" s="167" t="str">
        <f>IFERROR(SUM(SUMIFS('caseload data'!K:K,'caseload data'!$C:$C,'community %'!$B$50,'caseload data'!$D:$D,"TPO",'caseload data'!$B:$B,{"licence","community"}))/SUM(SUMIFS('caseload data'!K:K,'caseload data'!$B:$B,{"licence","community"},'caseload data'!$C:$C,'community %'!$B$50)),"")</f>
        <v/>
      </c>
      <c r="J54" s="167" t="str">
        <f>IFERROR(SUM(SUMIFS('caseload data'!L:L,'caseload data'!$C:$C,'community %'!$B$50,'caseload data'!$D:$D,"TPO",'caseload data'!$B:$B,{"licence","community"}))/SUM(SUMIFS('caseload data'!L:L,'caseload data'!$B:$B,{"licence","community"},'caseload data'!$C:$C,'community %'!$B$50)),"")</f>
        <v/>
      </c>
      <c r="K54" s="167" t="str">
        <f>IFERROR(SUM(SUMIFS('caseload data'!M:M,'caseload data'!$C:$C,'community %'!$B$50,'caseload data'!$D:$D,"TPO",'caseload data'!$B:$B,{"licence","community"}))/SUM(SUMIFS('caseload data'!M:M,'caseload data'!$B:$B,{"licence","community"},'caseload data'!$C:$C,'community %'!$B$50)),"")</f>
        <v/>
      </c>
      <c r="L54" s="167" t="str">
        <f>IFERROR(SUM(SUMIFS('caseload data'!N:N,'caseload data'!$C:$C,'community %'!$B$50,'caseload data'!$D:$D,"TPO",'caseload data'!$B:$B,{"licence","community"}))/SUM(SUMIFS('caseload data'!N:N,'caseload data'!$B:$B,{"licence","community"},'caseload data'!$C:$C,'community %'!$B$50)),"")</f>
        <v/>
      </c>
      <c r="M54" s="167" t="str">
        <f>IFERROR(SUM(SUMIFS('caseload data'!O:O,'caseload data'!$C:$C,'community %'!$B$50,'caseload data'!$D:$D,"TPO",'caseload data'!$B:$B,{"licence","community"}))/SUM(SUMIFS('caseload data'!O:O,'caseload data'!$B:$B,{"licence","community"},'caseload data'!$C:$C,'community %'!$B$50)),"")</f>
        <v/>
      </c>
      <c r="N54" s="167" t="str">
        <f>IFERROR(SUM(SUMIFS('caseload data'!P:P,'caseload data'!$C:$C,'community %'!$B$50,'caseload data'!$D:$D,"TPO",'caseload data'!$B:$B,{"licence","community"}))/SUM(SUMIFS('caseload data'!P:P,'caseload data'!$B:$B,{"licence","community"},'caseload data'!$C:$C,'community %'!$B$50)),"")</f>
        <v/>
      </c>
      <c r="O54" s="167" t="str">
        <f>IFERROR(SUM(SUMIFS('caseload data'!Q:Q,'caseload data'!$C:$C,'community %'!$B$50,'caseload data'!$D:$D,"TPO",'caseload data'!$B:$B,{"licence","community"}))/SUM(SUMIFS('caseload data'!Q:Q,'caseload data'!$B:$B,{"licence","community"},'caseload data'!$C:$C,'community %'!$B$50)),"")</f>
        <v/>
      </c>
      <c r="P54" s="167" t="str">
        <f>IFERROR(SUM(SUMIFS('caseload data'!R:R,'caseload data'!$C:$C,'community %'!$B$50,'caseload data'!$D:$D,"TPO",'caseload data'!$B:$B,{"licence","community"}))/SUM(SUMIFS('caseload data'!R:R,'caseload data'!$B:$B,{"licence","community"},'caseload data'!$C:$C,'community %'!$B$50)),"")</f>
        <v/>
      </c>
      <c r="Q54" s="167" t="str">
        <f>IFERROR(SUM(SUMIFS('caseload data'!S:S,'caseload data'!$C:$C,'community %'!$B$50,'caseload data'!$D:$D,"TPO",'caseload data'!$B:$B,{"licence","community"}))/SUM(SUMIFS('caseload data'!S:S,'caseload data'!$B:$B,{"licence","community"},'caseload data'!$C:$C,'community %'!$B$50)),"")</f>
        <v/>
      </c>
      <c r="R54" s="167" t="str">
        <f>IFERROR(SUM(SUMIFS('caseload data'!T:T,'caseload data'!$C:$C,'community %'!$B$50,'caseload data'!$D:$D,"TPO",'caseload data'!$B:$B,{"licence","community"}))/SUM(SUMIFS('caseload data'!T:T,'caseload data'!$B:$B,{"licence","community"},'caseload data'!$C:$C,'community %'!$B$50)),"")</f>
        <v/>
      </c>
      <c r="S54" s="64"/>
      <c r="T54" s="97" t="s">
        <v>1003</v>
      </c>
      <c r="U54" s="167" t="str">
        <f>IFERROR(SUM(SUMIFS('caseload data'!E:E,'caseload data'!$C:$C,'community %'!$T$50,'caseload data'!$D:$D,"TPO",'caseload data'!$B:$B,{"licence","community"}))/SUM(SUMIFS('caseload data'!E:E,'caseload data'!$B:$B,{"licence","community"},'caseload data'!$C:$C,'community %'!$T$50)),"")</f>
        <v/>
      </c>
      <c r="V54" s="167" t="str">
        <f>IFERROR(SUM(SUMIFS('caseload data'!F:F,'caseload data'!$C:$C,'community %'!$T$50,'caseload data'!$D:$D,"TPO",'caseload data'!$B:$B,{"licence","community"}))/SUM(SUMIFS('caseload data'!F:F,'caseload data'!$B:$B,{"licence","community"},'caseload data'!$C:$C,'community %'!$T$50)),"")</f>
        <v/>
      </c>
      <c r="W54" s="167" t="str">
        <f>IFERROR(SUM(SUMIFS('caseload data'!G:G,'caseload data'!$C:$C,'community %'!$T$50,'caseload data'!$D:$D,"TPO",'caseload data'!$B:$B,{"licence","community"}))/SUM(SUMIFS('caseload data'!G:G,'caseload data'!$B:$B,{"licence","community"},'caseload data'!$C:$C,'community %'!$T$50)),"")</f>
        <v/>
      </c>
      <c r="X54" s="167" t="str">
        <f>IFERROR(SUM(SUMIFS('caseload data'!H:H,'caseload data'!$C:$C,'community %'!$T$50,'caseload data'!$D:$D,"TPO",'caseload data'!$B:$B,{"licence","community"}))/SUM(SUMIFS('caseload data'!H:H,'caseload data'!$B:$B,{"licence","community"},'caseload data'!$C:$C,'community %'!$T$50)),"")</f>
        <v/>
      </c>
      <c r="Y54" s="167" t="str">
        <f>IFERROR(SUM(SUMIFS('caseload data'!I:I,'caseload data'!$C:$C,'community %'!$T$50,'caseload data'!$D:$D,"TPO",'caseload data'!$B:$B,{"licence","community"}))/SUM(SUMIFS('caseload data'!I:I,'caseload data'!$B:$B,{"licence","community"},'caseload data'!$C:$C,'community %'!$T$50)),"")</f>
        <v/>
      </c>
      <c r="Z54" s="167" t="str">
        <f>IFERROR(SUM(SUMIFS('caseload data'!J:J,'caseload data'!$C:$C,'community %'!$T$50,'caseload data'!$D:$D,"TPO",'caseload data'!$B:$B,{"licence","community"}))/SUM(SUMIFS('caseload data'!J:J,'caseload data'!$B:$B,{"licence","community"},'caseload data'!$C:$C,'community %'!$T$50)),"")</f>
        <v/>
      </c>
      <c r="AA54" s="167" t="str">
        <f>IFERROR(SUM(SUMIFS('caseload data'!K:K,'caseload data'!$C:$C,'community %'!$T$50,'caseload data'!$D:$D,"TPO",'caseload data'!$B:$B,{"licence","community"}))/SUM(SUMIFS('caseload data'!K:K,'caseload data'!$B:$B,{"licence","community"},'caseload data'!$C:$C,'community %'!$T$50)),"")</f>
        <v/>
      </c>
      <c r="AB54" s="167" t="str">
        <f>IFERROR(SUM(SUMIFS('caseload data'!L:L,'caseload data'!$C:$C,'community %'!$T$50,'caseload data'!$D:$D,"TPO",'caseload data'!$B:$B,{"licence","community"}))/SUM(SUMIFS('caseload data'!L:L,'caseload data'!$B:$B,{"licence","community"},'caseload data'!$C:$C,'community %'!$T$50)),"")</f>
        <v/>
      </c>
      <c r="AC54" s="167" t="str">
        <f>IFERROR(SUM(SUMIFS('caseload data'!M:M,'caseload data'!$C:$C,'community %'!$T$50,'caseload data'!$D:$D,"TPO",'caseload data'!$B:$B,{"licence","community"}))/SUM(SUMIFS('caseload data'!M:M,'caseload data'!$B:$B,{"licence","community"},'caseload data'!$C:$C,'community %'!$T$50)),"")</f>
        <v/>
      </c>
      <c r="AD54" s="167" t="str">
        <f>IFERROR(SUM(SUMIFS('caseload data'!N:N,'caseload data'!$C:$C,'community %'!$T$50,'caseload data'!$D:$D,"TPO",'caseload data'!$B:$B,{"licence","community"}))/SUM(SUMIFS('caseload data'!N:N,'caseload data'!$B:$B,{"licence","community"},'caseload data'!$C:$C,'community %'!$T$50)),"")</f>
        <v/>
      </c>
      <c r="AE54" s="167" t="str">
        <f>IFERROR(SUM(SUMIFS('caseload data'!O:O,'caseload data'!$C:$C,'community %'!$T$50,'caseload data'!$D:$D,"TPO",'caseload data'!$B:$B,{"licence","community"}))/SUM(SUMIFS('caseload data'!O:O,'caseload data'!$B:$B,{"licence","community"},'caseload data'!$C:$C,'community %'!$T$50)),"")</f>
        <v/>
      </c>
      <c r="AF54" s="167" t="str">
        <f>IFERROR(SUM(SUMIFS('caseload data'!P:P,'caseload data'!$C:$C,'community %'!$T$50,'caseload data'!$D:$D,"TPO",'caseload data'!$B:$B,{"licence","community"}))/SUM(SUMIFS('caseload data'!P:P,'caseload data'!$B:$B,{"licence","community"},'caseload data'!$C:$C,'community %'!$T$50)),"")</f>
        <v/>
      </c>
      <c r="AG54" s="167" t="str">
        <f>IFERROR(SUM(SUMIFS('caseload data'!Q:Q,'caseload data'!$C:$C,'community %'!$T$50,'caseload data'!$D:$D,"TPO",'caseload data'!$B:$B,{"licence","community"}))/SUM(SUMIFS('caseload data'!Q:Q,'caseload data'!$B:$B,{"licence","community"},'caseload data'!$C:$C,'community %'!$T$50)),"")</f>
        <v/>
      </c>
      <c r="AH54" s="167" t="str">
        <f>IFERROR(SUM(SUMIFS('caseload data'!R:R,'caseload data'!$C:$C,'community %'!$T$50,'caseload data'!$D:$D,"TPO",'caseload data'!$B:$B,{"licence","community"}))/SUM(SUMIFS('caseload data'!R:R,'caseload data'!$B:$B,{"licence","community"},'caseload data'!$C:$C,'community %'!$T$50)),"")</f>
        <v/>
      </c>
      <c r="AI54" s="167" t="str">
        <f>IFERROR(SUM(SUMIFS('caseload data'!S:S,'caseload data'!$C:$C,'community %'!$T$50,'caseload data'!$D:$D,"TPO",'caseload data'!$B:$B,{"licence","community"}))/SUM(SUMIFS('caseload data'!S:S,'caseload data'!$B:$B,{"licence","community"},'caseload data'!$C:$C,'community %'!$T$50)),"")</f>
        <v/>
      </c>
      <c r="AJ54" s="167" t="str">
        <f>IFERROR(SUM(SUMIFS('caseload data'!T:T,'caseload data'!$C:$C,'community %'!$T$50,'caseload data'!$D:$D,"TPO",'caseload data'!$B:$B,{"licence","community"}))/SUM(SUMIFS('caseload data'!T:T,'caseload data'!$B:$B,{"licence","community"},'caseload data'!$C:$C,'community %'!$T$50)),"")</f>
        <v/>
      </c>
    </row>
    <row r="55" spans="2:36" x14ac:dyDescent="0.15">
      <c r="B55" s="98" t="s">
        <v>1004</v>
      </c>
      <c r="C55" s="167" t="str">
        <f>IFERROR(SUM(SUMIFS('caseload data'!E:E,'caseload data'!$C:$C,'community %'!$B$50,'caseload data'!$D:$D,"SPO",'caseload data'!$B:$B,{"licence","community"}))/SUM(SUMIFS('caseload data'!E:E,'caseload data'!$B:$B,{"licence","community"},'caseload data'!$C:$C,'community %'!$B$50)),"")</f>
        <v/>
      </c>
      <c r="D55" s="167" t="str">
        <f>IFERROR(SUM(SUMIFS('caseload data'!F:F,'caseload data'!$C:$C,'community %'!$B$50,'caseload data'!$D:$D,"SPO",'caseload data'!$B:$B,{"licence","community"}))/SUM(SUMIFS('caseload data'!F:F,'caseload data'!$B:$B,{"licence","community"},'caseload data'!$C:$C,'community %'!$B$50)),"")</f>
        <v/>
      </c>
      <c r="E55" s="167" t="str">
        <f>IFERROR(SUM(SUMIFS('caseload data'!G:G,'caseload data'!$C:$C,'community %'!$B$50,'caseload data'!$D:$D,"SPO",'caseload data'!$B:$B,{"licence","community"}))/SUM(SUMIFS('caseload data'!G:G,'caseload data'!$B:$B,{"licence","community"},'caseload data'!$C:$C,'community %'!$B$50)),"")</f>
        <v/>
      </c>
      <c r="F55" s="167" t="str">
        <f>IFERROR(SUM(SUMIFS('caseload data'!H:H,'caseload data'!$C:$C,'community %'!$B$50,'caseload data'!$D:$D,"SPO",'caseload data'!$B:$B,{"licence","community"}))/SUM(SUMIFS('caseload data'!H:H,'caseload data'!$B:$B,{"licence","community"},'caseload data'!$C:$C,'community %'!$B$50)),"")</f>
        <v/>
      </c>
      <c r="G55" s="167" t="str">
        <f>IFERROR(SUM(SUMIFS('caseload data'!I:I,'caseload data'!$C:$C,'community %'!$B$50,'caseload data'!$D:$D,"SPO",'caseload data'!$B:$B,{"licence","community"}))/SUM(SUMIFS('caseload data'!I:I,'caseload data'!$B:$B,{"licence","community"},'caseload data'!$C:$C,'community %'!$B$50)),"")</f>
        <v/>
      </c>
      <c r="H55" s="167" t="str">
        <f>IFERROR(SUM(SUMIFS('caseload data'!J:J,'caseload data'!$C:$C,'community %'!$B$50,'caseload data'!$D:$D,"SPO",'caseload data'!$B:$B,{"licence","community"}))/SUM(SUMIFS('caseload data'!J:J,'caseload data'!$B:$B,{"licence","community"},'caseload data'!$C:$C,'community %'!$B$50)),"")</f>
        <v/>
      </c>
      <c r="I55" s="167" t="str">
        <f>IFERROR(SUM(SUMIFS('caseload data'!K:K,'caseload data'!$C:$C,'community %'!$B$50,'caseload data'!$D:$D,"SPO",'caseload data'!$B:$B,{"licence","community"}))/SUM(SUMIFS('caseload data'!K:K,'caseload data'!$B:$B,{"licence","community"},'caseload data'!$C:$C,'community %'!$B$50)),"")</f>
        <v/>
      </c>
      <c r="J55" s="167" t="str">
        <f>IFERROR(SUM(SUMIFS('caseload data'!L:L,'caseload data'!$C:$C,'community %'!$B$50,'caseload data'!$D:$D,"SPO",'caseload data'!$B:$B,{"licence","community"}))/SUM(SUMIFS('caseload data'!L:L,'caseload data'!$B:$B,{"licence","community"},'caseload data'!$C:$C,'community %'!$B$50)),"")</f>
        <v/>
      </c>
      <c r="K55" s="167" t="str">
        <f>IFERROR(SUM(SUMIFS('caseload data'!M:M,'caseload data'!$C:$C,'community %'!$B$50,'caseload data'!$D:$D,"SPO",'caseload data'!$B:$B,{"licence","community"}))/SUM(SUMIFS('caseload data'!M:M,'caseload data'!$B:$B,{"licence","community"},'caseload data'!$C:$C,'community %'!$B$50)),"")</f>
        <v/>
      </c>
      <c r="L55" s="167" t="str">
        <f>IFERROR(SUM(SUMIFS('caseload data'!N:N,'caseload data'!$C:$C,'community %'!$B$50,'caseload data'!$D:$D,"SPO",'caseload data'!$B:$B,{"licence","community"}))/SUM(SUMIFS('caseload data'!N:N,'caseload data'!$B:$B,{"licence","community"},'caseload data'!$C:$C,'community %'!$B$50)),"")</f>
        <v/>
      </c>
      <c r="M55" s="167" t="str">
        <f>IFERROR(SUM(SUMIFS('caseload data'!O:O,'caseload data'!$C:$C,'community %'!$B$50,'caseload data'!$D:$D,"SPO",'caseload data'!$B:$B,{"licence","community"}))/SUM(SUMIFS('caseload data'!O:O,'caseload data'!$B:$B,{"licence","community"},'caseload data'!$C:$C,'community %'!$B$50)),"")</f>
        <v/>
      </c>
      <c r="N55" s="167" t="str">
        <f>IFERROR(SUM(SUMIFS('caseload data'!P:P,'caseload data'!$C:$C,'community %'!$B$50,'caseload data'!$D:$D,"SPO",'caseload data'!$B:$B,{"licence","community"}))/SUM(SUMIFS('caseload data'!P:P,'caseload data'!$B:$B,{"licence","community"},'caseload data'!$C:$C,'community %'!$B$50)),"")</f>
        <v/>
      </c>
      <c r="O55" s="167" t="str">
        <f>IFERROR(SUM(SUMIFS('caseload data'!Q:Q,'caseload data'!$C:$C,'community %'!$B$50,'caseload data'!$D:$D,"SPO",'caseload data'!$B:$B,{"licence","community"}))/SUM(SUMIFS('caseload data'!Q:Q,'caseload data'!$B:$B,{"licence","community"},'caseload data'!$C:$C,'community %'!$B$50)),"")</f>
        <v/>
      </c>
      <c r="P55" s="167" t="str">
        <f>IFERROR(SUM(SUMIFS('caseload data'!R:R,'caseload data'!$C:$C,'community %'!$B$50,'caseload data'!$D:$D,"SPO",'caseload data'!$B:$B,{"licence","community"}))/SUM(SUMIFS('caseload data'!R:R,'caseload data'!$B:$B,{"licence","community"},'caseload data'!$C:$C,'community %'!$B$50)),"")</f>
        <v/>
      </c>
      <c r="Q55" s="167" t="str">
        <f>IFERROR(SUM(SUMIFS('caseload data'!S:S,'caseload data'!$C:$C,'community %'!$B$50,'caseload data'!$D:$D,"SPO",'caseload data'!$B:$B,{"licence","community"}))/SUM(SUMIFS('caseload data'!S:S,'caseload data'!$B:$B,{"licence","community"},'caseload data'!$C:$C,'community %'!$B$50)),"")</f>
        <v/>
      </c>
      <c r="R55" s="167" t="str">
        <f>IFERROR(SUM(SUMIFS('caseload data'!T:T,'caseload data'!$C:$C,'community %'!$B$50,'caseload data'!$D:$D,"SPO",'caseload data'!$B:$B,{"licence","community"}))/SUM(SUMIFS('caseload data'!T:T,'caseload data'!$B:$B,{"licence","community"},'caseload data'!$C:$C,'community %'!$B$50)),"")</f>
        <v/>
      </c>
      <c r="S55" s="64"/>
      <c r="T55" s="98" t="s">
        <v>1004</v>
      </c>
      <c r="U55" s="167" t="str">
        <f>IFERROR(SUM(SUMIFS('caseload data'!E:E,'caseload data'!$C:$C,'community %'!$T$50,'caseload data'!$D:$D,"SPO",'caseload data'!$B:$B,{"licence","community"}))/SUM(SUMIFS('caseload data'!E:E,'caseload data'!$B:$B,{"licence","community"},'caseload data'!$C:$C,'community %'!$T$50)),"")</f>
        <v/>
      </c>
      <c r="V55" s="167" t="str">
        <f>IFERROR(SUM(SUMIFS('caseload data'!F:F,'caseload data'!$C:$C,'community %'!$T$50,'caseload data'!$D:$D,"SPO",'caseload data'!$B:$B,{"licence","community"}))/SUM(SUMIFS('caseload data'!F:F,'caseload data'!$B:$B,{"licence","community"},'caseload data'!$C:$C,'community %'!$T$50)),"")</f>
        <v/>
      </c>
      <c r="W55" s="167" t="str">
        <f>IFERROR(SUM(SUMIFS('caseload data'!G:G,'caseload data'!$C:$C,'community %'!$T$50,'caseload data'!$D:$D,"SPO",'caseload data'!$B:$B,{"licence","community"}))/SUM(SUMIFS('caseload data'!G:G,'caseload data'!$B:$B,{"licence","community"},'caseload data'!$C:$C,'community %'!$T$50)),"")</f>
        <v/>
      </c>
      <c r="X55" s="167" t="str">
        <f>IFERROR(SUM(SUMIFS('caseload data'!H:H,'caseload data'!$C:$C,'community %'!$T$50,'caseload data'!$D:$D,"SPO",'caseload data'!$B:$B,{"licence","community"}))/SUM(SUMIFS('caseload data'!H:H,'caseload data'!$B:$B,{"licence","community"},'caseload data'!$C:$C,'community %'!$T$50)),"")</f>
        <v/>
      </c>
      <c r="Y55" s="167" t="str">
        <f>IFERROR(SUM(SUMIFS('caseload data'!I:I,'caseload data'!$C:$C,'community %'!$T$50,'caseload data'!$D:$D,"SPO",'caseload data'!$B:$B,{"licence","community"}))/SUM(SUMIFS('caseload data'!I:I,'caseload data'!$B:$B,{"licence","community"},'caseload data'!$C:$C,'community %'!$T$50)),"")</f>
        <v/>
      </c>
      <c r="Z55" s="167" t="str">
        <f>IFERROR(SUM(SUMIFS('caseload data'!J:J,'caseload data'!$C:$C,'community %'!$T$50,'caseload data'!$D:$D,"SPO",'caseload data'!$B:$B,{"licence","community"}))/SUM(SUMIFS('caseload data'!J:J,'caseload data'!$B:$B,{"licence","community"},'caseload data'!$C:$C,'community %'!$T$50)),"")</f>
        <v/>
      </c>
      <c r="AA55" s="167" t="str">
        <f>IFERROR(SUM(SUMIFS('caseload data'!K:K,'caseload data'!$C:$C,'community %'!$T$50,'caseload data'!$D:$D,"SPO",'caseload data'!$B:$B,{"licence","community"}))/SUM(SUMIFS('caseload data'!K:K,'caseload data'!$B:$B,{"licence","community"},'caseload data'!$C:$C,'community %'!$T$50)),"")</f>
        <v/>
      </c>
      <c r="AB55" s="167" t="str">
        <f>IFERROR(SUM(SUMIFS('caseload data'!L:L,'caseload data'!$C:$C,'community %'!$T$50,'caseload data'!$D:$D,"SPO",'caseload data'!$B:$B,{"licence","community"}))/SUM(SUMIFS('caseload data'!L:L,'caseload data'!$B:$B,{"licence","community"},'caseload data'!$C:$C,'community %'!$T$50)),"")</f>
        <v/>
      </c>
      <c r="AC55" s="167" t="str">
        <f>IFERROR(SUM(SUMIFS('caseload data'!M:M,'caseload data'!$C:$C,'community %'!$T$50,'caseload data'!$D:$D,"SPO",'caseload data'!$B:$B,{"licence","community"}))/SUM(SUMIFS('caseload data'!M:M,'caseload data'!$B:$B,{"licence","community"},'caseload data'!$C:$C,'community %'!$T$50)),"")</f>
        <v/>
      </c>
      <c r="AD55" s="167" t="str">
        <f>IFERROR(SUM(SUMIFS('caseload data'!N:N,'caseload data'!$C:$C,'community %'!$T$50,'caseload data'!$D:$D,"SPO",'caseload data'!$B:$B,{"licence","community"}))/SUM(SUMIFS('caseload data'!N:N,'caseload data'!$B:$B,{"licence","community"},'caseload data'!$C:$C,'community %'!$T$50)),"")</f>
        <v/>
      </c>
      <c r="AE55" s="167" t="str">
        <f>IFERROR(SUM(SUMIFS('caseload data'!O:O,'caseload data'!$C:$C,'community %'!$T$50,'caseload data'!$D:$D,"SPO",'caseload data'!$B:$B,{"licence","community"}))/SUM(SUMIFS('caseload data'!O:O,'caseload data'!$B:$B,{"licence","community"},'caseload data'!$C:$C,'community %'!$T$50)),"")</f>
        <v/>
      </c>
      <c r="AF55" s="167" t="str">
        <f>IFERROR(SUM(SUMIFS('caseload data'!P:P,'caseload data'!$C:$C,'community %'!$T$50,'caseload data'!$D:$D,"SPO",'caseload data'!$B:$B,{"licence","community"}))/SUM(SUMIFS('caseload data'!P:P,'caseload data'!$B:$B,{"licence","community"},'caseload data'!$C:$C,'community %'!$T$50)),"")</f>
        <v/>
      </c>
      <c r="AG55" s="167" t="str">
        <f>IFERROR(SUM(SUMIFS('caseload data'!Q:Q,'caseload data'!$C:$C,'community %'!$T$50,'caseload data'!$D:$D,"SPO",'caseload data'!$B:$B,{"licence","community"}))/SUM(SUMIFS('caseload data'!Q:Q,'caseload data'!$B:$B,{"licence","community"},'caseload data'!$C:$C,'community %'!$T$50)),"")</f>
        <v/>
      </c>
      <c r="AH55" s="167" t="str">
        <f>IFERROR(SUM(SUMIFS('caseload data'!R:R,'caseload data'!$C:$C,'community %'!$T$50,'caseload data'!$D:$D,"SPO",'caseload data'!$B:$B,{"licence","community"}))/SUM(SUMIFS('caseload data'!R:R,'caseload data'!$B:$B,{"licence","community"},'caseload data'!$C:$C,'community %'!$T$50)),"")</f>
        <v/>
      </c>
      <c r="AI55" s="167" t="str">
        <f>IFERROR(SUM(SUMIFS('caseload data'!S:S,'caseload data'!$C:$C,'community %'!$T$50,'caseload data'!$D:$D,"SPO",'caseload data'!$B:$B,{"licence","community"}))/SUM(SUMIFS('caseload data'!S:S,'caseload data'!$B:$B,{"licence","community"},'caseload data'!$C:$C,'community %'!$T$50)),"")</f>
        <v/>
      </c>
      <c r="AJ55" s="167" t="str">
        <f>IFERROR(SUM(SUMIFS('caseload data'!T:T,'caseload data'!$C:$C,'community %'!$T$50,'caseload data'!$D:$D,"SPO",'caseload data'!$B:$B,{"licence","community"}))/SUM(SUMIFS('caseload data'!T:T,'caseload data'!$B:$B,{"licence","community"},'caseload data'!$C:$C,'community %'!$T$50)),"")</f>
        <v/>
      </c>
    </row>
    <row r="56" spans="2:36" x14ac:dyDescent="0.15">
      <c r="B56" s="91"/>
      <c r="C56" s="64"/>
      <c r="D56" s="64"/>
      <c r="E56" s="64"/>
      <c r="F56" s="64"/>
      <c r="G56" s="64"/>
      <c r="H56" s="64"/>
      <c r="I56" s="64"/>
      <c r="J56" s="64"/>
      <c r="K56" s="64"/>
      <c r="L56" s="64"/>
      <c r="M56" s="64"/>
      <c r="N56" s="64"/>
      <c r="O56" s="64"/>
      <c r="P56" s="64"/>
      <c r="Q56" s="64"/>
      <c r="R56" s="64"/>
      <c r="S56" s="64"/>
      <c r="T56" s="91"/>
      <c r="U56" s="64"/>
      <c r="V56" s="64"/>
      <c r="W56" s="64"/>
      <c r="X56" s="64"/>
      <c r="Y56" s="64"/>
      <c r="Z56" s="64"/>
      <c r="AA56" s="64"/>
      <c r="AB56" s="64"/>
      <c r="AC56" s="64"/>
      <c r="AD56" s="64"/>
      <c r="AE56" s="64"/>
      <c r="AF56" s="64"/>
      <c r="AG56" s="64"/>
      <c r="AH56" s="64"/>
      <c r="AI56" s="64"/>
      <c r="AJ56" s="64"/>
    </row>
    <row r="57" spans="2:36" ht="21" customHeight="1" x14ac:dyDescent="0.15">
      <c r="B57" s="289">
        <f>HLOOKUP($B$5,Region_Table,16,0)</f>
        <v>0</v>
      </c>
      <c r="C57" s="509" t="s">
        <v>1134</v>
      </c>
      <c r="D57" s="510"/>
      <c r="E57" s="510"/>
      <c r="F57" s="510"/>
      <c r="G57" s="510"/>
      <c r="H57" s="510"/>
      <c r="I57" s="510"/>
      <c r="J57" s="510"/>
      <c r="K57" s="510"/>
      <c r="L57" s="510"/>
      <c r="M57" s="539"/>
      <c r="N57" s="539"/>
      <c r="O57" s="540"/>
      <c r="P57" s="512" cm="1">
        <f t="array" ref="P57">SUM(SUMIFS('caseload data'!V:V,'caseload data'!B:B,{"licence","community"},'caseload data'!$C:$C,B57))</f>
        <v>0</v>
      </c>
      <c r="Q57" s="529"/>
      <c r="R57" s="530"/>
      <c r="S57" s="64"/>
      <c r="T57" s="289">
        <f>HLOOKUP($B$5,Region_Table,17,0)</f>
        <v>0</v>
      </c>
      <c r="U57" s="509" t="s">
        <v>1134</v>
      </c>
      <c r="V57" s="510"/>
      <c r="W57" s="510"/>
      <c r="X57" s="510"/>
      <c r="Y57" s="510"/>
      <c r="Z57" s="510"/>
      <c r="AA57" s="510"/>
      <c r="AB57" s="510"/>
      <c r="AC57" s="510"/>
      <c r="AD57" s="510"/>
      <c r="AE57" s="539"/>
      <c r="AF57" s="539"/>
      <c r="AG57" s="540"/>
      <c r="AH57" s="512" cm="1">
        <f t="array" ref="AH57">SUM(SUMIFS('caseload data'!V:V,'caseload data'!B:B,{"licence","community"},'caseload data'!$C:$C,T57))</f>
        <v>0</v>
      </c>
      <c r="AI57" s="529"/>
      <c r="AJ57" s="530"/>
    </row>
    <row r="58" spans="2:36" x14ac:dyDescent="0.15">
      <c r="B58" s="95" t="s">
        <v>1000</v>
      </c>
      <c r="C58" s="38" t="s">
        <v>864</v>
      </c>
      <c r="D58" s="38" t="s">
        <v>865</v>
      </c>
      <c r="E58" s="38" t="s">
        <v>866</v>
      </c>
      <c r="F58" s="38" t="s">
        <v>867</v>
      </c>
      <c r="G58" s="38" t="s">
        <v>868</v>
      </c>
      <c r="H58" s="38" t="s">
        <v>869</v>
      </c>
      <c r="I58" s="38" t="s">
        <v>870</v>
      </c>
      <c r="J58" s="38" t="s">
        <v>871</v>
      </c>
      <c r="K58" s="38" t="s">
        <v>872</v>
      </c>
      <c r="L58" s="38" t="s">
        <v>873</v>
      </c>
      <c r="M58" s="38" t="s">
        <v>874</v>
      </c>
      <c r="N58" s="38" t="s">
        <v>875</v>
      </c>
      <c r="O58" s="38" t="s">
        <v>876</v>
      </c>
      <c r="P58" s="38" t="s">
        <v>877</v>
      </c>
      <c r="Q58" s="38" t="s">
        <v>878</v>
      </c>
      <c r="R58" s="38" t="s">
        <v>879</v>
      </c>
      <c r="S58" s="64"/>
      <c r="T58" s="95" t="s">
        <v>1000</v>
      </c>
      <c r="U58" s="38" t="s">
        <v>864</v>
      </c>
      <c r="V58" s="38" t="s">
        <v>865</v>
      </c>
      <c r="W58" s="38" t="s">
        <v>866</v>
      </c>
      <c r="X58" s="38" t="s">
        <v>867</v>
      </c>
      <c r="Y58" s="38" t="s">
        <v>868</v>
      </c>
      <c r="Z58" s="38" t="s">
        <v>869</v>
      </c>
      <c r="AA58" s="38" t="s">
        <v>870</v>
      </c>
      <c r="AB58" s="38" t="s">
        <v>871</v>
      </c>
      <c r="AC58" s="38" t="s">
        <v>872</v>
      </c>
      <c r="AD58" s="38" t="s">
        <v>873</v>
      </c>
      <c r="AE58" s="38" t="s">
        <v>874</v>
      </c>
      <c r="AF58" s="38" t="s">
        <v>875</v>
      </c>
      <c r="AG58" s="38" t="s">
        <v>876</v>
      </c>
      <c r="AH58" s="38" t="s">
        <v>877</v>
      </c>
      <c r="AI58" s="38" t="s">
        <v>878</v>
      </c>
      <c r="AJ58" s="38" t="s">
        <v>879</v>
      </c>
    </row>
    <row r="59" spans="2:36" x14ac:dyDescent="0.15">
      <c r="B59" s="96" t="s">
        <v>997</v>
      </c>
      <c r="C59" s="167" t="str">
        <f>IFERROR(SUM(SUMIFS('caseload data'!E:E,'caseload data'!$C:$C,'community %'!$B$57,'caseload data'!$D:$D,"PO",'caseload data'!$B:$B,{"licence","community"}))/SUM(SUMIFS('caseload data'!E:E,'caseload data'!$B:$B,{"licence","community"},'caseload data'!$C:$C,'community %'!$B$57)),"")</f>
        <v/>
      </c>
      <c r="D59" s="167" t="str">
        <f>IFERROR(SUM(SUMIFS('caseload data'!F:F,'caseload data'!$C:$C,'community %'!$B$57,'caseload data'!$D:$D,"PO",'caseload data'!$B:$B,{"licence","community"}))/SUM(SUMIFS('caseload data'!F:F,'caseload data'!$B:$B,{"licence","community"},'caseload data'!$C:$C,'community %'!$B$57)),"")</f>
        <v/>
      </c>
      <c r="E59" s="167" t="str">
        <f>IFERROR(SUM(SUMIFS('caseload data'!G:G,'caseload data'!$C:$C,'community %'!$B$57,'caseload data'!$D:$D,"PO",'caseload data'!$B:$B,{"licence","community"}))/SUM(SUMIFS('caseload data'!G:G,'caseload data'!$B:$B,{"licence","community"},'caseload data'!$C:$C,'community %'!$B$57)),"")</f>
        <v/>
      </c>
      <c r="F59" s="167" t="str">
        <f>IFERROR(SUM(SUMIFS('caseload data'!H:H,'caseload data'!$C:$C,'community %'!$B$57,'caseload data'!$D:$D,"PO",'caseload data'!$B:$B,{"licence","community"}))/SUM(SUMIFS('caseload data'!H:H,'caseload data'!$B:$B,{"licence","community"},'caseload data'!$C:$C,'community %'!$B$57)),"")</f>
        <v/>
      </c>
      <c r="G59" s="167" t="str">
        <f>IFERROR(SUM(SUMIFS('caseload data'!I:I,'caseload data'!$C:$C,'community %'!$B$57,'caseload data'!$D:$D,"PO",'caseload data'!$B:$B,{"licence","community"}))/SUM(SUMIFS('caseload data'!I:I,'caseload data'!$B:$B,{"licence","community"},'caseload data'!$C:$C,'community %'!$B$57)),"")</f>
        <v/>
      </c>
      <c r="H59" s="167" t="str">
        <f>IFERROR(SUM(SUMIFS('caseload data'!J:J,'caseload data'!$C:$C,'community %'!$B$57,'caseload data'!$D:$D,"PO",'caseload data'!$B:$B,{"licence","community"}))/SUM(SUMIFS('caseload data'!J:J,'caseload data'!$B:$B,{"licence","community"},'caseload data'!$C:$C,'community %'!$B$57)),"")</f>
        <v/>
      </c>
      <c r="I59" s="167" t="str">
        <f>IFERROR(SUM(SUMIFS('caseload data'!K:K,'caseload data'!$C:$C,'community %'!$B$57,'caseload data'!$D:$D,"PO",'caseload data'!$B:$B,{"licence","community"}))/SUM(SUMIFS('caseload data'!K:K,'caseload data'!$B:$B,{"licence","community"},'caseload data'!$C:$C,'community %'!$B$57)),"")</f>
        <v/>
      </c>
      <c r="J59" s="167" t="str">
        <f>IFERROR(SUM(SUMIFS('caseload data'!L:L,'caseload data'!$C:$C,'community %'!$B$57,'caseload data'!$D:$D,"PO",'caseload data'!$B:$B,{"licence","community"}))/SUM(SUMIFS('caseload data'!L:L,'caseload data'!$B:$B,{"licence","community"},'caseload data'!$C:$C,'community %'!$B$57)),"")</f>
        <v/>
      </c>
      <c r="K59" s="167" t="str">
        <f>IFERROR(SUM(SUMIFS('caseload data'!M:M,'caseload data'!$C:$C,'community %'!$B$57,'caseload data'!$D:$D,"PO",'caseload data'!$B:$B,{"licence","community"}))/SUM(SUMIFS('caseload data'!M:M,'caseload data'!$B:$B,{"licence","community"},'caseload data'!$C:$C,'community %'!$B$57)),"")</f>
        <v/>
      </c>
      <c r="L59" s="167" t="str">
        <f>IFERROR(SUM(SUMIFS('caseload data'!N:N,'caseload data'!$C:$C,'community %'!$B$57,'caseload data'!$D:$D,"PO",'caseload data'!$B:$B,{"licence","community"}))/SUM(SUMIFS('caseload data'!N:N,'caseload data'!$B:$B,{"licence","community"},'caseload data'!$C:$C,'community %'!$B$57)),"")</f>
        <v/>
      </c>
      <c r="M59" s="167" t="str">
        <f>IFERROR(SUM(SUMIFS('caseload data'!O:O,'caseload data'!$C:$C,'community %'!$B$57,'caseload data'!$D:$D,"PO",'caseload data'!$B:$B,{"licence","community"}))/SUM(SUMIFS('caseload data'!O:O,'caseload data'!$B:$B,{"licence","community"},'caseload data'!$C:$C,'community %'!$B$57)),"")</f>
        <v/>
      </c>
      <c r="N59" s="167" t="str">
        <f>IFERROR(SUM(SUMIFS('caseload data'!P:P,'caseload data'!$C:$C,'community %'!$B$57,'caseload data'!$D:$D,"PO",'caseload data'!$B:$B,{"licence","community"}))/SUM(SUMIFS('caseload data'!P:P,'caseload data'!$B:$B,{"licence","community"},'caseload data'!$C:$C,'community %'!$B$57)),"")</f>
        <v/>
      </c>
      <c r="O59" s="167" t="str">
        <f>IFERROR(SUM(SUMIFS('caseload data'!Q:Q,'caseload data'!$C:$C,'community %'!$B$57,'caseload data'!$D:$D,"PO",'caseload data'!$B:$B,{"licence","community"}))/SUM(SUMIFS('caseload data'!Q:Q,'caseload data'!$B:$B,{"licence","community"},'caseload data'!$C:$C,'community %'!$B$57)),"")</f>
        <v/>
      </c>
      <c r="P59" s="167" t="str">
        <f>IFERROR(SUM(SUMIFS('caseload data'!R:R,'caseload data'!$C:$C,'community %'!$B$57,'caseload data'!$D:$D,"PO",'caseload data'!$B:$B,{"licence","community"}))/SUM(SUMIFS('caseload data'!R:R,'caseload data'!$B:$B,{"licence","community"},'caseload data'!$C:$C,'community %'!$B$57)),"")</f>
        <v/>
      </c>
      <c r="Q59" s="167" t="str">
        <f>IFERROR(SUM(SUMIFS('caseload data'!S:S,'caseload data'!$C:$C,'community %'!$B$57,'caseload data'!$D:$D,"PO",'caseload data'!$B:$B,{"licence","community"}))/SUM(SUMIFS('caseload data'!S:S,'caseload data'!$B:$B,{"licence","community"},'caseload data'!$C:$C,'community %'!$B$57)),"")</f>
        <v/>
      </c>
      <c r="R59" s="167" t="str">
        <f>IFERROR(SUM(SUMIFS('caseload data'!T:T,'caseload data'!$C:$C,'community %'!$B$57,'caseload data'!$D:$D,"PO",'caseload data'!$B:$B,{"licence","community"}))/SUM(SUMIFS('caseload data'!T:T,'caseload data'!$B:$B,{"licence","community"},'caseload data'!$C:$C,'community %'!$B$57)),"")</f>
        <v/>
      </c>
      <c r="S59" s="64"/>
      <c r="T59" s="96" t="s">
        <v>997</v>
      </c>
      <c r="U59" s="167" t="str">
        <f>IFERROR(SUM(SUMIFS('caseload data'!E:E,'caseload data'!$C:$C,'community %'!$T$57,'caseload data'!$D:$D,"PO",'caseload data'!$B:$B,{"licence","community"}))/SUM(SUMIFS('caseload data'!E:E,'caseload data'!$B:$B,{"licence","community"},'caseload data'!$C:$C,'community %'!$T$57)),"")</f>
        <v/>
      </c>
      <c r="V59" s="167" t="str">
        <f>IFERROR(SUM(SUMIFS('caseload data'!F:F,'caseload data'!$C:$C,'community %'!$T$57,'caseload data'!$D:$D,"PO",'caseload data'!$B:$B,{"licence","community"}))/SUM(SUMIFS('caseload data'!F:F,'caseload data'!$B:$B,{"licence","community"},'caseload data'!$C:$C,'community %'!$T$57)),"")</f>
        <v/>
      </c>
      <c r="W59" s="167" t="str">
        <f>IFERROR(SUM(SUMIFS('caseload data'!G:G,'caseload data'!$C:$C,'community %'!$T$57,'caseload data'!$D:$D,"PO",'caseload data'!$B:$B,{"licence","community"}))/SUM(SUMIFS('caseload data'!G:G,'caseload data'!$B:$B,{"licence","community"},'caseload data'!$C:$C,'community %'!$T$57)),"")</f>
        <v/>
      </c>
      <c r="X59" s="167" t="str">
        <f>IFERROR(SUM(SUMIFS('caseload data'!H:H,'caseload data'!$C:$C,'community %'!$T$57,'caseload data'!$D:$D,"PO",'caseload data'!$B:$B,{"licence","community"}))/SUM(SUMIFS('caseload data'!H:H,'caseload data'!$B:$B,{"licence","community"},'caseload data'!$C:$C,'community %'!$T$57)),"")</f>
        <v/>
      </c>
      <c r="Y59" s="167" t="str">
        <f>IFERROR(SUM(SUMIFS('caseload data'!I:I,'caseload data'!$C:$C,'community %'!$T$57,'caseload data'!$D:$D,"PO",'caseload data'!$B:$B,{"licence","community"}))/SUM(SUMIFS('caseload data'!I:I,'caseload data'!$B:$B,{"licence","community"},'caseload data'!$C:$C,'community %'!$T$57)),"")</f>
        <v/>
      </c>
      <c r="Z59" s="167" t="str">
        <f>IFERROR(SUM(SUMIFS('caseload data'!J:J,'caseload data'!$C:$C,'community %'!$T$57,'caseload data'!$D:$D,"PO",'caseload data'!$B:$B,{"licence","community"}))/SUM(SUMIFS('caseload data'!J:J,'caseload data'!$B:$B,{"licence","community"},'caseload data'!$C:$C,'community %'!$T$57)),"")</f>
        <v/>
      </c>
      <c r="AA59" s="167" t="str">
        <f>IFERROR(SUM(SUMIFS('caseload data'!K:K,'caseload data'!$C:$C,'community %'!$T$57,'caseload data'!$D:$D,"PO",'caseload data'!$B:$B,{"licence","community"}))/SUM(SUMIFS('caseload data'!K:K,'caseload data'!$B:$B,{"licence","community"},'caseload data'!$C:$C,'community %'!$T$57)),"")</f>
        <v/>
      </c>
      <c r="AB59" s="167" t="str">
        <f>IFERROR(SUM(SUMIFS('caseload data'!L:L,'caseload data'!$C:$C,'community %'!$T$57,'caseload data'!$D:$D,"PO",'caseload data'!$B:$B,{"licence","community"}))/SUM(SUMIFS('caseload data'!L:L,'caseload data'!$B:$B,{"licence","community"},'caseload data'!$C:$C,'community %'!$T$57)),"")</f>
        <v/>
      </c>
      <c r="AC59" s="167" t="str">
        <f>IFERROR(SUM(SUMIFS('caseload data'!M:M,'caseload data'!$C:$C,'community %'!$T$57,'caseload data'!$D:$D,"PO",'caseload data'!$B:$B,{"licence","community"}))/SUM(SUMIFS('caseload data'!M:M,'caseload data'!$B:$B,{"licence","community"},'caseload data'!$C:$C,'community %'!$T$57)),"")</f>
        <v/>
      </c>
      <c r="AD59" s="167" t="str">
        <f>IFERROR(SUM(SUMIFS('caseload data'!N:N,'caseload data'!$C:$C,'community %'!$T$57,'caseload data'!$D:$D,"PO",'caseload data'!$B:$B,{"licence","community"}))/SUM(SUMIFS('caseload data'!N:N,'caseload data'!$B:$B,{"licence","community"},'caseload data'!$C:$C,'community %'!$T$57)),"")</f>
        <v/>
      </c>
      <c r="AE59" s="167" t="str">
        <f>IFERROR(SUM(SUMIFS('caseload data'!O:O,'caseload data'!$C:$C,'community %'!$T$57,'caseload data'!$D:$D,"PO",'caseload data'!$B:$B,{"licence","community"}))/SUM(SUMIFS('caseload data'!O:O,'caseload data'!$B:$B,{"licence","community"},'caseload data'!$C:$C,'community %'!$T$57)),"")</f>
        <v/>
      </c>
      <c r="AF59" s="167" t="str">
        <f>IFERROR(SUM(SUMIFS('caseload data'!P:P,'caseload data'!$C:$C,'community %'!$T$57,'caseload data'!$D:$D,"PO",'caseload data'!$B:$B,{"licence","community"}))/SUM(SUMIFS('caseload data'!P:P,'caseload data'!$B:$B,{"licence","community"},'caseload data'!$C:$C,'community %'!$T$57)),"")</f>
        <v/>
      </c>
      <c r="AG59" s="167" t="str">
        <f>IFERROR(SUM(SUMIFS('caseload data'!Q:Q,'caseload data'!$C:$C,'community %'!$T$57,'caseload data'!$D:$D,"PO",'caseload data'!$B:$B,{"licence","community"}))/SUM(SUMIFS('caseload data'!Q:Q,'caseload data'!$B:$B,{"licence","community"},'caseload data'!$C:$C,'community %'!$T$57)),"")</f>
        <v/>
      </c>
      <c r="AH59" s="167" t="str">
        <f>IFERROR(SUM(SUMIFS('caseload data'!R:R,'caseload data'!$C:$C,'community %'!$T$57,'caseload data'!$D:$D,"PO",'caseload data'!$B:$B,{"licence","community"}))/SUM(SUMIFS('caseload data'!R:R,'caseload data'!$B:$B,{"licence","community"},'caseload data'!$C:$C,'community %'!$T$57)),"")</f>
        <v/>
      </c>
      <c r="AI59" s="167" t="str">
        <f>IFERROR(SUM(SUMIFS('caseload data'!S:S,'caseload data'!$C:$C,'community %'!$T$57,'caseload data'!$D:$D,"PO",'caseload data'!$B:$B,{"licence","community"}))/SUM(SUMIFS('caseload data'!S:S,'caseload data'!$B:$B,{"licence","community"},'caseload data'!$C:$C,'community %'!$T$57)),"")</f>
        <v/>
      </c>
      <c r="AJ59" s="167" t="str">
        <f>IFERROR(SUM(SUMIFS('caseload data'!T:T,'caseload data'!$C:$C,'community %'!$T$57,'caseload data'!$D:$D,"PO",'caseload data'!$B:$B,{"licence","community"}))/SUM(SUMIFS('caseload data'!T:T,'caseload data'!$B:$B,{"licence","community"},'caseload data'!$C:$C,'community %'!$T$57)),"")</f>
        <v/>
      </c>
    </row>
    <row r="60" spans="2:36" x14ac:dyDescent="0.15">
      <c r="B60" s="97" t="s">
        <v>1002</v>
      </c>
      <c r="C60" s="167" t="str">
        <f>IFERROR(SUM(SUMIFS('caseload data'!E:E,'caseload data'!$C:$C,'community %'!$B$57,'caseload data'!$D:$D,"PSO",'caseload data'!$B:$B,{"licence","community"}))/SUM(SUMIFS('caseload data'!E:E,'caseload data'!$B:$B,{"licence","community"},'caseload data'!$C:$C,'community %'!$B$57)),"")</f>
        <v/>
      </c>
      <c r="D60" s="167" t="str">
        <f>IFERROR(SUM(SUMIFS('caseload data'!F:F,'caseload data'!$C:$C,'community %'!$B$57,'caseload data'!$D:$D,"PSO",'caseload data'!$B:$B,{"licence","community"}))/SUM(SUMIFS('caseload data'!F:F,'caseload data'!$B:$B,{"licence","community"},'caseload data'!$C:$C,'community %'!$B$57)),"")</f>
        <v/>
      </c>
      <c r="E60" s="167" t="str">
        <f>IFERROR(SUM(SUMIFS('caseload data'!G:G,'caseload data'!$C:$C,'community %'!$B$57,'caseload data'!$D:$D,"PSO",'caseload data'!$B:$B,{"licence","community"}))/SUM(SUMIFS('caseload data'!G:G,'caseload data'!$B:$B,{"licence","community"},'caseload data'!$C:$C,'community %'!$B$57)),"")</f>
        <v/>
      </c>
      <c r="F60" s="167" t="str">
        <f>IFERROR(SUM(SUMIFS('caseload data'!H:H,'caseload data'!$C:$C,'community %'!$B$57,'caseload data'!$D:$D,"PSO",'caseload data'!$B:$B,{"licence","community"}))/SUM(SUMIFS('caseload data'!H:H,'caseload data'!$B:$B,{"licence","community"},'caseload data'!$C:$C,'community %'!$B$57)),"")</f>
        <v/>
      </c>
      <c r="G60" s="167" t="str">
        <f>IFERROR(SUM(SUMIFS('caseload data'!I:I,'caseload data'!$C:$C,'community %'!$B$57,'caseload data'!$D:$D,"PSO",'caseload data'!$B:$B,{"licence","community"}))/SUM(SUMIFS('caseload data'!I:I,'caseload data'!$B:$B,{"licence","community"},'caseload data'!$C:$C,'community %'!$B$57)),"")</f>
        <v/>
      </c>
      <c r="H60" s="167" t="str">
        <f>IFERROR(SUM(SUMIFS('caseload data'!J:J,'caseload data'!$C:$C,'community %'!$B$57,'caseload data'!$D:$D,"PSO",'caseload data'!$B:$B,{"licence","community"}))/SUM(SUMIFS('caseload data'!J:J,'caseload data'!$B:$B,{"licence","community"},'caseload data'!$C:$C,'community %'!$B$57)),"")</f>
        <v/>
      </c>
      <c r="I60" s="167" t="str">
        <f>IFERROR(SUM(SUMIFS('caseload data'!K:K,'caseload data'!$C:$C,'community %'!$B$57,'caseload data'!$D:$D,"PSO",'caseload data'!$B:$B,{"licence","community"}))/SUM(SUMIFS('caseload data'!K:K,'caseload data'!$B:$B,{"licence","community"},'caseload data'!$C:$C,'community %'!$B$57)),"")</f>
        <v/>
      </c>
      <c r="J60" s="167" t="str">
        <f>IFERROR(SUM(SUMIFS('caseload data'!L:L,'caseload data'!$C:$C,'community %'!$B$57,'caseload data'!$D:$D,"PSO",'caseload data'!$B:$B,{"licence","community"}))/SUM(SUMIFS('caseload data'!L:L,'caseload data'!$B:$B,{"licence","community"},'caseload data'!$C:$C,'community %'!$B$57)),"")</f>
        <v/>
      </c>
      <c r="K60" s="167" t="str">
        <f>IFERROR(SUM(SUMIFS('caseload data'!M:M,'caseload data'!$C:$C,'community %'!$B$57,'caseload data'!$D:$D,"PSO",'caseload data'!$B:$B,{"licence","community"}))/SUM(SUMIFS('caseload data'!M:M,'caseload data'!$B:$B,{"licence","community"},'caseload data'!$C:$C,'community %'!$B$57)),"")</f>
        <v/>
      </c>
      <c r="L60" s="167" t="str">
        <f>IFERROR(SUM(SUMIFS('caseload data'!N:N,'caseload data'!$C:$C,'community %'!$B$57,'caseload data'!$D:$D,"PSO",'caseload data'!$B:$B,{"licence","community"}))/SUM(SUMIFS('caseload data'!N:N,'caseload data'!$B:$B,{"licence","community"},'caseload data'!$C:$C,'community %'!$B$57)),"")</f>
        <v/>
      </c>
      <c r="M60" s="167" t="str">
        <f>IFERROR(SUM(SUMIFS('caseload data'!O:O,'caseload data'!$C:$C,'community %'!$B$57,'caseload data'!$D:$D,"PSO",'caseload data'!$B:$B,{"licence","community"}))/SUM(SUMIFS('caseload data'!O:O,'caseload data'!$B:$B,{"licence","community"},'caseload data'!$C:$C,'community %'!$B$57)),"")</f>
        <v/>
      </c>
      <c r="N60" s="167" t="str">
        <f>IFERROR(SUM(SUMIFS('caseload data'!P:P,'caseload data'!$C:$C,'community %'!$B$57,'caseload data'!$D:$D,"PSO",'caseload data'!$B:$B,{"licence","community"}))/SUM(SUMIFS('caseload data'!P:P,'caseload data'!$B:$B,{"licence","community"},'caseload data'!$C:$C,'community %'!$B$57)),"")</f>
        <v/>
      </c>
      <c r="O60" s="167" t="str">
        <f>IFERROR(SUM(SUMIFS('caseload data'!Q:Q,'caseload data'!$C:$C,'community %'!$B$57,'caseload data'!$D:$D,"PSO",'caseload data'!$B:$B,{"licence","community"}))/SUM(SUMIFS('caseload data'!Q:Q,'caseload data'!$B:$B,{"licence","community"},'caseload data'!$C:$C,'community %'!$B$57)),"")</f>
        <v/>
      </c>
      <c r="P60" s="167" t="str">
        <f>IFERROR(SUM(SUMIFS('caseload data'!R:R,'caseload data'!$C:$C,'community %'!$B$57,'caseload data'!$D:$D,"PSO",'caseload data'!$B:$B,{"licence","community"}))/SUM(SUMIFS('caseload data'!R:R,'caseload data'!$B:$B,{"licence","community"},'caseload data'!$C:$C,'community %'!$B$57)),"")</f>
        <v/>
      </c>
      <c r="Q60" s="167" t="str">
        <f>IFERROR(SUM(SUMIFS('caseload data'!S:S,'caseload data'!$C:$C,'community %'!$B$57,'caseload data'!$D:$D,"PSO",'caseload data'!$B:$B,{"licence","community"}))/SUM(SUMIFS('caseload data'!S:S,'caseload data'!$B:$B,{"licence","community"},'caseload data'!$C:$C,'community %'!$B$57)),"")</f>
        <v/>
      </c>
      <c r="R60" s="167" t="str">
        <f>IFERROR(SUM(SUMIFS('caseload data'!T:T,'caseload data'!$C:$C,'community %'!$B$57,'caseload data'!$D:$D,"PSO",'caseload data'!$B:$B,{"licence","community"}))/SUM(SUMIFS('caseload data'!T:T,'caseload data'!$B:$B,{"licence","community"},'caseload data'!$C:$C,'community %'!$B$57)),"")</f>
        <v/>
      </c>
      <c r="S60" s="64"/>
      <c r="T60" s="97" t="s">
        <v>1002</v>
      </c>
      <c r="U60" s="167" t="str">
        <f>IFERROR(SUM(SUMIFS('caseload data'!E:E,'caseload data'!$C:$C,'community %'!$T$57,'caseload data'!$D:$D,"PSO",'caseload data'!$B:$B,{"licence","community"}))/SUM(SUMIFS('caseload data'!E:E,'caseload data'!$B:$B,{"licence","community"},'caseload data'!$C:$C,'community %'!$T$57)),"")</f>
        <v/>
      </c>
      <c r="V60" s="167" t="str">
        <f>IFERROR(SUM(SUMIFS('caseload data'!F:F,'caseload data'!$C:$C,'community %'!$T$57,'caseload data'!$D:$D,"PSO",'caseload data'!$B:$B,{"licence","community"}))/SUM(SUMIFS('caseload data'!F:F,'caseload data'!$B:$B,{"licence","community"},'caseload data'!$C:$C,'community %'!$T$57)),"")</f>
        <v/>
      </c>
      <c r="W60" s="167" t="str">
        <f>IFERROR(SUM(SUMIFS('caseload data'!G:G,'caseload data'!$C:$C,'community %'!$T$57,'caseload data'!$D:$D,"PSO",'caseload data'!$B:$B,{"licence","community"}))/SUM(SUMIFS('caseload data'!G:G,'caseload data'!$B:$B,{"licence","community"},'caseload data'!$C:$C,'community %'!$T$57)),"")</f>
        <v/>
      </c>
      <c r="X60" s="167" t="str">
        <f>IFERROR(SUM(SUMIFS('caseload data'!H:H,'caseload data'!$C:$C,'community %'!$T$57,'caseload data'!$D:$D,"PSO",'caseload data'!$B:$B,{"licence","community"}))/SUM(SUMIFS('caseload data'!H:H,'caseload data'!$B:$B,{"licence","community"},'caseload data'!$C:$C,'community %'!$T$57)),"")</f>
        <v/>
      </c>
      <c r="Y60" s="167" t="str">
        <f>IFERROR(SUM(SUMIFS('caseload data'!I:I,'caseload data'!$C:$C,'community %'!$T$57,'caseload data'!$D:$D,"PSO",'caseload data'!$B:$B,{"licence","community"}))/SUM(SUMIFS('caseload data'!I:I,'caseload data'!$B:$B,{"licence","community"},'caseload data'!$C:$C,'community %'!$T$57)),"")</f>
        <v/>
      </c>
      <c r="Z60" s="167" t="str">
        <f>IFERROR(SUM(SUMIFS('caseload data'!J:J,'caseload data'!$C:$C,'community %'!$T$57,'caseload data'!$D:$D,"PSO",'caseload data'!$B:$B,{"licence","community"}))/SUM(SUMIFS('caseload data'!J:J,'caseload data'!$B:$B,{"licence","community"},'caseload data'!$C:$C,'community %'!$T$57)),"")</f>
        <v/>
      </c>
      <c r="AA60" s="167" t="str">
        <f>IFERROR(SUM(SUMIFS('caseload data'!K:K,'caseload data'!$C:$C,'community %'!$T$57,'caseload data'!$D:$D,"PSO",'caseload data'!$B:$B,{"licence","community"}))/SUM(SUMIFS('caseload data'!K:K,'caseload data'!$B:$B,{"licence","community"},'caseload data'!$C:$C,'community %'!$T$57)),"")</f>
        <v/>
      </c>
      <c r="AB60" s="167" t="str">
        <f>IFERROR(SUM(SUMIFS('caseload data'!L:L,'caseload data'!$C:$C,'community %'!$T$57,'caseload data'!$D:$D,"PSO",'caseload data'!$B:$B,{"licence","community"}))/SUM(SUMIFS('caseload data'!L:L,'caseload data'!$B:$B,{"licence","community"},'caseload data'!$C:$C,'community %'!$T$57)),"")</f>
        <v/>
      </c>
      <c r="AC60" s="167" t="str">
        <f>IFERROR(SUM(SUMIFS('caseload data'!M:M,'caseload data'!$C:$C,'community %'!$T$57,'caseload data'!$D:$D,"PSO",'caseload data'!$B:$B,{"licence","community"}))/SUM(SUMIFS('caseload data'!M:M,'caseload data'!$B:$B,{"licence","community"},'caseload data'!$C:$C,'community %'!$T$57)),"")</f>
        <v/>
      </c>
      <c r="AD60" s="167" t="str">
        <f>IFERROR(SUM(SUMIFS('caseload data'!N:N,'caseload data'!$C:$C,'community %'!$T$57,'caseload data'!$D:$D,"PSO",'caseload data'!$B:$B,{"licence","community"}))/SUM(SUMIFS('caseload data'!N:N,'caseload data'!$B:$B,{"licence","community"},'caseload data'!$C:$C,'community %'!$T$57)),"")</f>
        <v/>
      </c>
      <c r="AE60" s="167" t="str">
        <f>IFERROR(SUM(SUMIFS('caseload data'!O:O,'caseload data'!$C:$C,'community %'!$T$57,'caseload data'!$D:$D,"PSO",'caseload data'!$B:$B,{"licence","community"}))/SUM(SUMIFS('caseload data'!O:O,'caseload data'!$B:$B,{"licence","community"},'caseload data'!$C:$C,'community %'!$T$57)),"")</f>
        <v/>
      </c>
      <c r="AF60" s="167" t="str">
        <f>IFERROR(SUM(SUMIFS('caseload data'!P:P,'caseload data'!$C:$C,'community %'!$T$57,'caseload data'!$D:$D,"PSO",'caseload data'!$B:$B,{"licence","community"}))/SUM(SUMIFS('caseload data'!P:P,'caseload data'!$B:$B,{"licence","community"},'caseload data'!$C:$C,'community %'!$T$57)),"")</f>
        <v/>
      </c>
      <c r="AG60" s="167" t="str">
        <f>IFERROR(SUM(SUMIFS('caseload data'!Q:Q,'caseload data'!$C:$C,'community %'!$T$57,'caseload data'!$D:$D,"PSO",'caseload data'!$B:$B,{"licence","community"}))/SUM(SUMIFS('caseload data'!Q:Q,'caseload data'!$B:$B,{"licence","community"},'caseload data'!$C:$C,'community %'!$T$57)),"")</f>
        <v/>
      </c>
      <c r="AH60" s="167" t="str">
        <f>IFERROR(SUM(SUMIFS('caseload data'!R:R,'caseload data'!$C:$C,'community %'!$T$57,'caseload data'!$D:$D,"PSO",'caseload data'!$B:$B,{"licence","community"}))/SUM(SUMIFS('caseload data'!R:R,'caseload data'!$B:$B,{"licence","community"},'caseload data'!$C:$C,'community %'!$T$57)),"")</f>
        <v/>
      </c>
      <c r="AI60" s="167" t="str">
        <f>IFERROR(SUM(SUMIFS('caseload data'!S:S,'caseload data'!$C:$C,'community %'!$T$57,'caseload data'!$D:$D,"PSO",'caseload data'!$B:$B,{"licence","community"}))/SUM(SUMIFS('caseload data'!S:S,'caseload data'!$B:$B,{"licence","community"},'caseload data'!$C:$C,'community %'!$T$57)),"")</f>
        <v/>
      </c>
      <c r="AJ60" s="167" t="str">
        <f>IFERROR(SUM(SUMIFS('caseload data'!T:T,'caseload data'!$C:$C,'community %'!$T$57,'caseload data'!$D:$D,"PSO",'caseload data'!$B:$B,{"licence","community"}))/SUM(SUMIFS('caseload data'!T:T,'caseload data'!$B:$B,{"licence","community"},'caseload data'!$C:$C,'community %'!$T$57)),"")</f>
        <v/>
      </c>
    </row>
    <row r="61" spans="2:36" x14ac:dyDescent="0.15">
      <c r="B61" s="97" t="s">
        <v>1003</v>
      </c>
      <c r="C61" s="167" t="str">
        <f>IFERROR(SUM(SUMIFS('caseload data'!E:E,'caseload data'!$C:$C,'community %'!$B$57,'caseload data'!$D:$D,"TPO",'caseload data'!$B:$B,{"licence","community"}))/SUM(SUMIFS('caseload data'!E:E,'caseload data'!$B:$B,{"licence","community"},'caseload data'!$C:$C,'community %'!$B$57)),"")</f>
        <v/>
      </c>
      <c r="D61" s="167" t="str">
        <f>IFERROR(SUM(SUMIFS('caseload data'!F:F,'caseload data'!$C:$C,'community %'!$B$57,'caseload data'!$D:$D,"TPO",'caseload data'!$B:$B,{"licence","community"}))/SUM(SUMIFS('caseload data'!F:F,'caseload data'!$B:$B,{"licence","community"},'caseload data'!$C:$C,'community %'!$B$57)),"")</f>
        <v/>
      </c>
      <c r="E61" s="167" t="str">
        <f>IFERROR(SUM(SUMIFS('caseload data'!G:G,'caseload data'!$C:$C,'community %'!$B$57,'caseload data'!$D:$D,"TPO",'caseload data'!$B:$B,{"licence","community"}))/SUM(SUMIFS('caseload data'!G:G,'caseload data'!$B:$B,{"licence","community"},'caseload data'!$C:$C,'community %'!$B$57)),"")</f>
        <v/>
      </c>
      <c r="F61" s="167" t="str">
        <f>IFERROR(SUM(SUMIFS('caseload data'!H:H,'caseload data'!$C:$C,'community %'!$B$57,'caseload data'!$D:$D,"TPO",'caseload data'!$B:$B,{"licence","community"}))/SUM(SUMIFS('caseload data'!H:H,'caseload data'!$B:$B,{"licence","community"},'caseload data'!$C:$C,'community %'!$B$57)),"")</f>
        <v/>
      </c>
      <c r="G61" s="167" t="str">
        <f>IFERROR(SUM(SUMIFS('caseload data'!I:I,'caseload data'!$C:$C,'community %'!$B$57,'caseload data'!$D:$D,"TPO",'caseload data'!$B:$B,{"licence","community"}))/SUM(SUMIFS('caseload data'!I:I,'caseload data'!$B:$B,{"licence","community"},'caseload data'!$C:$C,'community %'!$B$57)),"")</f>
        <v/>
      </c>
      <c r="H61" s="167" t="str">
        <f>IFERROR(SUM(SUMIFS('caseload data'!J:J,'caseload data'!$C:$C,'community %'!$B$57,'caseload data'!$D:$D,"TPO",'caseload data'!$B:$B,{"licence","community"}))/SUM(SUMIFS('caseload data'!J:J,'caseload data'!$B:$B,{"licence","community"},'caseload data'!$C:$C,'community %'!$B$57)),"")</f>
        <v/>
      </c>
      <c r="I61" s="167" t="str">
        <f>IFERROR(SUM(SUMIFS('caseload data'!K:K,'caseload data'!$C:$C,'community %'!$B$57,'caseload data'!$D:$D,"TPO",'caseload data'!$B:$B,{"licence","community"}))/SUM(SUMIFS('caseload data'!K:K,'caseload data'!$B:$B,{"licence","community"},'caseload data'!$C:$C,'community %'!$B$57)),"")</f>
        <v/>
      </c>
      <c r="J61" s="167" t="str">
        <f>IFERROR(SUM(SUMIFS('caseload data'!L:L,'caseload data'!$C:$C,'community %'!$B$57,'caseload data'!$D:$D,"TPO",'caseload data'!$B:$B,{"licence","community"}))/SUM(SUMIFS('caseload data'!L:L,'caseload data'!$B:$B,{"licence","community"},'caseload data'!$C:$C,'community %'!$B$57)),"")</f>
        <v/>
      </c>
      <c r="K61" s="167" t="str">
        <f>IFERROR(SUM(SUMIFS('caseload data'!M:M,'caseload data'!$C:$C,'community %'!$B$57,'caseload data'!$D:$D,"TPO",'caseload data'!$B:$B,{"licence","community"}))/SUM(SUMIFS('caseload data'!M:M,'caseload data'!$B:$B,{"licence","community"},'caseload data'!$C:$C,'community %'!$B$57)),"")</f>
        <v/>
      </c>
      <c r="L61" s="167" t="str">
        <f>IFERROR(SUM(SUMIFS('caseload data'!N:N,'caseload data'!$C:$C,'community %'!$B$57,'caseload data'!$D:$D,"TPO",'caseload data'!$B:$B,{"licence","community"}))/SUM(SUMIFS('caseload data'!N:N,'caseload data'!$B:$B,{"licence","community"},'caseload data'!$C:$C,'community %'!$B$57)),"")</f>
        <v/>
      </c>
      <c r="M61" s="167" t="str">
        <f>IFERROR(SUM(SUMIFS('caseload data'!O:O,'caseload data'!$C:$C,'community %'!$B$57,'caseload data'!$D:$D,"TPO",'caseload data'!$B:$B,{"licence","community"}))/SUM(SUMIFS('caseload data'!O:O,'caseload data'!$B:$B,{"licence","community"},'caseload data'!$C:$C,'community %'!$B$57)),"")</f>
        <v/>
      </c>
      <c r="N61" s="167" t="str">
        <f>IFERROR(SUM(SUMIFS('caseload data'!P:P,'caseload data'!$C:$C,'community %'!$B$57,'caseload data'!$D:$D,"TPO",'caseload data'!$B:$B,{"licence","community"}))/SUM(SUMIFS('caseload data'!P:P,'caseload data'!$B:$B,{"licence","community"},'caseload data'!$C:$C,'community %'!$B$57)),"")</f>
        <v/>
      </c>
      <c r="O61" s="167" t="str">
        <f>IFERROR(SUM(SUMIFS('caseload data'!Q:Q,'caseload data'!$C:$C,'community %'!$B$57,'caseload data'!$D:$D,"TPO",'caseload data'!$B:$B,{"licence","community"}))/SUM(SUMIFS('caseload data'!Q:Q,'caseload data'!$B:$B,{"licence","community"},'caseload data'!$C:$C,'community %'!$B$57)),"")</f>
        <v/>
      </c>
      <c r="P61" s="167" t="str">
        <f>IFERROR(SUM(SUMIFS('caseload data'!R:R,'caseload data'!$C:$C,'community %'!$B$57,'caseload data'!$D:$D,"TPO",'caseload data'!$B:$B,{"licence","community"}))/SUM(SUMIFS('caseload data'!R:R,'caseload data'!$B:$B,{"licence","community"},'caseload data'!$C:$C,'community %'!$B$57)),"")</f>
        <v/>
      </c>
      <c r="Q61" s="167" t="str">
        <f>IFERROR(SUM(SUMIFS('caseload data'!S:S,'caseload data'!$C:$C,'community %'!$B$57,'caseload data'!$D:$D,"TPO",'caseload data'!$B:$B,{"licence","community"}))/SUM(SUMIFS('caseload data'!S:S,'caseload data'!$B:$B,{"licence","community"},'caseload data'!$C:$C,'community %'!$B$57)),"")</f>
        <v/>
      </c>
      <c r="R61" s="167" t="str">
        <f>IFERROR(SUM(SUMIFS('caseload data'!T:T,'caseload data'!$C:$C,'community %'!$B$57,'caseload data'!$D:$D,"TPO",'caseload data'!$B:$B,{"licence","community"}))/SUM(SUMIFS('caseload data'!T:T,'caseload data'!$B:$B,{"licence","community"},'caseload data'!$C:$C,'community %'!$B$57)),"")</f>
        <v/>
      </c>
      <c r="S61" s="64"/>
      <c r="T61" s="97" t="s">
        <v>1003</v>
      </c>
      <c r="U61" s="167" t="str">
        <f>IFERROR(SUM(SUMIFS('caseload data'!E:E,'caseload data'!$C:$C,'community %'!$T$57,'caseload data'!$D:$D,"TPO",'caseload data'!$B:$B,{"licence","community"}))/SUM(SUMIFS('caseload data'!E:E,'caseload data'!$B:$B,{"licence","community"},'caseload data'!$C:$C,'community %'!$T$57)),"")</f>
        <v/>
      </c>
      <c r="V61" s="167" t="str">
        <f>IFERROR(SUM(SUMIFS('caseload data'!F:F,'caseload data'!$C:$C,'community %'!$T$57,'caseload data'!$D:$D,"TPO",'caseload data'!$B:$B,{"licence","community"}))/SUM(SUMIFS('caseload data'!F:F,'caseload data'!$B:$B,{"licence","community"},'caseload data'!$C:$C,'community %'!$T$57)),"")</f>
        <v/>
      </c>
      <c r="W61" s="167" t="str">
        <f>IFERROR(SUM(SUMIFS('caseload data'!G:G,'caseload data'!$C:$C,'community %'!$T$57,'caseload data'!$D:$D,"TPO",'caseload data'!$B:$B,{"licence","community"}))/SUM(SUMIFS('caseload data'!G:G,'caseload data'!$B:$B,{"licence","community"},'caseload data'!$C:$C,'community %'!$T$57)),"")</f>
        <v/>
      </c>
      <c r="X61" s="167" t="str">
        <f>IFERROR(SUM(SUMIFS('caseload data'!H:H,'caseload data'!$C:$C,'community %'!$T$57,'caseload data'!$D:$D,"TPO",'caseload data'!$B:$B,{"licence","community"}))/SUM(SUMIFS('caseload data'!H:H,'caseload data'!$B:$B,{"licence","community"},'caseload data'!$C:$C,'community %'!$T$57)),"")</f>
        <v/>
      </c>
      <c r="Y61" s="167" t="str">
        <f>IFERROR(SUM(SUMIFS('caseload data'!I:I,'caseload data'!$C:$C,'community %'!$T$57,'caseload data'!$D:$D,"TPO",'caseload data'!$B:$B,{"licence","community"}))/SUM(SUMIFS('caseload data'!I:I,'caseload data'!$B:$B,{"licence","community"},'caseload data'!$C:$C,'community %'!$T$57)),"")</f>
        <v/>
      </c>
      <c r="Z61" s="167" t="str">
        <f>IFERROR(SUM(SUMIFS('caseload data'!J:J,'caseload data'!$C:$C,'community %'!$T$57,'caseload data'!$D:$D,"TPO",'caseload data'!$B:$B,{"licence","community"}))/SUM(SUMIFS('caseload data'!J:J,'caseload data'!$B:$B,{"licence","community"},'caseload data'!$C:$C,'community %'!$T$57)),"")</f>
        <v/>
      </c>
      <c r="AA61" s="167" t="str">
        <f>IFERROR(SUM(SUMIFS('caseload data'!K:K,'caseload data'!$C:$C,'community %'!$T$57,'caseload data'!$D:$D,"TPO",'caseload data'!$B:$B,{"licence","community"}))/SUM(SUMIFS('caseload data'!K:K,'caseload data'!$B:$B,{"licence","community"},'caseload data'!$C:$C,'community %'!$T$57)),"")</f>
        <v/>
      </c>
      <c r="AB61" s="167" t="str">
        <f>IFERROR(SUM(SUMIFS('caseload data'!L:L,'caseload data'!$C:$C,'community %'!$T$57,'caseload data'!$D:$D,"TPO",'caseload data'!$B:$B,{"licence","community"}))/SUM(SUMIFS('caseload data'!L:L,'caseload data'!$B:$B,{"licence","community"},'caseload data'!$C:$C,'community %'!$T$57)),"")</f>
        <v/>
      </c>
      <c r="AC61" s="167" t="str">
        <f>IFERROR(SUM(SUMIFS('caseload data'!M:M,'caseload data'!$C:$C,'community %'!$T$57,'caseload data'!$D:$D,"TPO",'caseload data'!$B:$B,{"licence","community"}))/SUM(SUMIFS('caseload data'!M:M,'caseload data'!$B:$B,{"licence","community"},'caseload data'!$C:$C,'community %'!$T$57)),"")</f>
        <v/>
      </c>
      <c r="AD61" s="167" t="str">
        <f>IFERROR(SUM(SUMIFS('caseload data'!N:N,'caseload data'!$C:$C,'community %'!$T$57,'caseload data'!$D:$D,"TPO",'caseload data'!$B:$B,{"licence","community"}))/SUM(SUMIFS('caseload data'!N:N,'caseload data'!$B:$B,{"licence","community"},'caseload data'!$C:$C,'community %'!$T$57)),"")</f>
        <v/>
      </c>
      <c r="AE61" s="167" t="str">
        <f>IFERROR(SUM(SUMIFS('caseload data'!O:O,'caseload data'!$C:$C,'community %'!$T$57,'caseload data'!$D:$D,"TPO",'caseload data'!$B:$B,{"licence","community"}))/SUM(SUMIFS('caseload data'!O:O,'caseload data'!$B:$B,{"licence","community"},'caseload data'!$C:$C,'community %'!$T$57)),"")</f>
        <v/>
      </c>
      <c r="AF61" s="167" t="str">
        <f>IFERROR(SUM(SUMIFS('caseload data'!P:P,'caseload data'!$C:$C,'community %'!$T$57,'caseload data'!$D:$D,"TPO",'caseload data'!$B:$B,{"licence","community"}))/SUM(SUMIFS('caseload data'!P:P,'caseload data'!$B:$B,{"licence","community"},'caseload data'!$C:$C,'community %'!$T$57)),"")</f>
        <v/>
      </c>
      <c r="AG61" s="167" t="str">
        <f>IFERROR(SUM(SUMIFS('caseload data'!Q:Q,'caseload data'!$C:$C,'community %'!$T$57,'caseload data'!$D:$D,"TPO",'caseload data'!$B:$B,{"licence","community"}))/SUM(SUMIFS('caseload data'!Q:Q,'caseload data'!$B:$B,{"licence","community"},'caseload data'!$C:$C,'community %'!$T$57)),"")</f>
        <v/>
      </c>
      <c r="AH61" s="167" t="str">
        <f>IFERROR(SUM(SUMIFS('caseload data'!R:R,'caseload data'!$C:$C,'community %'!$T$57,'caseload data'!$D:$D,"TPO",'caseload data'!$B:$B,{"licence","community"}))/SUM(SUMIFS('caseload data'!R:R,'caseload data'!$B:$B,{"licence","community"},'caseload data'!$C:$C,'community %'!$T$57)),"")</f>
        <v/>
      </c>
      <c r="AI61" s="167" t="str">
        <f>IFERROR(SUM(SUMIFS('caseload data'!S:S,'caseload data'!$C:$C,'community %'!$T$57,'caseload data'!$D:$D,"TPO",'caseload data'!$B:$B,{"licence","community"}))/SUM(SUMIFS('caseload data'!S:S,'caseload data'!$B:$B,{"licence","community"},'caseload data'!$C:$C,'community %'!$T$57)),"")</f>
        <v/>
      </c>
      <c r="AJ61" s="167" t="str">
        <f>IFERROR(SUM(SUMIFS('caseload data'!T:T,'caseload data'!$C:$C,'community %'!$T$57,'caseload data'!$D:$D,"TPO",'caseload data'!$B:$B,{"licence","community"}))/SUM(SUMIFS('caseload data'!T:T,'caseload data'!$B:$B,{"licence","community"},'caseload data'!$C:$C,'community %'!$T$57)),"")</f>
        <v/>
      </c>
    </row>
    <row r="62" spans="2:36" x14ac:dyDescent="0.15">
      <c r="B62" s="98" t="s">
        <v>1004</v>
      </c>
      <c r="C62" s="167" t="str">
        <f>IFERROR(SUM(SUMIFS('caseload data'!E:E,'caseload data'!$C:$C,'community %'!$B$57,'caseload data'!$D:$D,"SPO",'caseload data'!$B:$B,{"licence","community"}))/SUM(SUMIFS('caseload data'!E:E,'caseload data'!$B:$B,{"licence","community"},'caseload data'!$C:$C,'community %'!$B$57)),"")</f>
        <v/>
      </c>
      <c r="D62" s="167" t="str">
        <f>IFERROR(SUM(SUMIFS('caseload data'!F:F,'caseload data'!$C:$C,'community %'!$B$57,'caseload data'!$D:$D,"SPO",'caseload data'!$B:$B,{"licence","community"}))/SUM(SUMIFS('caseload data'!F:F,'caseload data'!$B:$B,{"licence","community"},'caseload data'!$C:$C,'community %'!$B$57)),"")</f>
        <v/>
      </c>
      <c r="E62" s="167" t="str">
        <f>IFERROR(SUM(SUMIFS('caseload data'!G:G,'caseload data'!$C:$C,'community %'!$B$57,'caseload data'!$D:$D,"SPO",'caseload data'!$B:$B,{"licence","community"}))/SUM(SUMIFS('caseload data'!G:G,'caseload data'!$B:$B,{"licence","community"},'caseload data'!$C:$C,'community %'!$B$57)),"")</f>
        <v/>
      </c>
      <c r="F62" s="167" t="str">
        <f>IFERROR(SUM(SUMIFS('caseload data'!H:H,'caseload data'!$C:$C,'community %'!$B$57,'caseload data'!$D:$D,"SPO",'caseload data'!$B:$B,{"licence","community"}))/SUM(SUMIFS('caseload data'!H:H,'caseload data'!$B:$B,{"licence","community"},'caseload data'!$C:$C,'community %'!$B$57)),"")</f>
        <v/>
      </c>
      <c r="G62" s="167" t="str">
        <f>IFERROR(SUM(SUMIFS('caseload data'!I:I,'caseload data'!$C:$C,'community %'!$B$57,'caseload data'!$D:$D,"SPO",'caseload data'!$B:$B,{"licence","community"}))/SUM(SUMIFS('caseload data'!I:I,'caseload data'!$B:$B,{"licence","community"},'caseload data'!$C:$C,'community %'!$B$57)),"")</f>
        <v/>
      </c>
      <c r="H62" s="167" t="str">
        <f>IFERROR(SUM(SUMIFS('caseload data'!J:J,'caseload data'!$C:$C,'community %'!$B$57,'caseload data'!$D:$D,"SPO",'caseload data'!$B:$B,{"licence","community"}))/SUM(SUMIFS('caseload data'!J:J,'caseload data'!$B:$B,{"licence","community"},'caseload data'!$C:$C,'community %'!$B$57)),"")</f>
        <v/>
      </c>
      <c r="I62" s="167" t="str">
        <f>IFERROR(SUM(SUMIFS('caseload data'!K:K,'caseload data'!$C:$C,'community %'!$B$57,'caseload data'!$D:$D,"SPO",'caseload data'!$B:$B,{"licence","community"}))/SUM(SUMIFS('caseload data'!K:K,'caseload data'!$B:$B,{"licence","community"},'caseload data'!$C:$C,'community %'!$B$57)),"")</f>
        <v/>
      </c>
      <c r="J62" s="167" t="str">
        <f>IFERROR(SUM(SUMIFS('caseload data'!L:L,'caseload data'!$C:$C,'community %'!$B$57,'caseload data'!$D:$D,"SPO",'caseload data'!$B:$B,{"licence","community"}))/SUM(SUMIFS('caseload data'!L:L,'caseload data'!$B:$B,{"licence","community"},'caseload data'!$C:$C,'community %'!$B$57)),"")</f>
        <v/>
      </c>
      <c r="K62" s="167" t="str">
        <f>IFERROR(SUM(SUMIFS('caseload data'!M:M,'caseload data'!$C:$C,'community %'!$B$57,'caseload data'!$D:$D,"SPO",'caseload data'!$B:$B,{"licence","community"}))/SUM(SUMIFS('caseload data'!M:M,'caseload data'!$B:$B,{"licence","community"},'caseload data'!$C:$C,'community %'!$B$57)),"")</f>
        <v/>
      </c>
      <c r="L62" s="167" t="str">
        <f>IFERROR(SUM(SUMIFS('caseload data'!N:N,'caseload data'!$C:$C,'community %'!$B$57,'caseload data'!$D:$D,"SPO",'caseload data'!$B:$B,{"licence","community"}))/SUM(SUMIFS('caseload data'!N:N,'caseload data'!$B:$B,{"licence","community"},'caseload data'!$C:$C,'community %'!$B$57)),"")</f>
        <v/>
      </c>
      <c r="M62" s="167" t="str">
        <f>IFERROR(SUM(SUMIFS('caseload data'!O:O,'caseload data'!$C:$C,'community %'!$B$57,'caseload data'!$D:$D,"SPO",'caseload data'!$B:$B,{"licence","community"}))/SUM(SUMIFS('caseload data'!O:O,'caseload data'!$B:$B,{"licence","community"},'caseload data'!$C:$C,'community %'!$B$57)),"")</f>
        <v/>
      </c>
      <c r="N62" s="167" t="str">
        <f>IFERROR(SUM(SUMIFS('caseload data'!P:P,'caseload data'!$C:$C,'community %'!$B$57,'caseload data'!$D:$D,"SPO",'caseload data'!$B:$B,{"licence","community"}))/SUM(SUMIFS('caseload data'!P:P,'caseload data'!$B:$B,{"licence","community"},'caseload data'!$C:$C,'community %'!$B$57)),"")</f>
        <v/>
      </c>
      <c r="O62" s="167" t="str">
        <f>IFERROR(SUM(SUMIFS('caseload data'!Q:Q,'caseload data'!$C:$C,'community %'!$B$57,'caseload data'!$D:$D,"SPO",'caseload data'!$B:$B,{"licence","community"}))/SUM(SUMIFS('caseload data'!Q:Q,'caseload data'!$B:$B,{"licence","community"},'caseload data'!$C:$C,'community %'!$B$57)),"")</f>
        <v/>
      </c>
      <c r="P62" s="167" t="str">
        <f>IFERROR(SUM(SUMIFS('caseload data'!R:R,'caseload data'!$C:$C,'community %'!$B$57,'caseload data'!$D:$D,"SPO",'caseload data'!$B:$B,{"licence","community"}))/SUM(SUMIFS('caseload data'!R:R,'caseload data'!$B:$B,{"licence","community"},'caseload data'!$C:$C,'community %'!$B$57)),"")</f>
        <v/>
      </c>
      <c r="Q62" s="167" t="str">
        <f>IFERROR(SUM(SUMIFS('caseload data'!S:S,'caseload data'!$C:$C,'community %'!$B$57,'caseload data'!$D:$D,"SPO",'caseload data'!$B:$B,{"licence","community"}))/SUM(SUMIFS('caseload data'!S:S,'caseload data'!$B:$B,{"licence","community"},'caseload data'!$C:$C,'community %'!$B$57)),"")</f>
        <v/>
      </c>
      <c r="R62" s="167" t="str">
        <f>IFERROR(SUM(SUMIFS('caseload data'!T:T,'caseload data'!$C:$C,'community %'!$B$57,'caseload data'!$D:$D,"SPO",'caseload data'!$B:$B,{"licence","community"}))/SUM(SUMIFS('caseload data'!T:T,'caseload data'!$B:$B,{"licence","community"},'caseload data'!$C:$C,'community %'!$B$57)),"")</f>
        <v/>
      </c>
      <c r="S62" s="64"/>
      <c r="T62" s="98" t="s">
        <v>1004</v>
      </c>
      <c r="U62" s="167" t="str">
        <f>IFERROR(SUM(SUMIFS('caseload data'!E:E,'caseload data'!$C:$C,'community %'!$T$57,'caseload data'!$D:$D,"SPO",'caseload data'!$B:$B,{"licence","community"}))/SUM(SUMIFS('caseload data'!E:E,'caseload data'!$B:$B,{"licence","community"},'caseload data'!$C:$C,'community %'!$T$57)),"")</f>
        <v/>
      </c>
      <c r="V62" s="167" t="str">
        <f>IFERROR(SUM(SUMIFS('caseload data'!F:F,'caseload data'!$C:$C,'community %'!$T$57,'caseload data'!$D:$D,"SPO",'caseload data'!$B:$B,{"licence","community"}))/SUM(SUMIFS('caseload data'!F:F,'caseload data'!$B:$B,{"licence","community"},'caseload data'!$C:$C,'community %'!$T$57)),"")</f>
        <v/>
      </c>
      <c r="W62" s="167" t="str">
        <f>IFERROR(SUM(SUMIFS('caseload data'!G:G,'caseload data'!$C:$C,'community %'!$T$57,'caseload data'!$D:$D,"SPO",'caseload data'!$B:$B,{"licence","community"}))/SUM(SUMIFS('caseload data'!G:G,'caseload data'!$B:$B,{"licence","community"},'caseload data'!$C:$C,'community %'!$T$57)),"")</f>
        <v/>
      </c>
      <c r="X62" s="167" t="str">
        <f>IFERROR(SUM(SUMIFS('caseload data'!H:H,'caseload data'!$C:$C,'community %'!$T$57,'caseload data'!$D:$D,"SPO",'caseload data'!$B:$B,{"licence","community"}))/SUM(SUMIFS('caseload data'!H:H,'caseload data'!$B:$B,{"licence","community"},'caseload data'!$C:$C,'community %'!$T$57)),"")</f>
        <v/>
      </c>
      <c r="Y62" s="167" t="str">
        <f>IFERROR(SUM(SUMIFS('caseload data'!I:I,'caseload data'!$C:$C,'community %'!$T$57,'caseload data'!$D:$D,"SPO",'caseload data'!$B:$B,{"licence","community"}))/SUM(SUMIFS('caseload data'!I:I,'caseload data'!$B:$B,{"licence","community"},'caseload data'!$C:$C,'community %'!$T$57)),"")</f>
        <v/>
      </c>
      <c r="Z62" s="167" t="str">
        <f>IFERROR(SUM(SUMIFS('caseload data'!J:J,'caseload data'!$C:$C,'community %'!$T$57,'caseload data'!$D:$D,"SPO",'caseload data'!$B:$B,{"licence","community"}))/SUM(SUMIFS('caseload data'!J:J,'caseload data'!$B:$B,{"licence","community"},'caseload data'!$C:$C,'community %'!$T$57)),"")</f>
        <v/>
      </c>
      <c r="AA62" s="167" t="str">
        <f>IFERROR(SUM(SUMIFS('caseload data'!K:K,'caseload data'!$C:$C,'community %'!$T$57,'caseload data'!$D:$D,"SPO",'caseload data'!$B:$B,{"licence","community"}))/SUM(SUMIFS('caseload data'!K:K,'caseload data'!$B:$B,{"licence","community"},'caseload data'!$C:$C,'community %'!$T$57)),"")</f>
        <v/>
      </c>
      <c r="AB62" s="167" t="str">
        <f>IFERROR(SUM(SUMIFS('caseload data'!L:L,'caseload data'!$C:$C,'community %'!$T$57,'caseload data'!$D:$D,"SPO",'caseload data'!$B:$B,{"licence","community"}))/SUM(SUMIFS('caseload data'!L:L,'caseload data'!$B:$B,{"licence","community"},'caseload data'!$C:$C,'community %'!$T$57)),"")</f>
        <v/>
      </c>
      <c r="AC62" s="167" t="str">
        <f>IFERROR(SUM(SUMIFS('caseload data'!M:M,'caseload data'!$C:$C,'community %'!$T$57,'caseload data'!$D:$D,"SPO",'caseload data'!$B:$B,{"licence","community"}))/SUM(SUMIFS('caseload data'!M:M,'caseload data'!$B:$B,{"licence","community"},'caseload data'!$C:$C,'community %'!$T$57)),"")</f>
        <v/>
      </c>
      <c r="AD62" s="167" t="str">
        <f>IFERROR(SUM(SUMIFS('caseload data'!N:N,'caseload data'!$C:$C,'community %'!$T$57,'caseload data'!$D:$D,"SPO",'caseload data'!$B:$B,{"licence","community"}))/SUM(SUMIFS('caseload data'!N:N,'caseload data'!$B:$B,{"licence","community"},'caseload data'!$C:$C,'community %'!$T$57)),"")</f>
        <v/>
      </c>
      <c r="AE62" s="167" t="str">
        <f>IFERROR(SUM(SUMIFS('caseload data'!O:O,'caseload data'!$C:$C,'community %'!$T$57,'caseload data'!$D:$D,"SPO",'caseload data'!$B:$B,{"licence","community"}))/SUM(SUMIFS('caseload data'!O:O,'caseload data'!$B:$B,{"licence","community"},'caseload data'!$C:$C,'community %'!$T$57)),"")</f>
        <v/>
      </c>
      <c r="AF62" s="167" t="str">
        <f>IFERROR(SUM(SUMIFS('caseload data'!P:P,'caseload data'!$C:$C,'community %'!$T$57,'caseload data'!$D:$D,"SPO",'caseload data'!$B:$B,{"licence","community"}))/SUM(SUMIFS('caseload data'!P:P,'caseload data'!$B:$B,{"licence","community"},'caseload data'!$C:$C,'community %'!$T$57)),"")</f>
        <v/>
      </c>
      <c r="AG62" s="167" t="str">
        <f>IFERROR(SUM(SUMIFS('caseload data'!Q:Q,'caseload data'!$C:$C,'community %'!$T$57,'caseload data'!$D:$D,"SPO",'caseload data'!$B:$B,{"licence","community"}))/SUM(SUMIFS('caseload data'!Q:Q,'caseload data'!$B:$B,{"licence","community"},'caseload data'!$C:$C,'community %'!$T$57)),"")</f>
        <v/>
      </c>
      <c r="AH62" s="167" t="str">
        <f>IFERROR(SUM(SUMIFS('caseload data'!R:R,'caseload data'!$C:$C,'community %'!$T$57,'caseload data'!$D:$D,"SPO",'caseload data'!$B:$B,{"licence","community"}))/SUM(SUMIFS('caseload data'!R:R,'caseload data'!$B:$B,{"licence","community"},'caseload data'!$C:$C,'community %'!$T$57)),"")</f>
        <v/>
      </c>
      <c r="AI62" s="167" t="str">
        <f>IFERROR(SUM(SUMIFS('caseload data'!S:S,'caseload data'!$C:$C,'community %'!$T$57,'caseload data'!$D:$D,"SPO",'caseload data'!$B:$B,{"licence","community"}))/SUM(SUMIFS('caseload data'!S:S,'caseload data'!$B:$B,{"licence","community"},'caseload data'!$C:$C,'community %'!$T$57)),"")</f>
        <v/>
      </c>
      <c r="AJ62" s="167" t="str">
        <f>IFERROR(SUM(SUMIFS('caseload data'!T:T,'caseload data'!$C:$C,'community %'!$T$57,'caseload data'!$D:$D,"SPO",'caseload data'!$B:$B,{"licence","community"}))/SUM(SUMIFS('caseload data'!T:T,'caseload data'!$B:$B,{"licence","community"},'caseload data'!$C:$C,'community %'!$T$57)),"")</f>
        <v/>
      </c>
    </row>
    <row r="64" spans="2:36" ht="25.5" customHeight="1" x14ac:dyDescent="0.15">
      <c r="B64" s="289">
        <f>HLOOKUP($B$5,Region_Table,18,0)</f>
        <v>0</v>
      </c>
      <c r="C64" s="509" t="s">
        <v>1134</v>
      </c>
      <c r="D64" s="510"/>
      <c r="E64" s="510"/>
      <c r="F64" s="510"/>
      <c r="G64" s="510"/>
      <c r="H64" s="510"/>
      <c r="I64" s="510"/>
      <c r="J64" s="510"/>
      <c r="K64" s="510"/>
      <c r="L64" s="510"/>
      <c r="M64" s="539"/>
      <c r="N64" s="539"/>
      <c r="O64" s="540"/>
      <c r="P64" s="512" cm="1">
        <f t="array" ref="P64">SUM(SUMIFS('caseload data'!V:V,'caseload data'!B:B,{"licence","community"},'caseload data'!$C:$C,B64))</f>
        <v>0</v>
      </c>
      <c r="Q64" s="529"/>
      <c r="R64" s="530"/>
      <c r="S64" s="64"/>
      <c r="T64" s="289">
        <f>HLOOKUP($B$5,Region_Table,19,0)</f>
        <v>0</v>
      </c>
      <c r="U64" s="509" t="s">
        <v>1134</v>
      </c>
      <c r="V64" s="510"/>
      <c r="W64" s="510"/>
      <c r="X64" s="510"/>
      <c r="Y64" s="510"/>
      <c r="Z64" s="510"/>
      <c r="AA64" s="510"/>
      <c r="AB64" s="510"/>
      <c r="AC64" s="510"/>
      <c r="AD64" s="510"/>
      <c r="AE64" s="539"/>
      <c r="AF64" s="539"/>
      <c r="AG64" s="540"/>
      <c r="AH64" s="512" cm="1">
        <f t="array" ref="AH64">SUM(SUMIFS('caseload data'!V:V,'caseload data'!B:B,{"licence","community"},'caseload data'!$C:$C,T64))</f>
        <v>0</v>
      </c>
      <c r="AI64" s="529"/>
      <c r="AJ64" s="530"/>
    </row>
    <row r="65" spans="2:36" x14ac:dyDescent="0.15">
      <c r="B65" s="95" t="s">
        <v>1000</v>
      </c>
      <c r="C65" s="38" t="s">
        <v>864</v>
      </c>
      <c r="D65" s="38" t="s">
        <v>865</v>
      </c>
      <c r="E65" s="38" t="s">
        <v>866</v>
      </c>
      <c r="F65" s="38" t="s">
        <v>867</v>
      </c>
      <c r="G65" s="38" t="s">
        <v>868</v>
      </c>
      <c r="H65" s="38" t="s">
        <v>869</v>
      </c>
      <c r="I65" s="38" t="s">
        <v>870</v>
      </c>
      <c r="J65" s="38" t="s">
        <v>871</v>
      </c>
      <c r="K65" s="38" t="s">
        <v>872</v>
      </c>
      <c r="L65" s="38" t="s">
        <v>873</v>
      </c>
      <c r="M65" s="38" t="s">
        <v>874</v>
      </c>
      <c r="N65" s="38" t="s">
        <v>875</v>
      </c>
      <c r="O65" s="38" t="s">
        <v>876</v>
      </c>
      <c r="P65" s="38" t="s">
        <v>877</v>
      </c>
      <c r="Q65" s="38" t="s">
        <v>878</v>
      </c>
      <c r="R65" s="38" t="s">
        <v>879</v>
      </c>
      <c r="S65" s="64"/>
      <c r="T65" s="95" t="s">
        <v>1000</v>
      </c>
      <c r="U65" s="38" t="s">
        <v>864</v>
      </c>
      <c r="V65" s="38" t="s">
        <v>865</v>
      </c>
      <c r="W65" s="38" t="s">
        <v>866</v>
      </c>
      <c r="X65" s="38" t="s">
        <v>867</v>
      </c>
      <c r="Y65" s="38" t="s">
        <v>868</v>
      </c>
      <c r="Z65" s="38" t="s">
        <v>869</v>
      </c>
      <c r="AA65" s="38" t="s">
        <v>870</v>
      </c>
      <c r="AB65" s="38" t="s">
        <v>871</v>
      </c>
      <c r="AC65" s="38" t="s">
        <v>872</v>
      </c>
      <c r="AD65" s="38" t="s">
        <v>873</v>
      </c>
      <c r="AE65" s="38" t="s">
        <v>874</v>
      </c>
      <c r="AF65" s="38" t="s">
        <v>875</v>
      </c>
      <c r="AG65" s="38" t="s">
        <v>876</v>
      </c>
      <c r="AH65" s="38" t="s">
        <v>877</v>
      </c>
      <c r="AI65" s="38" t="s">
        <v>878</v>
      </c>
      <c r="AJ65" s="38" t="s">
        <v>879</v>
      </c>
    </row>
    <row r="66" spans="2:36" x14ac:dyDescent="0.15">
      <c r="B66" s="96" t="s">
        <v>997</v>
      </c>
      <c r="C66" s="167" t="str">
        <f>IFERROR(SUM(SUMIFS('caseload data'!E:E,'caseload data'!$C:$C,'community %'!$B$64,'caseload data'!$D:$D,"PO",'caseload data'!$B:$B,{"licence","community"}))/SUM(SUMIFS('caseload data'!E:E,'caseload data'!$B:$B,{"licence","community"},'caseload data'!$C:$C,'community %'!$B$64)),"")</f>
        <v/>
      </c>
      <c r="D66" s="167" t="str">
        <f>IFERROR(SUM(SUMIFS('caseload data'!F:F,'caseload data'!$C:$C,'community %'!$B$64,'caseload data'!$D:$D,"PO",'caseload data'!$B:$B,{"licence","community"}))/SUM(SUMIFS('caseload data'!F:F,'caseload data'!$B:$B,{"licence","community"},'caseload data'!$C:$C,'community %'!$B$64)),"")</f>
        <v/>
      </c>
      <c r="E66" s="167" t="str">
        <f>IFERROR(SUM(SUMIFS('caseload data'!G:G,'caseload data'!$C:$C,'community %'!$B$64,'caseload data'!$D:$D,"PO",'caseload data'!$B:$B,{"licence","community"}))/SUM(SUMIFS('caseload data'!G:G,'caseload data'!$B:$B,{"licence","community"},'caseload data'!$C:$C,'community %'!$B$64)),"")</f>
        <v/>
      </c>
      <c r="F66" s="167" t="str">
        <f>IFERROR(SUM(SUMIFS('caseload data'!H:H,'caseload data'!$C:$C,'community %'!$B$64,'caseload data'!$D:$D,"PO",'caseload data'!$B:$B,{"licence","community"}))/SUM(SUMIFS('caseload data'!H:H,'caseload data'!$B:$B,{"licence","community"},'caseload data'!$C:$C,'community %'!$B$64)),"")</f>
        <v/>
      </c>
      <c r="G66" s="167" t="str">
        <f>IFERROR(SUM(SUMIFS('caseload data'!I:I,'caseload data'!$C:$C,'community %'!$B$64,'caseload data'!$D:$D,"PO",'caseload data'!$B:$B,{"licence","community"}))/SUM(SUMIFS('caseload data'!I:I,'caseload data'!$B:$B,{"licence","community"},'caseload data'!$C:$C,'community %'!$B$64)),"")</f>
        <v/>
      </c>
      <c r="H66" s="167" t="str">
        <f>IFERROR(SUM(SUMIFS('caseload data'!J:J,'caseload data'!$C:$C,'community %'!$B$64,'caseload data'!$D:$D,"PO",'caseload data'!$B:$B,{"licence","community"}))/SUM(SUMIFS('caseload data'!J:J,'caseload data'!$B:$B,{"licence","community"},'caseload data'!$C:$C,'community %'!$B$64)),"")</f>
        <v/>
      </c>
      <c r="I66" s="167" t="str">
        <f>IFERROR(SUM(SUMIFS('caseload data'!K:K,'caseload data'!$C:$C,'community %'!$B$64,'caseload data'!$D:$D,"PO",'caseload data'!$B:$B,{"licence","community"}))/SUM(SUMIFS('caseload data'!K:K,'caseload data'!$B:$B,{"licence","community"},'caseload data'!$C:$C,'community %'!$B$64)),"")</f>
        <v/>
      </c>
      <c r="J66" s="167" t="str">
        <f>IFERROR(SUM(SUMIFS('caseload data'!L:L,'caseload data'!$C:$C,'community %'!$B$64,'caseload data'!$D:$D,"PO",'caseload data'!$B:$B,{"licence","community"}))/SUM(SUMIFS('caseload data'!L:L,'caseload data'!$B:$B,{"licence","community"},'caseload data'!$C:$C,'community %'!$B$64)),"")</f>
        <v/>
      </c>
      <c r="K66" s="167" t="str">
        <f>IFERROR(SUM(SUMIFS('caseload data'!M:M,'caseload data'!$C:$C,'community %'!$B$64,'caseload data'!$D:$D,"PO",'caseload data'!$B:$B,{"licence","community"}))/SUM(SUMIFS('caseload data'!M:M,'caseload data'!$B:$B,{"licence","community"},'caseload data'!$C:$C,'community %'!$B$64)),"")</f>
        <v/>
      </c>
      <c r="L66" s="167" t="str">
        <f>IFERROR(SUM(SUMIFS('caseload data'!N:N,'caseload data'!$C:$C,'community %'!$B$64,'caseload data'!$D:$D,"PO",'caseload data'!$B:$B,{"licence","community"}))/SUM(SUMIFS('caseload data'!N:N,'caseload data'!$B:$B,{"licence","community"},'caseload data'!$C:$C,'community %'!$B$64)),"")</f>
        <v/>
      </c>
      <c r="M66" s="167" t="str">
        <f>IFERROR(SUM(SUMIFS('caseload data'!O:O,'caseload data'!$C:$C,'community %'!$B$64,'caseload data'!$D:$D,"PO",'caseload data'!$B:$B,{"licence","community"}))/SUM(SUMIFS('caseload data'!O:O,'caseload data'!$B:$B,{"licence","community"},'caseload data'!$C:$C,'community %'!$B$64)),"")</f>
        <v/>
      </c>
      <c r="N66" s="167" t="str">
        <f>IFERROR(SUM(SUMIFS('caseload data'!P:P,'caseload data'!$C:$C,'community %'!$B$64,'caseload data'!$D:$D,"PO",'caseload data'!$B:$B,{"licence","community"}))/SUM(SUMIFS('caseload data'!P:P,'caseload data'!$B:$B,{"licence","community"},'caseload data'!$C:$C,'community %'!$B$64)),"")</f>
        <v/>
      </c>
      <c r="O66" s="167" t="str">
        <f>IFERROR(SUM(SUMIFS('caseload data'!Q:Q,'caseload data'!$C:$C,'community %'!$B$64,'caseload data'!$D:$D,"PO",'caseload data'!$B:$B,{"licence","community"}))/SUM(SUMIFS('caseload data'!Q:Q,'caseload data'!$B:$B,{"licence","community"},'caseload data'!$C:$C,'community %'!$B$64)),"")</f>
        <v/>
      </c>
      <c r="P66" s="167" t="str">
        <f>IFERROR(SUM(SUMIFS('caseload data'!R:R,'caseload data'!$C:$C,'community %'!$B$64,'caseload data'!$D:$D,"PO",'caseload data'!$B:$B,{"licence","community"}))/SUM(SUMIFS('caseload data'!R:R,'caseload data'!$B:$B,{"licence","community"},'caseload data'!$C:$C,'community %'!$B$64)),"")</f>
        <v/>
      </c>
      <c r="Q66" s="167" t="str">
        <f>IFERROR(SUM(SUMIFS('caseload data'!S:S,'caseload data'!$C:$C,'community %'!$B$64,'caseload data'!$D:$D,"PO",'caseload data'!$B:$B,{"licence","community"}))/SUM(SUMIFS('caseload data'!S:S,'caseload data'!$B:$B,{"licence","community"},'caseload data'!$C:$C,'community %'!$B$64)),"")</f>
        <v/>
      </c>
      <c r="R66" s="167" t="str">
        <f>IFERROR(SUM(SUMIFS('caseload data'!T:T,'caseload data'!$C:$C,'community %'!$B$64,'caseload data'!$D:$D,"PO",'caseload data'!$B:$B,{"licence","community"}))/SUM(SUMIFS('caseload data'!T:T,'caseload data'!$B:$B,{"licence","community"},'caseload data'!$C:$C,'community %'!$B$64)),"")</f>
        <v/>
      </c>
      <c r="S66" s="64"/>
      <c r="T66" s="96" t="s">
        <v>997</v>
      </c>
      <c r="U66" s="167" t="str">
        <f>IFERROR(SUM(SUMIFS('caseload data'!E:E,'caseload data'!$C:$C,'community %'!$T$64,'caseload data'!$D:$D,"PO",'caseload data'!$B:$B,{"licence","community"}))/SUM(SUMIFS('caseload data'!E:E,'caseload data'!$B:$B,{"licence","community"},'caseload data'!$C:$C,'community %'!$T$64)),"")</f>
        <v/>
      </c>
      <c r="V66" s="167" t="str">
        <f>IFERROR(SUM(SUMIFS('caseload data'!F:F,'caseload data'!$C:$C,'community %'!$T$64,'caseload data'!$D:$D,"PO",'caseload data'!$B:$B,{"licence","community"}))/SUM(SUMIFS('caseload data'!F:F,'caseload data'!$B:$B,{"licence","community"},'caseload data'!$C:$C,'community %'!$T$64)),"")</f>
        <v/>
      </c>
      <c r="W66" s="167" t="str">
        <f>IFERROR(SUM(SUMIFS('caseload data'!G:G,'caseload data'!$C:$C,'community %'!$T$64,'caseload data'!$D:$D,"PO",'caseload data'!$B:$B,{"licence","community"}))/SUM(SUMIFS('caseload data'!G:G,'caseload data'!$B:$B,{"licence","community"},'caseload data'!$C:$C,'community %'!$T$64)),"")</f>
        <v/>
      </c>
      <c r="X66" s="167" t="str">
        <f>IFERROR(SUM(SUMIFS('caseload data'!H:H,'caseload data'!$C:$C,'community %'!$T$64,'caseload data'!$D:$D,"PO",'caseload data'!$B:$B,{"licence","community"}))/SUM(SUMIFS('caseload data'!H:H,'caseload data'!$B:$B,{"licence","community"},'caseload data'!$C:$C,'community %'!$T$64)),"")</f>
        <v/>
      </c>
      <c r="Y66" s="167" t="str">
        <f>IFERROR(SUM(SUMIFS('caseload data'!I:I,'caseload data'!$C:$C,'community %'!$T$64,'caseload data'!$D:$D,"PO",'caseload data'!$B:$B,{"licence","community"}))/SUM(SUMIFS('caseload data'!I:I,'caseload data'!$B:$B,{"licence","community"},'caseload data'!$C:$C,'community %'!$T$64)),"")</f>
        <v/>
      </c>
      <c r="Z66" s="167" t="str">
        <f>IFERROR(SUM(SUMIFS('caseload data'!J:J,'caseload data'!$C:$C,'community %'!$T$64,'caseload data'!$D:$D,"PO",'caseload data'!$B:$B,{"licence","community"}))/SUM(SUMIFS('caseload data'!J:J,'caseload data'!$B:$B,{"licence","community"},'caseload data'!$C:$C,'community %'!$T$64)),"")</f>
        <v/>
      </c>
      <c r="AA66" s="167" t="str">
        <f>IFERROR(SUM(SUMIFS('caseload data'!K:K,'caseload data'!$C:$C,'community %'!$T$64,'caseload data'!$D:$D,"PO",'caseload data'!$B:$B,{"licence","community"}))/SUM(SUMIFS('caseload data'!K:K,'caseload data'!$B:$B,{"licence","community"},'caseload data'!$C:$C,'community %'!$T$64)),"")</f>
        <v/>
      </c>
      <c r="AB66" s="167" t="str">
        <f>IFERROR(SUM(SUMIFS('caseload data'!L:L,'caseload data'!$C:$C,'community %'!$T$64,'caseload data'!$D:$D,"PO",'caseload data'!$B:$B,{"licence","community"}))/SUM(SUMIFS('caseload data'!L:L,'caseload data'!$B:$B,{"licence","community"},'caseload data'!$C:$C,'community %'!$T$64)),"")</f>
        <v/>
      </c>
      <c r="AC66" s="167" t="str">
        <f>IFERROR(SUM(SUMIFS('caseload data'!M:M,'caseload data'!$C:$C,'community %'!$T$64,'caseload data'!$D:$D,"PO",'caseload data'!$B:$B,{"licence","community"}))/SUM(SUMIFS('caseload data'!M:M,'caseload data'!$B:$B,{"licence","community"},'caseload data'!$C:$C,'community %'!$T$64)),"")</f>
        <v/>
      </c>
      <c r="AD66" s="167" t="str">
        <f>IFERROR(SUM(SUMIFS('caseload data'!N:N,'caseload data'!$C:$C,'community %'!$T$64,'caseload data'!$D:$D,"PO",'caseload data'!$B:$B,{"licence","community"}))/SUM(SUMIFS('caseload data'!N:N,'caseload data'!$B:$B,{"licence","community"},'caseload data'!$C:$C,'community %'!$T$64)),"")</f>
        <v/>
      </c>
      <c r="AE66" s="167" t="str">
        <f>IFERROR(SUM(SUMIFS('caseload data'!O:O,'caseload data'!$C:$C,'community %'!$T$64,'caseload data'!$D:$D,"PO",'caseload data'!$B:$B,{"licence","community"}))/SUM(SUMIFS('caseload data'!O:O,'caseload data'!$B:$B,{"licence","community"},'caseload data'!$C:$C,'community %'!$T$64)),"")</f>
        <v/>
      </c>
      <c r="AF66" s="167" t="str">
        <f>IFERROR(SUM(SUMIFS('caseload data'!P:P,'caseload data'!$C:$C,'community %'!$T$64,'caseload data'!$D:$D,"PO",'caseload data'!$B:$B,{"licence","community"}))/SUM(SUMIFS('caseload data'!P:P,'caseload data'!$B:$B,{"licence","community"},'caseload data'!$C:$C,'community %'!$T$64)),"")</f>
        <v/>
      </c>
      <c r="AG66" s="167" t="str">
        <f>IFERROR(SUM(SUMIFS('caseload data'!Q:Q,'caseload data'!$C:$C,'community %'!$T$64,'caseload data'!$D:$D,"PO",'caseload data'!$B:$B,{"licence","community"}))/SUM(SUMIFS('caseload data'!Q:Q,'caseload data'!$B:$B,{"licence","community"},'caseload data'!$C:$C,'community %'!$T$64)),"")</f>
        <v/>
      </c>
      <c r="AH66" s="167" t="str">
        <f>IFERROR(SUM(SUMIFS('caseload data'!R:R,'caseload data'!$C:$C,'community %'!$T$64,'caseload data'!$D:$D,"PO",'caseload data'!$B:$B,{"licence","community"}))/SUM(SUMIFS('caseload data'!R:R,'caseload data'!$B:$B,{"licence","community"},'caseload data'!$C:$C,'community %'!$T$64)),"")</f>
        <v/>
      </c>
      <c r="AI66" s="167" t="str">
        <f>IFERROR(SUM(SUMIFS('caseload data'!S:S,'caseload data'!$C:$C,'community %'!$T$64,'caseload data'!$D:$D,"PO",'caseload data'!$B:$B,{"licence","community"}))/SUM(SUMIFS('caseload data'!S:S,'caseload data'!$B:$B,{"licence","community"},'caseload data'!$C:$C,'community %'!$T$64)),"")</f>
        <v/>
      </c>
      <c r="AJ66" s="167" t="str">
        <f>IFERROR(SUM(SUMIFS('caseload data'!T:T,'caseload data'!$C:$C,'community %'!$T$64,'caseload data'!$D:$D,"PO",'caseload data'!$B:$B,{"licence","community"}))/SUM(SUMIFS('caseload data'!T:T,'caseload data'!$B:$B,{"licence","community"},'caseload data'!$C:$C,'community %'!$T$64)),"")</f>
        <v/>
      </c>
    </row>
    <row r="67" spans="2:36" x14ac:dyDescent="0.15">
      <c r="B67" s="97" t="s">
        <v>1002</v>
      </c>
      <c r="C67" s="167" t="str">
        <f>IFERROR(SUM(SUMIFS('caseload data'!E:E,'caseload data'!$C:$C,'community %'!$B$64,'caseload data'!$D:$D,"PSO",'caseload data'!$B:$B,{"licence","community"}))/SUM(SUMIFS('caseload data'!E:E,'caseload data'!$B:$B,{"licence","community"},'caseload data'!$C:$C,'community %'!$B$64)),"")</f>
        <v/>
      </c>
      <c r="D67" s="167" t="str">
        <f>IFERROR(SUM(SUMIFS('caseload data'!F:F,'caseload data'!$C:$C,'community %'!$B$64,'caseload data'!$D:$D,"PSO",'caseload data'!$B:$B,{"licence","community"}))/SUM(SUMIFS('caseload data'!F:F,'caseload data'!$B:$B,{"licence","community"},'caseload data'!$C:$C,'community %'!$B$64)),"")</f>
        <v/>
      </c>
      <c r="E67" s="167" t="str">
        <f>IFERROR(SUM(SUMIFS('caseload data'!G:G,'caseload data'!$C:$C,'community %'!$B$64,'caseload data'!$D:$D,"PSO",'caseload data'!$B:$B,{"licence","community"}))/SUM(SUMIFS('caseload data'!G:G,'caseload data'!$B:$B,{"licence","community"},'caseload data'!$C:$C,'community %'!$B$64)),"")</f>
        <v/>
      </c>
      <c r="F67" s="167" t="str">
        <f>IFERROR(SUM(SUMIFS('caseload data'!H:H,'caseload data'!$C:$C,'community %'!$B$64,'caseload data'!$D:$D,"PSO",'caseload data'!$B:$B,{"licence","community"}))/SUM(SUMIFS('caseload data'!H:H,'caseload data'!$B:$B,{"licence","community"},'caseload data'!$C:$C,'community %'!$B$64)),"")</f>
        <v/>
      </c>
      <c r="G67" s="167" t="str">
        <f>IFERROR(SUM(SUMIFS('caseload data'!I:I,'caseload data'!$C:$C,'community %'!$B$64,'caseload data'!$D:$D,"PSO",'caseload data'!$B:$B,{"licence","community"}))/SUM(SUMIFS('caseload data'!I:I,'caseload data'!$B:$B,{"licence","community"},'caseload data'!$C:$C,'community %'!$B$64)),"")</f>
        <v/>
      </c>
      <c r="H67" s="167" t="str">
        <f>IFERROR(SUM(SUMIFS('caseload data'!J:J,'caseload data'!$C:$C,'community %'!$B$64,'caseload data'!$D:$D,"PSO",'caseload data'!$B:$B,{"licence","community"}))/SUM(SUMIFS('caseload data'!J:J,'caseload data'!$B:$B,{"licence","community"},'caseload data'!$C:$C,'community %'!$B$64)),"")</f>
        <v/>
      </c>
      <c r="I67" s="167" t="str">
        <f>IFERROR(SUM(SUMIFS('caseload data'!K:K,'caseload data'!$C:$C,'community %'!$B$64,'caseload data'!$D:$D,"PSO",'caseload data'!$B:$B,{"licence","community"}))/SUM(SUMIFS('caseload data'!K:K,'caseload data'!$B:$B,{"licence","community"},'caseload data'!$C:$C,'community %'!$B$64)),"")</f>
        <v/>
      </c>
      <c r="J67" s="167" t="str">
        <f>IFERROR(SUM(SUMIFS('caseload data'!L:L,'caseload data'!$C:$C,'community %'!$B$64,'caseload data'!$D:$D,"PSO",'caseload data'!$B:$B,{"licence","community"}))/SUM(SUMIFS('caseload data'!L:L,'caseload data'!$B:$B,{"licence","community"},'caseload data'!$C:$C,'community %'!$B$64)),"")</f>
        <v/>
      </c>
      <c r="K67" s="167" t="str">
        <f>IFERROR(SUM(SUMIFS('caseload data'!M:M,'caseload data'!$C:$C,'community %'!$B$64,'caseload data'!$D:$D,"PSO",'caseload data'!$B:$B,{"licence","community"}))/SUM(SUMIFS('caseload data'!M:M,'caseload data'!$B:$B,{"licence","community"},'caseload data'!$C:$C,'community %'!$B$64)),"")</f>
        <v/>
      </c>
      <c r="L67" s="167" t="str">
        <f>IFERROR(SUM(SUMIFS('caseload data'!N:N,'caseload data'!$C:$C,'community %'!$B$64,'caseload data'!$D:$D,"PSO",'caseload data'!$B:$B,{"licence","community"}))/SUM(SUMIFS('caseload data'!N:N,'caseload data'!$B:$B,{"licence","community"},'caseload data'!$C:$C,'community %'!$B$64)),"")</f>
        <v/>
      </c>
      <c r="M67" s="167" t="str">
        <f>IFERROR(SUM(SUMIFS('caseload data'!O:O,'caseload data'!$C:$C,'community %'!$B$64,'caseload data'!$D:$D,"PSO",'caseload data'!$B:$B,{"licence","community"}))/SUM(SUMIFS('caseload data'!O:O,'caseload data'!$B:$B,{"licence","community"},'caseload data'!$C:$C,'community %'!$B$64)),"")</f>
        <v/>
      </c>
      <c r="N67" s="167" t="str">
        <f>IFERROR(SUM(SUMIFS('caseload data'!P:P,'caseload data'!$C:$C,'community %'!$B$64,'caseload data'!$D:$D,"PSO",'caseload data'!$B:$B,{"licence","community"}))/SUM(SUMIFS('caseload data'!P:P,'caseload data'!$B:$B,{"licence","community"},'caseload data'!$C:$C,'community %'!$B$64)),"")</f>
        <v/>
      </c>
      <c r="O67" s="167" t="str">
        <f>IFERROR(SUM(SUMIFS('caseload data'!Q:Q,'caseload data'!$C:$C,'community %'!$B$64,'caseload data'!$D:$D,"PSO",'caseload data'!$B:$B,{"licence","community"}))/SUM(SUMIFS('caseload data'!Q:Q,'caseload data'!$B:$B,{"licence","community"},'caseload data'!$C:$C,'community %'!$B$64)),"")</f>
        <v/>
      </c>
      <c r="P67" s="167" t="str">
        <f>IFERROR(SUM(SUMIFS('caseload data'!R:R,'caseload data'!$C:$C,'community %'!$B$64,'caseload data'!$D:$D,"PSO",'caseload data'!$B:$B,{"licence","community"}))/SUM(SUMIFS('caseload data'!R:R,'caseload data'!$B:$B,{"licence","community"},'caseload data'!$C:$C,'community %'!$B$64)),"")</f>
        <v/>
      </c>
      <c r="Q67" s="167" t="str">
        <f>IFERROR(SUM(SUMIFS('caseload data'!S:S,'caseload data'!$C:$C,'community %'!$B$64,'caseload data'!$D:$D,"PSO",'caseload data'!$B:$B,{"licence","community"}))/SUM(SUMIFS('caseload data'!S:S,'caseload data'!$B:$B,{"licence","community"},'caseload data'!$C:$C,'community %'!$B$64)),"")</f>
        <v/>
      </c>
      <c r="R67" s="167" t="str">
        <f>IFERROR(SUM(SUMIFS('caseload data'!T:T,'caseload data'!$C:$C,'community %'!$B$64,'caseload data'!$D:$D,"PSO",'caseload data'!$B:$B,{"licence","community"}))/SUM(SUMIFS('caseload data'!T:T,'caseload data'!$B:$B,{"licence","community"},'caseload data'!$C:$C,'community %'!$B$64)),"")</f>
        <v/>
      </c>
      <c r="S67" s="64"/>
      <c r="T67" s="97" t="s">
        <v>1002</v>
      </c>
      <c r="U67" s="167" t="str">
        <f>IFERROR(SUM(SUMIFS('caseload data'!E:E,'caseload data'!$C:$C,'community %'!$T$64,'caseload data'!$D:$D,"PSO",'caseload data'!$B:$B,{"licence","community"}))/SUM(SUMIFS('caseload data'!E:E,'caseload data'!$B:$B,{"licence","community"},'caseload data'!$C:$C,'community %'!$T$64)),"")</f>
        <v/>
      </c>
      <c r="V67" s="167" t="str">
        <f>IFERROR(SUM(SUMIFS('caseload data'!F:F,'caseload data'!$C:$C,'community %'!$T$64,'caseload data'!$D:$D,"PSO",'caseload data'!$B:$B,{"licence","community"}))/SUM(SUMIFS('caseload data'!F:F,'caseload data'!$B:$B,{"licence","community"},'caseload data'!$C:$C,'community %'!$T$64)),"")</f>
        <v/>
      </c>
      <c r="W67" s="167" t="str">
        <f>IFERROR(SUM(SUMIFS('caseload data'!G:G,'caseload data'!$C:$C,'community %'!$T$64,'caseload data'!$D:$D,"PSO",'caseload data'!$B:$B,{"licence","community"}))/SUM(SUMIFS('caseload data'!G:G,'caseload data'!$B:$B,{"licence","community"},'caseload data'!$C:$C,'community %'!$T$64)),"")</f>
        <v/>
      </c>
      <c r="X67" s="167" t="str">
        <f>IFERROR(SUM(SUMIFS('caseload data'!H:H,'caseload data'!$C:$C,'community %'!$T$64,'caseload data'!$D:$D,"PSO",'caseload data'!$B:$B,{"licence","community"}))/SUM(SUMIFS('caseload data'!H:H,'caseload data'!$B:$B,{"licence","community"},'caseload data'!$C:$C,'community %'!$T$64)),"")</f>
        <v/>
      </c>
      <c r="Y67" s="167" t="str">
        <f>IFERROR(SUM(SUMIFS('caseload data'!I:I,'caseload data'!$C:$C,'community %'!$T$64,'caseload data'!$D:$D,"PSO",'caseload data'!$B:$B,{"licence","community"}))/SUM(SUMIFS('caseload data'!I:I,'caseload data'!$B:$B,{"licence","community"},'caseload data'!$C:$C,'community %'!$T$64)),"")</f>
        <v/>
      </c>
      <c r="Z67" s="167" t="str">
        <f>IFERROR(SUM(SUMIFS('caseload data'!J:J,'caseload data'!$C:$C,'community %'!$T$64,'caseload data'!$D:$D,"PSO",'caseload data'!$B:$B,{"licence","community"}))/SUM(SUMIFS('caseload data'!J:J,'caseload data'!$B:$B,{"licence","community"},'caseload data'!$C:$C,'community %'!$T$64)),"")</f>
        <v/>
      </c>
      <c r="AA67" s="167" t="str">
        <f>IFERROR(SUM(SUMIFS('caseload data'!K:K,'caseload data'!$C:$C,'community %'!$T$64,'caseload data'!$D:$D,"PSO",'caseload data'!$B:$B,{"licence","community"}))/SUM(SUMIFS('caseload data'!K:K,'caseload data'!$B:$B,{"licence","community"},'caseload data'!$C:$C,'community %'!$T$64)),"")</f>
        <v/>
      </c>
      <c r="AB67" s="167" t="str">
        <f>IFERROR(SUM(SUMIFS('caseload data'!L:L,'caseload data'!$C:$C,'community %'!$T$64,'caseload data'!$D:$D,"PSO",'caseload data'!$B:$B,{"licence","community"}))/SUM(SUMIFS('caseload data'!L:L,'caseload data'!$B:$B,{"licence","community"},'caseload data'!$C:$C,'community %'!$T$64)),"")</f>
        <v/>
      </c>
      <c r="AC67" s="167" t="str">
        <f>IFERROR(SUM(SUMIFS('caseload data'!M:M,'caseload data'!$C:$C,'community %'!$T$64,'caseload data'!$D:$D,"PSO",'caseload data'!$B:$B,{"licence","community"}))/SUM(SUMIFS('caseload data'!M:M,'caseload data'!$B:$B,{"licence","community"},'caseload data'!$C:$C,'community %'!$T$64)),"")</f>
        <v/>
      </c>
      <c r="AD67" s="167" t="str">
        <f>IFERROR(SUM(SUMIFS('caseload data'!N:N,'caseload data'!$C:$C,'community %'!$T$64,'caseload data'!$D:$D,"PSO",'caseload data'!$B:$B,{"licence","community"}))/SUM(SUMIFS('caseload data'!N:N,'caseload data'!$B:$B,{"licence","community"},'caseload data'!$C:$C,'community %'!$T$64)),"")</f>
        <v/>
      </c>
      <c r="AE67" s="167" t="str">
        <f>IFERROR(SUM(SUMIFS('caseload data'!O:O,'caseload data'!$C:$C,'community %'!$T$64,'caseload data'!$D:$D,"PSO",'caseload data'!$B:$B,{"licence","community"}))/SUM(SUMIFS('caseload data'!O:O,'caseload data'!$B:$B,{"licence","community"},'caseload data'!$C:$C,'community %'!$T$64)),"")</f>
        <v/>
      </c>
      <c r="AF67" s="167" t="str">
        <f>IFERROR(SUM(SUMIFS('caseload data'!P:P,'caseload data'!$C:$C,'community %'!$T$64,'caseload data'!$D:$D,"PSO",'caseload data'!$B:$B,{"licence","community"}))/SUM(SUMIFS('caseload data'!P:P,'caseload data'!$B:$B,{"licence","community"},'caseload data'!$C:$C,'community %'!$T$64)),"")</f>
        <v/>
      </c>
      <c r="AG67" s="167" t="str">
        <f>IFERROR(SUM(SUMIFS('caseload data'!Q:Q,'caseload data'!$C:$C,'community %'!$T$64,'caseload data'!$D:$D,"PSO",'caseload data'!$B:$B,{"licence","community"}))/SUM(SUMIFS('caseload data'!Q:Q,'caseload data'!$B:$B,{"licence","community"},'caseload data'!$C:$C,'community %'!$T$64)),"")</f>
        <v/>
      </c>
      <c r="AH67" s="167" t="str">
        <f>IFERROR(SUM(SUMIFS('caseload data'!R:R,'caseload data'!$C:$C,'community %'!$T$64,'caseload data'!$D:$D,"PSO",'caseload data'!$B:$B,{"licence","community"}))/SUM(SUMIFS('caseload data'!R:R,'caseload data'!$B:$B,{"licence","community"},'caseload data'!$C:$C,'community %'!$T$64)),"")</f>
        <v/>
      </c>
      <c r="AI67" s="167" t="str">
        <f>IFERROR(SUM(SUMIFS('caseload data'!S:S,'caseload data'!$C:$C,'community %'!$T$64,'caseload data'!$D:$D,"PSO",'caseload data'!$B:$B,{"licence","community"}))/SUM(SUMIFS('caseload data'!S:S,'caseload data'!$B:$B,{"licence","community"},'caseload data'!$C:$C,'community %'!$T$64)),"")</f>
        <v/>
      </c>
      <c r="AJ67" s="167" t="str">
        <f>IFERROR(SUM(SUMIFS('caseload data'!T:T,'caseload data'!$C:$C,'community %'!$T$64,'caseload data'!$D:$D,"PSO",'caseload data'!$B:$B,{"licence","community"}))/SUM(SUMIFS('caseload data'!T:T,'caseload data'!$B:$B,{"licence","community"},'caseload data'!$C:$C,'community %'!$T$64)),"")</f>
        <v/>
      </c>
    </row>
    <row r="68" spans="2:36" x14ac:dyDescent="0.15">
      <c r="B68" s="97" t="s">
        <v>1003</v>
      </c>
      <c r="C68" s="167" t="str">
        <f>IFERROR(SUM(SUMIFS('caseload data'!E:E,'caseload data'!$C:$C,'community %'!$B$64,'caseload data'!$D:$D,"TPO",'caseload data'!$B:$B,{"licence","community"}))/SUM(SUMIFS('caseload data'!E:E,'caseload data'!$B:$B,{"licence","community"},'caseload data'!$C:$C,'community %'!$B$64)),"")</f>
        <v/>
      </c>
      <c r="D68" s="167" t="str">
        <f>IFERROR(SUM(SUMIFS('caseload data'!F:F,'caseload data'!$C:$C,'community %'!$B$64,'caseload data'!$D:$D,"TPO",'caseload data'!$B:$B,{"licence","community"}))/SUM(SUMIFS('caseload data'!F:F,'caseload data'!$B:$B,{"licence","community"},'caseload data'!$C:$C,'community %'!$B$64)),"")</f>
        <v/>
      </c>
      <c r="E68" s="167" t="str">
        <f>IFERROR(SUM(SUMIFS('caseload data'!G:G,'caseload data'!$C:$C,'community %'!$B$64,'caseload data'!$D:$D,"TPO",'caseload data'!$B:$B,{"licence","community"}))/SUM(SUMIFS('caseload data'!G:G,'caseload data'!$B:$B,{"licence","community"},'caseload data'!$C:$C,'community %'!$B$64)),"")</f>
        <v/>
      </c>
      <c r="F68" s="167" t="str">
        <f>IFERROR(SUM(SUMIFS('caseload data'!H:H,'caseload data'!$C:$C,'community %'!$B$64,'caseload data'!$D:$D,"TPO",'caseload data'!$B:$B,{"licence","community"}))/SUM(SUMIFS('caseload data'!H:H,'caseload data'!$B:$B,{"licence","community"},'caseload data'!$C:$C,'community %'!$B$64)),"")</f>
        <v/>
      </c>
      <c r="G68" s="167" t="str">
        <f>IFERROR(SUM(SUMIFS('caseload data'!I:I,'caseload data'!$C:$C,'community %'!$B$64,'caseload data'!$D:$D,"TPO",'caseload data'!$B:$B,{"licence","community"}))/SUM(SUMIFS('caseload data'!I:I,'caseload data'!$B:$B,{"licence","community"},'caseload data'!$C:$C,'community %'!$B$64)),"")</f>
        <v/>
      </c>
      <c r="H68" s="167" t="str">
        <f>IFERROR(SUM(SUMIFS('caseload data'!J:J,'caseload data'!$C:$C,'community %'!$B$64,'caseload data'!$D:$D,"TPO",'caseload data'!$B:$B,{"licence","community"}))/SUM(SUMIFS('caseload data'!J:J,'caseload data'!$B:$B,{"licence","community"},'caseload data'!$C:$C,'community %'!$B$64)),"")</f>
        <v/>
      </c>
      <c r="I68" s="167" t="str">
        <f>IFERROR(SUM(SUMIFS('caseload data'!K:K,'caseload data'!$C:$C,'community %'!$B$64,'caseload data'!$D:$D,"TPO",'caseload data'!$B:$B,{"licence","community"}))/SUM(SUMIFS('caseload data'!K:K,'caseload data'!$B:$B,{"licence","community"},'caseload data'!$C:$C,'community %'!$B$64)),"")</f>
        <v/>
      </c>
      <c r="J68" s="167" t="str">
        <f>IFERROR(SUM(SUMIFS('caseload data'!L:L,'caseload data'!$C:$C,'community %'!$B$64,'caseload data'!$D:$D,"TPO",'caseload data'!$B:$B,{"licence","community"}))/SUM(SUMIFS('caseload data'!L:L,'caseload data'!$B:$B,{"licence","community"},'caseload data'!$C:$C,'community %'!$B$64)),"")</f>
        <v/>
      </c>
      <c r="K68" s="167" t="str">
        <f>IFERROR(SUM(SUMIFS('caseload data'!M:M,'caseload data'!$C:$C,'community %'!$B$64,'caseload data'!$D:$D,"TPO",'caseload data'!$B:$B,{"licence","community"}))/SUM(SUMIFS('caseload data'!M:M,'caseload data'!$B:$B,{"licence","community"},'caseload data'!$C:$C,'community %'!$B$64)),"")</f>
        <v/>
      </c>
      <c r="L68" s="167" t="str">
        <f>IFERROR(SUM(SUMIFS('caseload data'!N:N,'caseload data'!$C:$C,'community %'!$B$64,'caseload data'!$D:$D,"TPO",'caseload data'!$B:$B,{"licence","community"}))/SUM(SUMIFS('caseload data'!N:N,'caseload data'!$B:$B,{"licence","community"},'caseload data'!$C:$C,'community %'!$B$64)),"")</f>
        <v/>
      </c>
      <c r="M68" s="167" t="str">
        <f>IFERROR(SUM(SUMIFS('caseload data'!O:O,'caseload data'!$C:$C,'community %'!$B$64,'caseload data'!$D:$D,"TPO",'caseload data'!$B:$B,{"licence","community"}))/SUM(SUMIFS('caseload data'!O:O,'caseload data'!$B:$B,{"licence","community"},'caseload data'!$C:$C,'community %'!$B$64)),"")</f>
        <v/>
      </c>
      <c r="N68" s="167" t="str">
        <f>IFERROR(SUM(SUMIFS('caseload data'!P:P,'caseload data'!$C:$C,'community %'!$B$64,'caseload data'!$D:$D,"TPO",'caseload data'!$B:$B,{"licence","community"}))/SUM(SUMIFS('caseload data'!P:P,'caseload data'!$B:$B,{"licence","community"},'caseload data'!$C:$C,'community %'!$B$64)),"")</f>
        <v/>
      </c>
      <c r="O68" s="167" t="str">
        <f>IFERROR(SUM(SUMIFS('caseload data'!Q:Q,'caseload data'!$C:$C,'community %'!$B$64,'caseload data'!$D:$D,"TPO",'caseload data'!$B:$B,{"licence","community"}))/SUM(SUMIFS('caseload data'!Q:Q,'caseload data'!$B:$B,{"licence","community"},'caseload data'!$C:$C,'community %'!$B$64)),"")</f>
        <v/>
      </c>
      <c r="P68" s="167" t="str">
        <f>IFERROR(SUM(SUMIFS('caseload data'!R:R,'caseload data'!$C:$C,'community %'!$B$64,'caseload data'!$D:$D,"TPO",'caseload data'!$B:$B,{"licence","community"}))/SUM(SUMIFS('caseload data'!R:R,'caseload data'!$B:$B,{"licence","community"},'caseload data'!$C:$C,'community %'!$B$64)),"")</f>
        <v/>
      </c>
      <c r="Q68" s="167" t="str">
        <f>IFERROR(SUM(SUMIFS('caseload data'!S:S,'caseload data'!$C:$C,'community %'!$B$64,'caseload data'!$D:$D,"TPO",'caseload data'!$B:$B,{"licence","community"}))/SUM(SUMIFS('caseload data'!S:S,'caseload data'!$B:$B,{"licence","community"},'caseload data'!$C:$C,'community %'!$B$64)),"")</f>
        <v/>
      </c>
      <c r="R68" s="167" t="str">
        <f>IFERROR(SUM(SUMIFS('caseload data'!T:T,'caseload data'!$C:$C,'community %'!$B$64,'caseload data'!$D:$D,"TPO",'caseload data'!$B:$B,{"licence","community"}))/SUM(SUMIFS('caseload data'!T:T,'caseload data'!$B:$B,{"licence","community"},'caseload data'!$C:$C,'community %'!$B$64)),"")</f>
        <v/>
      </c>
      <c r="S68" s="64"/>
      <c r="T68" s="97" t="s">
        <v>1003</v>
      </c>
      <c r="U68" s="167" t="str">
        <f>IFERROR(SUM(SUMIFS('caseload data'!E:E,'caseload data'!$C:$C,'community %'!$T$64,'caseload data'!$D:$D,"TPO",'caseload data'!$B:$B,{"licence","community"}))/SUM(SUMIFS('caseload data'!E:E,'caseload data'!$B:$B,{"licence","community"},'caseload data'!$C:$C,'community %'!$T$64)),"")</f>
        <v/>
      </c>
      <c r="V68" s="167" t="str">
        <f>IFERROR(SUM(SUMIFS('caseload data'!F:F,'caseload data'!$C:$C,'community %'!$T$64,'caseload data'!$D:$D,"TPO",'caseload data'!$B:$B,{"licence","community"}))/SUM(SUMIFS('caseload data'!F:F,'caseload data'!$B:$B,{"licence","community"},'caseload data'!$C:$C,'community %'!$T$64)),"")</f>
        <v/>
      </c>
      <c r="W68" s="167" t="str">
        <f>IFERROR(SUM(SUMIFS('caseload data'!G:G,'caseload data'!$C:$C,'community %'!$T$64,'caseload data'!$D:$D,"TPO",'caseload data'!$B:$B,{"licence","community"}))/SUM(SUMIFS('caseload data'!G:G,'caseload data'!$B:$B,{"licence","community"},'caseload data'!$C:$C,'community %'!$T$64)),"")</f>
        <v/>
      </c>
      <c r="X68" s="167" t="str">
        <f>IFERROR(SUM(SUMIFS('caseload data'!H:H,'caseload data'!$C:$C,'community %'!$T$64,'caseload data'!$D:$D,"TPO",'caseload data'!$B:$B,{"licence","community"}))/SUM(SUMIFS('caseload data'!H:H,'caseload data'!$B:$B,{"licence","community"},'caseload data'!$C:$C,'community %'!$T$64)),"")</f>
        <v/>
      </c>
      <c r="Y68" s="167" t="str">
        <f>IFERROR(SUM(SUMIFS('caseload data'!I:I,'caseload data'!$C:$C,'community %'!$T$64,'caseload data'!$D:$D,"TPO",'caseload data'!$B:$B,{"licence","community"}))/SUM(SUMIFS('caseload data'!I:I,'caseload data'!$B:$B,{"licence","community"},'caseload data'!$C:$C,'community %'!$T$64)),"")</f>
        <v/>
      </c>
      <c r="Z68" s="167" t="str">
        <f>IFERROR(SUM(SUMIFS('caseload data'!J:J,'caseload data'!$C:$C,'community %'!$T$64,'caseload data'!$D:$D,"TPO",'caseload data'!$B:$B,{"licence","community"}))/SUM(SUMIFS('caseload data'!J:J,'caseload data'!$B:$B,{"licence","community"},'caseload data'!$C:$C,'community %'!$T$64)),"")</f>
        <v/>
      </c>
      <c r="AA68" s="167" t="str">
        <f>IFERROR(SUM(SUMIFS('caseload data'!K:K,'caseload data'!$C:$C,'community %'!$T$64,'caseload data'!$D:$D,"TPO",'caseload data'!$B:$B,{"licence","community"}))/SUM(SUMIFS('caseload data'!K:K,'caseload data'!$B:$B,{"licence","community"},'caseload data'!$C:$C,'community %'!$T$64)),"")</f>
        <v/>
      </c>
      <c r="AB68" s="167" t="str">
        <f>IFERROR(SUM(SUMIFS('caseload data'!L:L,'caseload data'!$C:$C,'community %'!$T$64,'caseload data'!$D:$D,"TPO",'caseload data'!$B:$B,{"licence","community"}))/SUM(SUMIFS('caseload data'!L:L,'caseload data'!$B:$B,{"licence","community"},'caseload data'!$C:$C,'community %'!$T$64)),"")</f>
        <v/>
      </c>
      <c r="AC68" s="167" t="str">
        <f>IFERROR(SUM(SUMIFS('caseload data'!M:M,'caseload data'!$C:$C,'community %'!$T$64,'caseload data'!$D:$D,"TPO",'caseload data'!$B:$B,{"licence","community"}))/SUM(SUMIFS('caseload data'!M:M,'caseload data'!$B:$B,{"licence","community"},'caseload data'!$C:$C,'community %'!$T$64)),"")</f>
        <v/>
      </c>
      <c r="AD68" s="167" t="str">
        <f>IFERROR(SUM(SUMIFS('caseload data'!N:N,'caseload data'!$C:$C,'community %'!$T$64,'caseload data'!$D:$D,"TPO",'caseload data'!$B:$B,{"licence","community"}))/SUM(SUMIFS('caseload data'!N:N,'caseload data'!$B:$B,{"licence","community"},'caseload data'!$C:$C,'community %'!$T$64)),"")</f>
        <v/>
      </c>
      <c r="AE68" s="167" t="str">
        <f>IFERROR(SUM(SUMIFS('caseload data'!O:O,'caseload data'!$C:$C,'community %'!$T$64,'caseload data'!$D:$D,"TPO",'caseload data'!$B:$B,{"licence","community"}))/SUM(SUMIFS('caseload data'!O:O,'caseload data'!$B:$B,{"licence","community"},'caseload data'!$C:$C,'community %'!$T$64)),"")</f>
        <v/>
      </c>
      <c r="AF68" s="167" t="str">
        <f>IFERROR(SUM(SUMIFS('caseload data'!P:P,'caseload data'!$C:$C,'community %'!$T$64,'caseload data'!$D:$D,"TPO",'caseload data'!$B:$B,{"licence","community"}))/SUM(SUMIFS('caseload data'!P:P,'caseload data'!$B:$B,{"licence","community"},'caseload data'!$C:$C,'community %'!$T$64)),"")</f>
        <v/>
      </c>
      <c r="AG68" s="167" t="str">
        <f>IFERROR(SUM(SUMIFS('caseload data'!Q:Q,'caseload data'!$C:$C,'community %'!$T$64,'caseload data'!$D:$D,"TPO",'caseload data'!$B:$B,{"licence","community"}))/SUM(SUMIFS('caseload data'!Q:Q,'caseload data'!$B:$B,{"licence","community"},'caseload data'!$C:$C,'community %'!$T$64)),"")</f>
        <v/>
      </c>
      <c r="AH68" s="167" t="str">
        <f>IFERROR(SUM(SUMIFS('caseload data'!R:R,'caseload data'!$C:$C,'community %'!$T$64,'caseload data'!$D:$D,"TPO",'caseload data'!$B:$B,{"licence","community"}))/SUM(SUMIFS('caseload data'!R:R,'caseload data'!$B:$B,{"licence","community"},'caseload data'!$C:$C,'community %'!$T$64)),"")</f>
        <v/>
      </c>
      <c r="AI68" s="167" t="str">
        <f>IFERROR(SUM(SUMIFS('caseload data'!S:S,'caseload data'!$C:$C,'community %'!$T$64,'caseload data'!$D:$D,"TPO",'caseload data'!$B:$B,{"licence","community"}))/SUM(SUMIFS('caseload data'!S:S,'caseload data'!$B:$B,{"licence","community"},'caseload data'!$C:$C,'community %'!$T$64)),"")</f>
        <v/>
      </c>
      <c r="AJ68" s="167" t="str">
        <f>IFERROR(SUM(SUMIFS('caseload data'!T:T,'caseload data'!$C:$C,'community %'!$T$64,'caseload data'!$D:$D,"TPO",'caseload data'!$B:$B,{"licence","community"}))/SUM(SUMIFS('caseload data'!T:T,'caseload data'!$B:$B,{"licence","community"},'caseload data'!$C:$C,'community %'!$T$64)),"")</f>
        <v/>
      </c>
    </row>
    <row r="69" spans="2:36" x14ac:dyDescent="0.15">
      <c r="B69" s="98" t="s">
        <v>1004</v>
      </c>
      <c r="C69" s="167" t="str">
        <f>IFERROR(SUM(SUMIFS('caseload data'!E:E,'caseload data'!$C:$C,'community %'!$B$64,'caseload data'!$D:$D,"SPO",'caseload data'!$B:$B,{"licence","community"}))/SUM(SUMIFS('caseload data'!E:E,'caseload data'!$B:$B,{"licence","community"},'caseload data'!$C:$C,'community %'!$B$64)),"")</f>
        <v/>
      </c>
      <c r="D69" s="167" t="str">
        <f>IFERROR(SUM(SUMIFS('caseload data'!F:F,'caseload data'!$C:$C,'community %'!$B$64,'caseload data'!$D:$D,"SPO",'caseload data'!$B:$B,{"licence","community"}))/SUM(SUMIFS('caseload data'!F:F,'caseload data'!$B:$B,{"licence","community"},'caseload data'!$C:$C,'community %'!$B$64)),"")</f>
        <v/>
      </c>
      <c r="E69" s="167" t="str">
        <f>IFERROR(SUM(SUMIFS('caseload data'!G:G,'caseload data'!$C:$C,'community %'!$B$64,'caseload data'!$D:$D,"SPO",'caseload data'!$B:$B,{"licence","community"}))/SUM(SUMIFS('caseload data'!G:G,'caseload data'!$B:$B,{"licence","community"},'caseload data'!$C:$C,'community %'!$B$64)),"")</f>
        <v/>
      </c>
      <c r="F69" s="167" t="str">
        <f>IFERROR(SUM(SUMIFS('caseload data'!H:H,'caseload data'!$C:$C,'community %'!$B$64,'caseload data'!$D:$D,"SPO",'caseload data'!$B:$B,{"licence","community"}))/SUM(SUMIFS('caseload data'!H:H,'caseload data'!$B:$B,{"licence","community"},'caseload data'!$C:$C,'community %'!$B$64)),"")</f>
        <v/>
      </c>
      <c r="G69" s="167" t="str">
        <f>IFERROR(SUM(SUMIFS('caseload data'!I:I,'caseload data'!$C:$C,'community %'!$B$64,'caseload data'!$D:$D,"SPO",'caseload data'!$B:$B,{"licence","community"}))/SUM(SUMIFS('caseload data'!I:I,'caseload data'!$B:$B,{"licence","community"},'caseload data'!$C:$C,'community %'!$B$64)),"")</f>
        <v/>
      </c>
      <c r="H69" s="167" t="str">
        <f>IFERROR(SUM(SUMIFS('caseload data'!J:J,'caseload data'!$C:$C,'community %'!$B$64,'caseload data'!$D:$D,"SPO",'caseload data'!$B:$B,{"licence","community"}))/SUM(SUMIFS('caseload data'!J:J,'caseload data'!$B:$B,{"licence","community"},'caseload data'!$C:$C,'community %'!$B$64)),"")</f>
        <v/>
      </c>
      <c r="I69" s="167" t="str">
        <f>IFERROR(SUM(SUMIFS('caseload data'!K:K,'caseload data'!$C:$C,'community %'!$B$64,'caseload data'!$D:$D,"SPO",'caseload data'!$B:$B,{"licence","community"}))/SUM(SUMIFS('caseload data'!K:K,'caseload data'!$B:$B,{"licence","community"},'caseload data'!$C:$C,'community %'!$B$64)),"")</f>
        <v/>
      </c>
      <c r="J69" s="167" t="str">
        <f>IFERROR(SUM(SUMIFS('caseload data'!L:L,'caseload data'!$C:$C,'community %'!$B$64,'caseload data'!$D:$D,"SPO",'caseload data'!$B:$B,{"licence","community"}))/SUM(SUMIFS('caseload data'!L:L,'caseload data'!$B:$B,{"licence","community"},'caseload data'!$C:$C,'community %'!$B$64)),"")</f>
        <v/>
      </c>
      <c r="K69" s="167" t="str">
        <f>IFERROR(SUM(SUMIFS('caseload data'!M:M,'caseload data'!$C:$C,'community %'!$B$64,'caseload data'!$D:$D,"SPO",'caseload data'!$B:$B,{"licence","community"}))/SUM(SUMIFS('caseload data'!M:M,'caseload data'!$B:$B,{"licence","community"},'caseload data'!$C:$C,'community %'!$B$64)),"")</f>
        <v/>
      </c>
      <c r="L69" s="167" t="str">
        <f>IFERROR(SUM(SUMIFS('caseload data'!N:N,'caseload data'!$C:$C,'community %'!$B$64,'caseload data'!$D:$D,"SPO",'caseload data'!$B:$B,{"licence","community"}))/SUM(SUMIFS('caseload data'!N:N,'caseload data'!$B:$B,{"licence","community"},'caseload data'!$C:$C,'community %'!$B$64)),"")</f>
        <v/>
      </c>
      <c r="M69" s="167" t="str">
        <f>IFERROR(SUM(SUMIFS('caseload data'!O:O,'caseload data'!$C:$C,'community %'!$B$64,'caseload data'!$D:$D,"SPO",'caseload data'!$B:$B,{"licence","community"}))/SUM(SUMIFS('caseload data'!O:O,'caseload data'!$B:$B,{"licence","community"},'caseload data'!$C:$C,'community %'!$B$64)),"")</f>
        <v/>
      </c>
      <c r="N69" s="167" t="str">
        <f>IFERROR(SUM(SUMIFS('caseload data'!P:P,'caseload data'!$C:$C,'community %'!$B$64,'caseload data'!$D:$D,"SPO",'caseload data'!$B:$B,{"licence","community"}))/SUM(SUMIFS('caseload data'!P:P,'caseload data'!$B:$B,{"licence","community"},'caseload data'!$C:$C,'community %'!$B$64)),"")</f>
        <v/>
      </c>
      <c r="O69" s="167" t="str">
        <f>IFERROR(SUM(SUMIFS('caseload data'!Q:Q,'caseload data'!$C:$C,'community %'!$B$64,'caseload data'!$D:$D,"SPO",'caseload data'!$B:$B,{"licence","community"}))/SUM(SUMIFS('caseload data'!Q:Q,'caseload data'!$B:$B,{"licence","community"},'caseload data'!$C:$C,'community %'!$B$64)),"")</f>
        <v/>
      </c>
      <c r="P69" s="167" t="str">
        <f>IFERROR(SUM(SUMIFS('caseload data'!R:R,'caseload data'!$C:$C,'community %'!$B$64,'caseload data'!$D:$D,"SPO",'caseload data'!$B:$B,{"licence","community"}))/SUM(SUMIFS('caseload data'!R:R,'caseload data'!$B:$B,{"licence","community"},'caseload data'!$C:$C,'community %'!$B$64)),"")</f>
        <v/>
      </c>
      <c r="Q69" s="167" t="str">
        <f>IFERROR(SUM(SUMIFS('caseload data'!S:S,'caseload data'!$C:$C,'community %'!$B$64,'caseload data'!$D:$D,"SPO",'caseload data'!$B:$B,{"licence","community"}))/SUM(SUMIFS('caseload data'!S:S,'caseload data'!$B:$B,{"licence","community"},'caseload data'!$C:$C,'community %'!$B$64)),"")</f>
        <v/>
      </c>
      <c r="R69" s="167" t="str">
        <f>IFERROR(SUM(SUMIFS('caseload data'!T:T,'caseload data'!$C:$C,'community %'!$B$64,'caseload data'!$D:$D,"SPO",'caseload data'!$B:$B,{"licence","community"}))/SUM(SUMIFS('caseload data'!T:T,'caseload data'!$B:$B,{"licence","community"},'caseload data'!$C:$C,'community %'!$B$64)),"")</f>
        <v/>
      </c>
      <c r="S69" s="64"/>
      <c r="T69" s="98" t="s">
        <v>1004</v>
      </c>
      <c r="U69" s="167" t="str">
        <f>IFERROR(SUM(SUMIFS('caseload data'!E:E,'caseload data'!$C:$C,'community %'!$T$64,'caseload data'!$D:$D,"SPO",'caseload data'!$B:$B,{"licence","community"}))/SUM(SUMIFS('caseload data'!E:E,'caseload data'!$B:$B,{"licence","community"},'caseload data'!$C:$C,'community %'!$T$64)),"")</f>
        <v/>
      </c>
      <c r="V69" s="167" t="str">
        <f>IFERROR(SUM(SUMIFS('caseload data'!F:F,'caseload data'!$C:$C,'community %'!$T$64,'caseload data'!$D:$D,"SPO",'caseload data'!$B:$B,{"licence","community"}))/SUM(SUMIFS('caseload data'!F:F,'caseload data'!$B:$B,{"licence","community"},'caseload data'!$C:$C,'community %'!$T$64)),"")</f>
        <v/>
      </c>
      <c r="W69" s="167" t="str">
        <f>IFERROR(SUM(SUMIFS('caseload data'!G:G,'caseload data'!$C:$C,'community %'!$T$64,'caseload data'!$D:$D,"SPO",'caseload data'!$B:$B,{"licence","community"}))/SUM(SUMIFS('caseload data'!G:G,'caseload data'!$B:$B,{"licence","community"},'caseload data'!$C:$C,'community %'!$T$64)),"")</f>
        <v/>
      </c>
      <c r="X69" s="167" t="str">
        <f>IFERROR(SUM(SUMIFS('caseload data'!H:H,'caseload data'!$C:$C,'community %'!$T$64,'caseload data'!$D:$D,"SPO",'caseload data'!$B:$B,{"licence","community"}))/SUM(SUMIFS('caseload data'!H:H,'caseload data'!$B:$B,{"licence","community"},'caseload data'!$C:$C,'community %'!$T$64)),"")</f>
        <v/>
      </c>
      <c r="Y69" s="167" t="str">
        <f>IFERROR(SUM(SUMIFS('caseload data'!I:I,'caseload data'!$C:$C,'community %'!$T$64,'caseload data'!$D:$D,"SPO",'caseload data'!$B:$B,{"licence","community"}))/SUM(SUMIFS('caseload data'!I:I,'caseload data'!$B:$B,{"licence","community"},'caseload data'!$C:$C,'community %'!$T$64)),"")</f>
        <v/>
      </c>
      <c r="Z69" s="167" t="str">
        <f>IFERROR(SUM(SUMIFS('caseload data'!J:J,'caseload data'!$C:$C,'community %'!$T$64,'caseload data'!$D:$D,"SPO",'caseload data'!$B:$B,{"licence","community"}))/SUM(SUMIFS('caseload data'!J:J,'caseload data'!$B:$B,{"licence","community"},'caseload data'!$C:$C,'community %'!$T$64)),"")</f>
        <v/>
      </c>
      <c r="AA69" s="167" t="str">
        <f>IFERROR(SUM(SUMIFS('caseload data'!K:K,'caseload data'!$C:$C,'community %'!$T$64,'caseload data'!$D:$D,"SPO",'caseload data'!$B:$B,{"licence","community"}))/SUM(SUMIFS('caseload data'!K:K,'caseload data'!$B:$B,{"licence","community"},'caseload data'!$C:$C,'community %'!$T$64)),"")</f>
        <v/>
      </c>
      <c r="AB69" s="167" t="str">
        <f>IFERROR(SUM(SUMIFS('caseload data'!L:L,'caseload data'!$C:$C,'community %'!$T$64,'caseload data'!$D:$D,"SPO",'caseload data'!$B:$B,{"licence","community"}))/SUM(SUMIFS('caseload data'!L:L,'caseload data'!$B:$B,{"licence","community"},'caseload data'!$C:$C,'community %'!$T$64)),"")</f>
        <v/>
      </c>
      <c r="AC69" s="167" t="str">
        <f>IFERROR(SUM(SUMIFS('caseload data'!M:M,'caseload data'!$C:$C,'community %'!$T$64,'caseload data'!$D:$D,"SPO",'caseload data'!$B:$B,{"licence","community"}))/SUM(SUMIFS('caseload data'!M:M,'caseload data'!$B:$B,{"licence","community"},'caseload data'!$C:$C,'community %'!$T$64)),"")</f>
        <v/>
      </c>
      <c r="AD69" s="167" t="str">
        <f>IFERROR(SUM(SUMIFS('caseload data'!N:N,'caseload data'!$C:$C,'community %'!$T$64,'caseload data'!$D:$D,"SPO",'caseload data'!$B:$B,{"licence","community"}))/SUM(SUMIFS('caseload data'!N:N,'caseload data'!$B:$B,{"licence","community"},'caseload data'!$C:$C,'community %'!$T$64)),"")</f>
        <v/>
      </c>
      <c r="AE69" s="167" t="str">
        <f>IFERROR(SUM(SUMIFS('caseload data'!O:O,'caseload data'!$C:$C,'community %'!$T$64,'caseload data'!$D:$D,"SPO",'caseload data'!$B:$B,{"licence","community"}))/SUM(SUMIFS('caseload data'!O:O,'caseload data'!$B:$B,{"licence","community"},'caseload data'!$C:$C,'community %'!$T$64)),"")</f>
        <v/>
      </c>
      <c r="AF69" s="167" t="str">
        <f>IFERROR(SUM(SUMIFS('caseload data'!P:P,'caseload data'!$C:$C,'community %'!$T$64,'caseload data'!$D:$D,"SPO",'caseload data'!$B:$B,{"licence","community"}))/SUM(SUMIFS('caseload data'!P:P,'caseload data'!$B:$B,{"licence","community"},'caseload data'!$C:$C,'community %'!$T$64)),"")</f>
        <v/>
      </c>
      <c r="AG69" s="167" t="str">
        <f>IFERROR(SUM(SUMIFS('caseload data'!Q:Q,'caseload data'!$C:$C,'community %'!$T$64,'caseload data'!$D:$D,"SPO",'caseload data'!$B:$B,{"licence","community"}))/SUM(SUMIFS('caseload data'!Q:Q,'caseload data'!$B:$B,{"licence","community"},'caseload data'!$C:$C,'community %'!$T$64)),"")</f>
        <v/>
      </c>
      <c r="AH69" s="167" t="str">
        <f>IFERROR(SUM(SUMIFS('caseload data'!R:R,'caseload data'!$C:$C,'community %'!$T$64,'caseload data'!$D:$D,"SPO",'caseload data'!$B:$B,{"licence","community"}))/SUM(SUMIFS('caseload data'!R:R,'caseload data'!$B:$B,{"licence","community"},'caseload data'!$C:$C,'community %'!$T$64)),"")</f>
        <v/>
      </c>
      <c r="AI69" s="167" t="str">
        <f>IFERROR(SUM(SUMIFS('caseload data'!S:S,'caseload data'!$C:$C,'community %'!$T$64,'caseload data'!$D:$D,"SPO",'caseload data'!$B:$B,{"licence","community"}))/SUM(SUMIFS('caseload data'!S:S,'caseload data'!$B:$B,{"licence","community"},'caseload data'!$C:$C,'community %'!$T$64)),"")</f>
        <v/>
      </c>
      <c r="AJ69" s="167" t="str">
        <f>IFERROR(SUM(SUMIFS('caseload data'!T:T,'caseload data'!$C:$C,'community %'!$T$64,'caseload data'!$D:$D,"SPO",'caseload data'!$B:$B,{"licence","community"}))/SUM(SUMIFS('caseload data'!T:T,'caseload data'!$B:$B,{"licence","community"},'caseload data'!$C:$C,'community %'!$T$64)),"")</f>
        <v/>
      </c>
    </row>
    <row r="71" spans="2:36" ht="22.5" customHeight="1" x14ac:dyDescent="0.15">
      <c r="B71" s="289">
        <f>HLOOKUP($B$5,Region_Table,20,0)</f>
        <v>0</v>
      </c>
      <c r="C71" s="509" t="s">
        <v>1134</v>
      </c>
      <c r="D71" s="510"/>
      <c r="E71" s="510"/>
      <c r="F71" s="510"/>
      <c r="G71" s="510"/>
      <c r="H71" s="510"/>
      <c r="I71" s="510"/>
      <c r="J71" s="510"/>
      <c r="K71" s="510"/>
      <c r="L71" s="510"/>
      <c r="M71" s="539"/>
      <c r="N71" s="539"/>
      <c r="O71" s="540"/>
      <c r="P71" s="512" cm="1">
        <f t="array" ref="P71">SUM(SUMIFS('caseload data'!V:V,'caseload data'!B:B,{"licence","community"},'caseload data'!$C:$C,B71))</f>
        <v>0</v>
      </c>
      <c r="Q71" s="529"/>
      <c r="R71" s="530"/>
      <c r="T71" s="289">
        <f>HLOOKUP($B$5,Region_Table,21,0)</f>
        <v>0</v>
      </c>
      <c r="U71" s="509" t="s">
        <v>1134</v>
      </c>
      <c r="V71" s="510"/>
      <c r="W71" s="510"/>
      <c r="X71" s="510"/>
      <c r="Y71" s="510"/>
      <c r="Z71" s="510"/>
      <c r="AA71" s="510"/>
      <c r="AB71" s="510"/>
      <c r="AC71" s="510"/>
      <c r="AD71" s="510"/>
      <c r="AE71" s="539"/>
      <c r="AF71" s="539"/>
      <c r="AG71" s="540"/>
      <c r="AH71" s="512" cm="1">
        <f t="array" ref="AH71">SUM(SUMIFS('caseload data'!V:V,'caseload data'!B:B,{"licence","community"},'caseload data'!$C:$C,T71))</f>
        <v>0</v>
      </c>
      <c r="AI71" s="529"/>
      <c r="AJ71" s="530"/>
    </row>
    <row r="72" spans="2:36" x14ac:dyDescent="0.15">
      <c r="B72" s="95" t="s">
        <v>1000</v>
      </c>
      <c r="C72" s="38" t="s">
        <v>864</v>
      </c>
      <c r="D72" s="38" t="s">
        <v>865</v>
      </c>
      <c r="E72" s="38" t="s">
        <v>866</v>
      </c>
      <c r="F72" s="38" t="s">
        <v>867</v>
      </c>
      <c r="G72" s="38" t="s">
        <v>868</v>
      </c>
      <c r="H72" s="38" t="s">
        <v>869</v>
      </c>
      <c r="I72" s="38" t="s">
        <v>870</v>
      </c>
      <c r="J72" s="38" t="s">
        <v>871</v>
      </c>
      <c r="K72" s="38" t="s">
        <v>872</v>
      </c>
      <c r="L72" s="38" t="s">
        <v>873</v>
      </c>
      <c r="M72" s="38" t="s">
        <v>874</v>
      </c>
      <c r="N72" s="38" t="s">
        <v>875</v>
      </c>
      <c r="O72" s="38" t="s">
        <v>876</v>
      </c>
      <c r="P72" s="38" t="s">
        <v>877</v>
      </c>
      <c r="Q72" s="38" t="s">
        <v>878</v>
      </c>
      <c r="R72" s="38" t="s">
        <v>879</v>
      </c>
      <c r="T72" s="95" t="s">
        <v>1000</v>
      </c>
      <c r="U72" s="38" t="s">
        <v>864</v>
      </c>
      <c r="V72" s="38" t="s">
        <v>865</v>
      </c>
      <c r="W72" s="38" t="s">
        <v>866</v>
      </c>
      <c r="X72" s="38" t="s">
        <v>867</v>
      </c>
      <c r="Y72" s="38" t="s">
        <v>868</v>
      </c>
      <c r="Z72" s="38" t="s">
        <v>869</v>
      </c>
      <c r="AA72" s="38" t="s">
        <v>870</v>
      </c>
      <c r="AB72" s="38" t="s">
        <v>871</v>
      </c>
      <c r="AC72" s="38" t="s">
        <v>872</v>
      </c>
      <c r="AD72" s="38" t="s">
        <v>873</v>
      </c>
      <c r="AE72" s="38" t="s">
        <v>874</v>
      </c>
      <c r="AF72" s="38" t="s">
        <v>875</v>
      </c>
      <c r="AG72" s="38" t="s">
        <v>876</v>
      </c>
      <c r="AH72" s="38" t="s">
        <v>877</v>
      </c>
      <c r="AI72" s="38" t="s">
        <v>878</v>
      </c>
      <c r="AJ72" s="38" t="s">
        <v>879</v>
      </c>
    </row>
    <row r="73" spans="2:36" x14ac:dyDescent="0.15">
      <c r="B73" s="96" t="s">
        <v>997</v>
      </c>
      <c r="C73" s="167" t="str">
        <f>IFERROR(SUM(SUMIFS('caseload data'!E:E,'caseload data'!$C:$C,'community %'!$B$71,'caseload data'!$D:$D,"PO",'caseload data'!$B:$B,{"licence","community"}))/SUM(SUMIFS('caseload data'!E:E,'caseload data'!$B:$B,{"licence","community"},'caseload data'!$C:$C,'community %'!$B$71)),"")</f>
        <v/>
      </c>
      <c r="D73" s="167" t="str">
        <f>IFERROR(SUM(SUMIFS('caseload data'!F:F,'caseload data'!$C:$C,'community %'!$B$71,'caseload data'!$D:$D,"PO",'caseload data'!$B:$B,{"licence","community"}))/SUM(SUMIFS('caseload data'!F:F,'caseload data'!$B:$B,{"licence","community"},'caseload data'!$C:$C,'community %'!$B$71)),"")</f>
        <v/>
      </c>
      <c r="E73" s="167" t="str">
        <f>IFERROR(SUM(SUMIFS('caseload data'!G:G,'caseload data'!$C:$C,'community %'!$B$71,'caseload data'!$D:$D,"PO",'caseload data'!$B:$B,{"licence","community"}))/SUM(SUMIFS('caseload data'!G:G,'caseload data'!$B:$B,{"licence","community"},'caseload data'!$C:$C,'community %'!$B$71)),"")</f>
        <v/>
      </c>
      <c r="F73" s="167" t="str">
        <f>IFERROR(SUM(SUMIFS('caseload data'!H:H,'caseload data'!$C:$C,'community %'!$B$71,'caseload data'!$D:$D,"PO",'caseload data'!$B:$B,{"licence","community"}))/SUM(SUMIFS('caseload data'!H:H,'caseload data'!$B:$B,{"licence","community"},'caseload data'!$C:$C,'community %'!$B$71)),"")</f>
        <v/>
      </c>
      <c r="G73" s="167" t="str">
        <f>IFERROR(SUM(SUMIFS('caseload data'!I:I,'caseload data'!$C:$C,'community %'!$B$71,'caseload data'!$D:$D,"PO",'caseload data'!$B:$B,{"licence","community"}))/SUM(SUMIFS('caseload data'!I:I,'caseload data'!$B:$B,{"licence","community"},'caseload data'!$C:$C,'community %'!$B$71)),"")</f>
        <v/>
      </c>
      <c r="H73" s="167" t="str">
        <f>IFERROR(SUM(SUMIFS('caseload data'!J:J,'caseload data'!$C:$C,'community %'!$B$71,'caseload data'!$D:$D,"PO",'caseload data'!$B:$B,{"licence","community"}))/SUM(SUMIFS('caseload data'!J:J,'caseload data'!$B:$B,{"licence","community"},'caseload data'!$C:$C,'community %'!$B$71)),"")</f>
        <v/>
      </c>
      <c r="I73" s="167" t="str">
        <f>IFERROR(SUM(SUMIFS('caseload data'!K:K,'caseload data'!$C:$C,'community %'!$B$71,'caseload data'!$D:$D,"PO",'caseload data'!$B:$B,{"licence","community"}))/SUM(SUMIFS('caseload data'!K:K,'caseload data'!$B:$B,{"licence","community"},'caseload data'!$C:$C,'community %'!$B$71)),"")</f>
        <v/>
      </c>
      <c r="J73" s="167" t="str">
        <f>IFERROR(SUM(SUMIFS('caseload data'!L:L,'caseload data'!$C:$C,'community %'!$B$71,'caseload data'!$D:$D,"PO",'caseload data'!$B:$B,{"licence","community"}))/SUM(SUMIFS('caseload data'!L:L,'caseload data'!$B:$B,{"licence","community"},'caseload data'!$C:$C,'community %'!$B$71)),"")</f>
        <v/>
      </c>
      <c r="K73" s="167" t="str">
        <f>IFERROR(SUM(SUMIFS('caseload data'!M:M,'caseload data'!$C:$C,'community %'!$B$71,'caseload data'!$D:$D,"PO",'caseload data'!$B:$B,{"licence","community"}))/SUM(SUMIFS('caseload data'!M:M,'caseload data'!$B:$B,{"licence","community"},'caseload data'!$C:$C,'community %'!$B$71)),"")</f>
        <v/>
      </c>
      <c r="L73" s="167" t="str">
        <f>IFERROR(SUM(SUMIFS('caseload data'!N:N,'caseload data'!$C:$C,'community %'!$B$71,'caseload data'!$D:$D,"PO",'caseload data'!$B:$B,{"licence","community"}))/SUM(SUMIFS('caseload data'!N:N,'caseload data'!$B:$B,{"licence","community"},'caseload data'!$C:$C,'community %'!$B$71)),"")</f>
        <v/>
      </c>
      <c r="M73" s="167" t="str">
        <f>IFERROR(SUM(SUMIFS('caseload data'!O:O,'caseload data'!$C:$C,'community %'!$B$71,'caseload data'!$D:$D,"PO",'caseload data'!$B:$B,{"licence","community"}))/SUM(SUMIFS('caseload data'!O:O,'caseload data'!$B:$B,{"licence","community"},'caseload data'!$C:$C,'community %'!$B$71)),"")</f>
        <v/>
      </c>
      <c r="N73" s="167" t="str">
        <f>IFERROR(SUM(SUMIFS('caseload data'!P:P,'caseload data'!$C:$C,'community %'!$B$71,'caseload data'!$D:$D,"PO",'caseload data'!$B:$B,{"licence","community"}))/SUM(SUMIFS('caseload data'!P:P,'caseload data'!$B:$B,{"licence","community"},'caseload data'!$C:$C,'community %'!$B$71)),"")</f>
        <v/>
      </c>
      <c r="O73" s="167" t="str">
        <f>IFERROR(SUM(SUMIFS('caseload data'!Q:Q,'caseload data'!$C:$C,'community %'!$B$71,'caseload data'!$D:$D,"PO",'caseload data'!$B:$B,{"licence","community"}))/SUM(SUMIFS('caseload data'!Q:Q,'caseload data'!$B:$B,{"licence","community"},'caseload data'!$C:$C,'community %'!$B$71)),"")</f>
        <v/>
      </c>
      <c r="P73" s="167" t="str">
        <f>IFERROR(SUM(SUMIFS('caseload data'!R:R,'caseload data'!$C:$C,'community %'!$B$71,'caseload data'!$D:$D,"PO",'caseload data'!$B:$B,{"licence","community"}))/SUM(SUMIFS('caseload data'!R:R,'caseload data'!$B:$B,{"licence","community"},'caseload data'!$C:$C,'community %'!$B$71)),"")</f>
        <v/>
      </c>
      <c r="Q73" s="167" t="str">
        <f>IFERROR(SUM(SUMIFS('caseload data'!S:S,'caseload data'!$C:$C,'community %'!$B$71,'caseload data'!$D:$D,"PO",'caseload data'!$B:$B,{"licence","community"}))/SUM(SUMIFS('caseload data'!S:S,'caseload data'!$B:$B,{"licence","community"},'caseload data'!$C:$C,'community %'!$B$71)),"")</f>
        <v/>
      </c>
      <c r="R73" s="167" t="str">
        <f>IFERROR(SUM(SUMIFS('caseload data'!T:T,'caseload data'!$C:$C,'community %'!$B$71,'caseload data'!$D:$D,"PO",'caseload data'!$B:$B,{"licence","community"}))/SUM(SUMIFS('caseload data'!T:T,'caseload data'!$B:$B,{"licence","community"},'caseload data'!$C:$C,'community %'!$B$71)),"")</f>
        <v/>
      </c>
      <c r="T73" s="96" t="s">
        <v>997</v>
      </c>
      <c r="U73" s="167" t="str" cm="1">
        <f t="array" ref="U73">IFERROR(SUM(SUMIFS('caseload data'!E:E,'caseload data'!$C:$C,'community %'!$T$71,'caseload data'!$D:$D,"PO",'caseload data'!$B:$B,{"licence","community"}))/SUM(SUMIFS('caseload data'!E:E,'caseload data'!$B:$B,{"licence","community"},'caseload data'!$C:$C,'community %'!$T$71)),"")</f>
        <v/>
      </c>
      <c r="V73" s="167" t="str" cm="1">
        <f t="array" ref="V73">IFERROR(SUM(SUMIFS('caseload data'!F:F,'caseload data'!$C:$C,'community %'!$T$71,'caseload data'!$D:$D,"PO",'caseload data'!$B:$B,{"licence","community"}))/SUM(SUMIFS('caseload data'!F:F,'caseload data'!$B:$B,{"licence","community"},'caseload data'!$C:$C,'community %'!$T$71)),"")</f>
        <v/>
      </c>
      <c r="W73" s="167" t="str" cm="1">
        <f t="array" ref="W73">IFERROR(SUM(SUMIFS('caseload data'!G:G,'caseload data'!$C:$C,'community %'!$T$71,'caseload data'!$D:$D,"PO",'caseload data'!$B:$B,{"licence","community"}))/SUM(SUMIFS('caseload data'!G:G,'caseload data'!$B:$B,{"licence","community"},'caseload data'!$C:$C,'community %'!$T$71)),"")</f>
        <v/>
      </c>
      <c r="X73" s="167" t="str" cm="1">
        <f t="array" ref="X73">IFERROR(SUM(SUMIFS('caseload data'!H:H,'caseload data'!$C:$C,'community %'!$T$71,'caseload data'!$D:$D,"PO",'caseload data'!$B:$B,{"licence","community"}))/SUM(SUMIFS('caseload data'!H:H,'caseload data'!$B:$B,{"licence","community"},'caseload data'!$C:$C,'community %'!$T$71)),"")</f>
        <v/>
      </c>
      <c r="Y73" s="167" t="str" cm="1">
        <f t="array" ref="Y73">IFERROR(SUM(SUMIFS('caseload data'!I:I,'caseload data'!$C:$C,'community %'!$T$71,'caseload data'!$D:$D,"PO",'caseload data'!$B:$B,{"licence","community"}))/SUM(SUMIFS('caseload data'!I:I,'caseload data'!$B:$B,{"licence","community"},'caseload data'!$C:$C,'community %'!$T$71)),"")</f>
        <v/>
      </c>
      <c r="Z73" s="167" t="str" cm="1">
        <f t="array" ref="Z73">IFERROR(SUM(SUMIFS('caseload data'!J:J,'caseload data'!$C:$C,'community %'!$T$71,'caseload data'!$D:$D,"PO",'caseload data'!$B:$B,{"licence","community"}))/SUM(SUMIFS('caseload data'!J:J,'caseload data'!$B:$B,{"licence","community"},'caseload data'!$C:$C,'community %'!$T$71)),"")</f>
        <v/>
      </c>
      <c r="AA73" s="167" t="str" cm="1">
        <f t="array" ref="AA73">IFERROR(SUM(SUMIFS('caseload data'!K:K,'caseload data'!$C:$C,'community %'!$T$71,'caseload data'!$D:$D,"PO",'caseload data'!$B:$B,{"licence","community"}))/SUM(SUMIFS('caseload data'!K:K,'caseload data'!$B:$B,{"licence","community"},'caseload data'!$C:$C,'community %'!$T$71)),"")</f>
        <v/>
      </c>
      <c r="AB73" s="167" t="str" cm="1">
        <f t="array" ref="AB73">IFERROR(SUM(SUMIFS('caseload data'!L:L,'caseload data'!$C:$C,'community %'!$T$71,'caseload data'!$D:$D,"PO",'caseload data'!$B:$B,{"licence","community"}))/SUM(SUMIFS('caseload data'!L:L,'caseload data'!$B:$B,{"licence","community"},'caseload data'!$C:$C,'community %'!$T$71)),"")</f>
        <v/>
      </c>
      <c r="AC73" s="167" t="str" cm="1">
        <f t="array" ref="AC73">IFERROR(SUM(SUMIFS('caseload data'!M:M,'caseload data'!$C:$C,'community %'!$T$71,'caseload data'!$D:$D,"PO",'caseload data'!$B:$B,{"licence","community"}))/SUM(SUMIFS('caseload data'!M:M,'caseload data'!$B:$B,{"licence","community"},'caseload data'!$C:$C,'community %'!$T$71)),"")</f>
        <v/>
      </c>
      <c r="AD73" s="167" t="str" cm="1">
        <f t="array" ref="AD73">IFERROR(SUM(SUMIFS('caseload data'!N:N,'caseload data'!$C:$C,'community %'!$T$71,'caseload data'!$D:$D,"PO",'caseload data'!$B:$B,{"licence","community"}))/SUM(SUMIFS('caseload data'!N:N,'caseload data'!$B:$B,{"licence","community"},'caseload data'!$C:$C,'community %'!$T$71)),"")</f>
        <v/>
      </c>
      <c r="AE73" s="167" t="str" cm="1">
        <f t="array" ref="AE73">IFERROR(SUM(SUMIFS('caseload data'!O:O,'caseload data'!$C:$C,'community %'!$T$71,'caseload data'!$D:$D,"PO",'caseload data'!$B:$B,{"licence","community"}))/SUM(SUMIFS('caseload data'!O:O,'caseload data'!$B:$B,{"licence","community"},'caseload data'!$C:$C,'community %'!$T$71)),"")</f>
        <v/>
      </c>
      <c r="AF73" s="167" t="str" cm="1">
        <f t="array" ref="AF73">IFERROR(SUM(SUMIFS('caseload data'!P:P,'caseload data'!$C:$C,'community %'!$T$71,'caseload data'!$D:$D,"PO",'caseload data'!$B:$B,{"licence","community"}))/SUM(SUMIFS('caseload data'!P:P,'caseload data'!$B:$B,{"licence","community"},'caseload data'!$C:$C,'community %'!$T$71)),"")</f>
        <v/>
      </c>
      <c r="AG73" s="167" t="str" cm="1">
        <f t="array" ref="AG73">IFERROR(SUM(SUMIFS('caseload data'!Q:Q,'caseload data'!$C:$C,'community %'!$T$71,'caseload data'!$D:$D,"PO",'caseload data'!$B:$B,{"licence","community"}))/SUM(SUMIFS('caseload data'!Q:Q,'caseload data'!$B:$B,{"licence","community"},'caseload data'!$C:$C,'community %'!$T$71)),"")</f>
        <v/>
      </c>
      <c r="AH73" s="167" t="str" cm="1">
        <f t="array" ref="AH73">IFERROR(SUM(SUMIFS('caseload data'!R:R,'caseload data'!$C:$C,'community %'!$T$71,'caseload data'!$D:$D,"PO",'caseload data'!$B:$B,{"licence","community"}))/SUM(SUMIFS('caseload data'!R:R,'caseload data'!$B:$B,{"licence","community"},'caseload data'!$C:$C,'community %'!$T$71)),"")</f>
        <v/>
      </c>
      <c r="AI73" s="167" t="str" cm="1">
        <f t="array" ref="AI73">IFERROR(SUM(SUMIFS('caseload data'!S:S,'caseload data'!$C:$C,'community %'!$T$71,'caseload data'!$D:$D,"PO",'caseload data'!$B:$B,{"licence","community"}))/SUM(SUMIFS('caseload data'!S:S,'caseload data'!$B:$B,{"licence","community"},'caseload data'!$C:$C,'community %'!$T$71)),"")</f>
        <v/>
      </c>
      <c r="AJ73" s="167" t="str" cm="1">
        <f t="array" ref="AJ73">IFERROR(SUM(SUMIFS('caseload data'!T:T,'caseload data'!$C:$C,'community %'!$T$71,'caseload data'!$D:$D,"PO",'caseload data'!$B:$B,{"licence","community"}))/SUM(SUMIFS('caseload data'!T:T,'caseload data'!$B:$B,{"licence","community"},'caseload data'!$C:$C,'community %'!$T$71)),"")</f>
        <v/>
      </c>
    </row>
    <row r="74" spans="2:36" x14ac:dyDescent="0.15">
      <c r="B74" s="97" t="s">
        <v>1002</v>
      </c>
      <c r="C74" s="167" t="str">
        <f>IFERROR(SUM(SUMIFS('caseload data'!E:E,'caseload data'!$C:$C,'community %'!$B$71,'caseload data'!$D:$D,"PSO",'caseload data'!$B:$B,{"licence","community"}))/SUM(SUMIFS('caseload data'!E:E,'caseload data'!$B:$B,{"licence","community"},'caseload data'!$C:$C,'community %'!$B$71)),"")</f>
        <v/>
      </c>
      <c r="D74" s="167" t="str">
        <f>IFERROR(SUM(SUMIFS('caseload data'!F:F,'caseload data'!$C:$C,'community %'!$B$71,'caseload data'!$D:$D,"PSO",'caseload data'!$B:$B,{"licence","community"}))/SUM(SUMIFS('caseload data'!F:F,'caseload data'!$B:$B,{"licence","community"},'caseload data'!$C:$C,'community %'!$B$71)),"")</f>
        <v/>
      </c>
      <c r="E74" s="167" t="str">
        <f>IFERROR(SUM(SUMIFS('caseload data'!G:G,'caseload data'!$C:$C,'community %'!$B$71,'caseload data'!$D:$D,"PSO",'caseload data'!$B:$B,{"licence","community"}))/SUM(SUMIFS('caseload data'!G:G,'caseload data'!$B:$B,{"licence","community"},'caseload data'!$C:$C,'community %'!$B$71)),"")</f>
        <v/>
      </c>
      <c r="F74" s="167" t="str">
        <f>IFERROR(SUM(SUMIFS('caseload data'!H:H,'caseload data'!$C:$C,'community %'!$B$71,'caseload data'!$D:$D,"PSO",'caseload data'!$B:$B,{"licence","community"}))/SUM(SUMIFS('caseload data'!H:H,'caseload data'!$B:$B,{"licence","community"},'caseload data'!$C:$C,'community %'!$B$71)),"")</f>
        <v/>
      </c>
      <c r="G74" s="167" t="str">
        <f>IFERROR(SUM(SUMIFS('caseload data'!I:I,'caseload data'!$C:$C,'community %'!$B$71,'caseload data'!$D:$D,"PSO",'caseload data'!$B:$B,{"licence","community"}))/SUM(SUMIFS('caseload data'!I:I,'caseload data'!$B:$B,{"licence","community"},'caseload data'!$C:$C,'community %'!$B$71)),"")</f>
        <v/>
      </c>
      <c r="H74" s="167" t="str">
        <f>IFERROR(SUM(SUMIFS('caseload data'!J:J,'caseload data'!$C:$C,'community %'!$B$71,'caseload data'!$D:$D,"PSO",'caseload data'!$B:$B,{"licence","community"}))/SUM(SUMIFS('caseload data'!J:J,'caseload data'!$B:$B,{"licence","community"},'caseload data'!$C:$C,'community %'!$B$71)),"")</f>
        <v/>
      </c>
      <c r="I74" s="167" t="str">
        <f>IFERROR(SUM(SUMIFS('caseload data'!K:K,'caseload data'!$C:$C,'community %'!$B$71,'caseload data'!$D:$D,"PSO",'caseload data'!$B:$B,{"licence","community"}))/SUM(SUMIFS('caseload data'!K:K,'caseload data'!$B:$B,{"licence","community"},'caseload data'!$C:$C,'community %'!$B$71)),"")</f>
        <v/>
      </c>
      <c r="J74" s="167" t="str">
        <f>IFERROR(SUM(SUMIFS('caseload data'!L:L,'caseload data'!$C:$C,'community %'!$B$71,'caseload data'!$D:$D,"PSO",'caseload data'!$B:$B,{"licence","community"}))/SUM(SUMIFS('caseload data'!L:L,'caseload data'!$B:$B,{"licence","community"},'caseload data'!$C:$C,'community %'!$B$71)),"")</f>
        <v/>
      </c>
      <c r="K74" s="167" t="str">
        <f>IFERROR(SUM(SUMIFS('caseload data'!M:M,'caseload data'!$C:$C,'community %'!$B$71,'caseload data'!$D:$D,"PSO",'caseload data'!$B:$B,{"licence","community"}))/SUM(SUMIFS('caseload data'!M:M,'caseload data'!$B:$B,{"licence","community"},'caseload data'!$C:$C,'community %'!$B$71)),"")</f>
        <v/>
      </c>
      <c r="L74" s="167" t="str">
        <f>IFERROR(SUM(SUMIFS('caseload data'!N:N,'caseload data'!$C:$C,'community %'!$B$71,'caseload data'!$D:$D,"PSO",'caseload data'!$B:$B,{"licence","community"}))/SUM(SUMIFS('caseload data'!N:N,'caseload data'!$B:$B,{"licence","community"},'caseload data'!$C:$C,'community %'!$B$71)),"")</f>
        <v/>
      </c>
      <c r="M74" s="167" t="str">
        <f>IFERROR(SUM(SUMIFS('caseload data'!O:O,'caseload data'!$C:$C,'community %'!$B$71,'caseload data'!$D:$D,"PSO",'caseload data'!$B:$B,{"licence","community"}))/SUM(SUMIFS('caseload data'!O:O,'caseload data'!$B:$B,{"licence","community"},'caseload data'!$C:$C,'community %'!$B$71)),"")</f>
        <v/>
      </c>
      <c r="N74" s="167" t="str">
        <f>IFERROR(SUM(SUMIFS('caseload data'!P:P,'caseload data'!$C:$C,'community %'!$B$71,'caseload data'!$D:$D,"PSO",'caseload data'!$B:$B,{"licence","community"}))/SUM(SUMIFS('caseload data'!P:P,'caseload data'!$B:$B,{"licence","community"},'caseload data'!$C:$C,'community %'!$B$71)),"")</f>
        <v/>
      </c>
      <c r="O74" s="167" t="str">
        <f>IFERROR(SUM(SUMIFS('caseload data'!Q:Q,'caseload data'!$C:$C,'community %'!$B$71,'caseload data'!$D:$D,"PSO",'caseload data'!$B:$B,{"licence","community"}))/SUM(SUMIFS('caseload data'!Q:Q,'caseload data'!$B:$B,{"licence","community"},'caseload data'!$C:$C,'community %'!$B$71)),"")</f>
        <v/>
      </c>
      <c r="P74" s="167" t="str">
        <f>IFERROR(SUM(SUMIFS('caseload data'!R:R,'caseload data'!$C:$C,'community %'!$B$71,'caseload data'!$D:$D,"PSO",'caseload data'!$B:$B,{"licence","community"}))/SUM(SUMIFS('caseload data'!R:R,'caseload data'!$B:$B,{"licence","community"},'caseload data'!$C:$C,'community %'!$B$71)),"")</f>
        <v/>
      </c>
      <c r="Q74" s="167" t="str">
        <f>IFERROR(SUM(SUMIFS('caseload data'!S:S,'caseload data'!$C:$C,'community %'!$B$71,'caseload data'!$D:$D,"PSO",'caseload data'!$B:$B,{"licence","community"}))/SUM(SUMIFS('caseload data'!S:S,'caseload data'!$B:$B,{"licence","community"},'caseload data'!$C:$C,'community %'!$B$71)),"")</f>
        <v/>
      </c>
      <c r="R74" s="167" t="str">
        <f>IFERROR(SUM(SUMIFS('caseload data'!T:T,'caseload data'!$C:$C,'community %'!$B$71,'caseload data'!$D:$D,"PSO",'caseload data'!$B:$B,{"licence","community"}))/SUM(SUMIFS('caseload data'!T:T,'caseload data'!$B:$B,{"licence","community"},'caseload data'!$C:$C,'community %'!$B$71)),"")</f>
        <v/>
      </c>
      <c r="T74" s="97" t="s">
        <v>1002</v>
      </c>
      <c r="U74" s="167" t="str" cm="1">
        <f t="array" ref="U74">IFERROR(SUM(SUMIFS('caseload data'!E:E,'caseload data'!$C:$C,'community %'!$T$71,'caseload data'!$D:$D,"PSO",'caseload data'!$B:$B,{"licence","community"}))/SUM(SUMIFS('caseload data'!E:E,'caseload data'!$B:$B,{"licence","community"},'caseload data'!$C:$C,'community %'!$T$71)),"")</f>
        <v/>
      </c>
      <c r="V74" s="167" t="str" cm="1">
        <f t="array" ref="V74">IFERROR(SUM(SUMIFS('caseload data'!F:F,'caseload data'!$C:$C,'community %'!$T$71,'caseload data'!$D:$D,"PSO",'caseload data'!$B:$B,{"licence","community"}))/SUM(SUMIFS('caseload data'!F:F,'caseload data'!$B:$B,{"licence","community"},'caseload data'!$C:$C,'community %'!$T$71)),"")</f>
        <v/>
      </c>
      <c r="W74" s="167" t="str" cm="1">
        <f t="array" ref="W74">IFERROR(SUM(SUMIFS('caseload data'!G:G,'caseload data'!$C:$C,'community %'!$T$71,'caseload data'!$D:$D,"PSO",'caseload data'!$B:$B,{"licence","community"}))/SUM(SUMIFS('caseload data'!G:G,'caseload data'!$B:$B,{"licence","community"},'caseload data'!$C:$C,'community %'!$T$71)),"")</f>
        <v/>
      </c>
      <c r="X74" s="167" t="str" cm="1">
        <f t="array" ref="X74">IFERROR(SUM(SUMIFS('caseload data'!H:H,'caseload data'!$C:$C,'community %'!$T$71,'caseload data'!$D:$D,"PSO",'caseload data'!$B:$B,{"licence","community"}))/SUM(SUMIFS('caseload data'!H:H,'caseload data'!$B:$B,{"licence","community"},'caseload data'!$C:$C,'community %'!$T$71)),"")</f>
        <v/>
      </c>
      <c r="Y74" s="167" t="str" cm="1">
        <f t="array" ref="Y74">IFERROR(SUM(SUMIFS('caseload data'!I:I,'caseload data'!$C:$C,'community %'!$T$71,'caseload data'!$D:$D,"PSO",'caseload data'!$B:$B,{"licence","community"}))/SUM(SUMIFS('caseload data'!I:I,'caseload data'!$B:$B,{"licence","community"},'caseload data'!$C:$C,'community %'!$T$71)),"")</f>
        <v/>
      </c>
      <c r="Z74" s="167" t="str" cm="1">
        <f t="array" ref="Z74">IFERROR(SUM(SUMIFS('caseload data'!J:J,'caseload data'!$C:$C,'community %'!$T$71,'caseload data'!$D:$D,"PSO",'caseload data'!$B:$B,{"licence","community"}))/SUM(SUMIFS('caseload data'!J:J,'caseload data'!$B:$B,{"licence","community"},'caseload data'!$C:$C,'community %'!$T$71)),"")</f>
        <v/>
      </c>
      <c r="AA74" s="167" t="str" cm="1">
        <f t="array" ref="AA74">IFERROR(SUM(SUMIFS('caseload data'!K:K,'caseload data'!$C:$C,'community %'!$T$71,'caseload data'!$D:$D,"PSO",'caseload data'!$B:$B,{"licence","community"}))/SUM(SUMIFS('caseload data'!K:K,'caseload data'!$B:$B,{"licence","community"},'caseload data'!$C:$C,'community %'!$T$71)),"")</f>
        <v/>
      </c>
      <c r="AB74" s="167" t="str" cm="1">
        <f t="array" ref="AB74">IFERROR(SUM(SUMIFS('caseload data'!L:L,'caseload data'!$C:$C,'community %'!$T$71,'caseload data'!$D:$D,"PSO",'caseload data'!$B:$B,{"licence","community"}))/SUM(SUMIFS('caseload data'!L:L,'caseload data'!$B:$B,{"licence","community"},'caseload data'!$C:$C,'community %'!$T$71)),"")</f>
        <v/>
      </c>
      <c r="AC74" s="167" t="str" cm="1">
        <f t="array" ref="AC74">IFERROR(SUM(SUMIFS('caseload data'!M:M,'caseload data'!$C:$C,'community %'!$T$71,'caseload data'!$D:$D,"PSO",'caseload data'!$B:$B,{"licence","community"}))/SUM(SUMIFS('caseload data'!M:M,'caseload data'!$B:$B,{"licence","community"},'caseload data'!$C:$C,'community %'!$T$71)),"")</f>
        <v/>
      </c>
      <c r="AD74" s="167" t="str" cm="1">
        <f t="array" ref="AD74">IFERROR(SUM(SUMIFS('caseload data'!N:N,'caseload data'!$C:$C,'community %'!$T$71,'caseload data'!$D:$D,"PSO",'caseload data'!$B:$B,{"licence","community"}))/SUM(SUMIFS('caseload data'!N:N,'caseload data'!$B:$B,{"licence","community"},'caseload data'!$C:$C,'community %'!$T$71)),"")</f>
        <v/>
      </c>
      <c r="AE74" s="167" t="str" cm="1">
        <f t="array" ref="AE74">IFERROR(SUM(SUMIFS('caseload data'!O:O,'caseload data'!$C:$C,'community %'!$T$71,'caseload data'!$D:$D,"PSO",'caseload data'!$B:$B,{"licence","community"}))/SUM(SUMIFS('caseload data'!O:O,'caseload data'!$B:$B,{"licence","community"},'caseload data'!$C:$C,'community %'!$T$71)),"")</f>
        <v/>
      </c>
      <c r="AF74" s="167" t="str" cm="1">
        <f t="array" ref="AF74">IFERROR(SUM(SUMIFS('caseload data'!P:P,'caseload data'!$C:$C,'community %'!$T$71,'caseload data'!$D:$D,"PSO",'caseload data'!$B:$B,{"licence","community"}))/SUM(SUMIFS('caseload data'!P:P,'caseload data'!$B:$B,{"licence","community"},'caseload data'!$C:$C,'community %'!$T$71)),"")</f>
        <v/>
      </c>
      <c r="AG74" s="167" t="str" cm="1">
        <f t="array" ref="AG74">IFERROR(SUM(SUMIFS('caseload data'!Q:Q,'caseload data'!$C:$C,'community %'!$T$71,'caseload data'!$D:$D,"PSO",'caseload data'!$B:$B,{"licence","community"}))/SUM(SUMIFS('caseload data'!Q:Q,'caseload data'!$B:$B,{"licence","community"},'caseload data'!$C:$C,'community %'!$T$71)),"")</f>
        <v/>
      </c>
      <c r="AH74" s="167" t="str" cm="1">
        <f t="array" ref="AH74">IFERROR(SUM(SUMIFS('caseload data'!R:R,'caseload data'!$C:$C,'community %'!$T$71,'caseload data'!$D:$D,"PSO",'caseload data'!$B:$B,{"licence","community"}))/SUM(SUMIFS('caseload data'!R:R,'caseload data'!$B:$B,{"licence","community"},'caseload data'!$C:$C,'community %'!$T$71)),"")</f>
        <v/>
      </c>
      <c r="AI74" s="167" t="str" cm="1">
        <f t="array" ref="AI74">IFERROR(SUM(SUMIFS('caseload data'!S:S,'caseload data'!$C:$C,'community %'!$T$71,'caseload data'!$D:$D,"PSO",'caseload data'!$B:$B,{"licence","community"}))/SUM(SUMIFS('caseload data'!S:S,'caseload data'!$B:$B,{"licence","community"},'caseload data'!$C:$C,'community %'!$T$71)),"")</f>
        <v/>
      </c>
      <c r="AJ74" s="167" t="str" cm="1">
        <f t="array" ref="AJ74">IFERROR(SUM(SUMIFS('caseload data'!T:T,'caseload data'!$C:$C,'community %'!$T$71,'caseload data'!$D:$D,"PSO",'caseload data'!$B:$B,{"licence","community"}))/SUM(SUMIFS('caseload data'!T:T,'caseload data'!$B:$B,{"licence","community"},'caseload data'!$C:$C,'community %'!$T$71)),"")</f>
        <v/>
      </c>
    </row>
    <row r="75" spans="2:36" x14ac:dyDescent="0.15">
      <c r="B75" s="97" t="s">
        <v>1003</v>
      </c>
      <c r="C75" s="167" t="str">
        <f>IFERROR(SUM(SUMIFS('caseload data'!E:E,'caseload data'!$C:$C,'community %'!$B$71,'caseload data'!$D:$D,"TPO",'caseload data'!$B:$B,{"licence","community"}))/SUM(SUMIFS('caseload data'!E:E,'caseload data'!$B:$B,{"licence","community"},'caseload data'!$C:$C,'community %'!$B$71)),"")</f>
        <v/>
      </c>
      <c r="D75" s="167" t="str">
        <f>IFERROR(SUM(SUMIFS('caseload data'!F:F,'caseload data'!$C:$C,'community %'!$B$71,'caseload data'!$D:$D,"TPO",'caseload data'!$B:$B,{"licence","community"}))/SUM(SUMIFS('caseload data'!F:F,'caseload data'!$B:$B,{"licence","community"},'caseload data'!$C:$C,'community %'!$B$71)),"")</f>
        <v/>
      </c>
      <c r="E75" s="167" t="str">
        <f>IFERROR(SUM(SUMIFS('caseload data'!G:G,'caseload data'!$C:$C,'community %'!$B$71,'caseload data'!$D:$D,"TPO",'caseload data'!$B:$B,{"licence","community"}))/SUM(SUMIFS('caseload data'!G:G,'caseload data'!$B:$B,{"licence","community"},'caseload data'!$C:$C,'community %'!$B$71)),"")</f>
        <v/>
      </c>
      <c r="F75" s="167" t="str">
        <f>IFERROR(SUM(SUMIFS('caseload data'!H:H,'caseload data'!$C:$C,'community %'!$B$71,'caseload data'!$D:$D,"TPO",'caseload data'!$B:$B,{"licence","community"}))/SUM(SUMIFS('caseload data'!H:H,'caseload data'!$B:$B,{"licence","community"},'caseload data'!$C:$C,'community %'!$B$71)),"")</f>
        <v/>
      </c>
      <c r="G75" s="167" t="str">
        <f>IFERROR(SUM(SUMIFS('caseload data'!I:I,'caseload data'!$C:$C,'community %'!$B$71,'caseload data'!$D:$D,"TPO",'caseload data'!$B:$B,{"licence","community"}))/SUM(SUMIFS('caseload data'!I:I,'caseload data'!$B:$B,{"licence","community"},'caseload data'!$C:$C,'community %'!$B$71)),"")</f>
        <v/>
      </c>
      <c r="H75" s="167" t="str">
        <f>IFERROR(SUM(SUMIFS('caseload data'!J:J,'caseload data'!$C:$C,'community %'!$B$71,'caseload data'!$D:$D,"TPO",'caseload data'!$B:$B,{"licence","community"}))/SUM(SUMIFS('caseload data'!J:J,'caseload data'!$B:$B,{"licence","community"},'caseload data'!$C:$C,'community %'!$B$71)),"")</f>
        <v/>
      </c>
      <c r="I75" s="167" t="str">
        <f>IFERROR(SUM(SUMIFS('caseload data'!K:K,'caseload data'!$C:$C,'community %'!$B$71,'caseload data'!$D:$D,"TPO",'caseload data'!$B:$B,{"licence","community"}))/SUM(SUMIFS('caseload data'!K:K,'caseload data'!$B:$B,{"licence","community"},'caseload data'!$C:$C,'community %'!$B$71)),"")</f>
        <v/>
      </c>
      <c r="J75" s="167" t="str">
        <f>IFERROR(SUM(SUMIFS('caseload data'!L:L,'caseload data'!$C:$C,'community %'!$B$71,'caseload data'!$D:$D,"TPO",'caseload data'!$B:$B,{"licence","community"}))/SUM(SUMIFS('caseload data'!L:L,'caseload data'!$B:$B,{"licence","community"},'caseload data'!$C:$C,'community %'!$B$71)),"")</f>
        <v/>
      </c>
      <c r="K75" s="167" t="str">
        <f>IFERROR(SUM(SUMIFS('caseload data'!M:M,'caseload data'!$C:$C,'community %'!$B$71,'caseload data'!$D:$D,"TPO",'caseload data'!$B:$B,{"licence","community"}))/SUM(SUMIFS('caseload data'!M:M,'caseload data'!$B:$B,{"licence","community"},'caseload data'!$C:$C,'community %'!$B$71)),"")</f>
        <v/>
      </c>
      <c r="L75" s="167" t="str">
        <f>IFERROR(SUM(SUMIFS('caseload data'!N:N,'caseload data'!$C:$C,'community %'!$B$71,'caseload data'!$D:$D,"TPO",'caseload data'!$B:$B,{"licence","community"}))/SUM(SUMIFS('caseload data'!N:N,'caseload data'!$B:$B,{"licence","community"},'caseload data'!$C:$C,'community %'!$B$71)),"")</f>
        <v/>
      </c>
      <c r="M75" s="167" t="str">
        <f>IFERROR(SUM(SUMIFS('caseload data'!O:O,'caseload data'!$C:$C,'community %'!$B$71,'caseload data'!$D:$D,"TPO",'caseload data'!$B:$B,{"licence","community"}))/SUM(SUMIFS('caseload data'!O:O,'caseload data'!$B:$B,{"licence","community"},'caseload data'!$C:$C,'community %'!$B$71)),"")</f>
        <v/>
      </c>
      <c r="N75" s="167" t="str">
        <f>IFERROR(SUM(SUMIFS('caseload data'!P:P,'caseload data'!$C:$C,'community %'!$B$71,'caseload data'!$D:$D,"TPO",'caseload data'!$B:$B,{"licence","community"}))/SUM(SUMIFS('caseload data'!P:P,'caseload data'!$B:$B,{"licence","community"},'caseload data'!$C:$C,'community %'!$B$71)),"")</f>
        <v/>
      </c>
      <c r="O75" s="167" t="str">
        <f>IFERROR(SUM(SUMIFS('caseload data'!Q:Q,'caseload data'!$C:$C,'community %'!$B$71,'caseload data'!$D:$D,"TPO",'caseload data'!$B:$B,{"licence","community"}))/SUM(SUMIFS('caseload data'!Q:Q,'caseload data'!$B:$B,{"licence","community"},'caseload data'!$C:$C,'community %'!$B$71)),"")</f>
        <v/>
      </c>
      <c r="P75" s="167" t="str">
        <f>IFERROR(SUM(SUMIFS('caseload data'!R:R,'caseload data'!$C:$C,'community %'!$B$71,'caseload data'!$D:$D,"TPO",'caseload data'!$B:$B,{"licence","community"}))/SUM(SUMIFS('caseload data'!R:R,'caseload data'!$B:$B,{"licence","community"},'caseload data'!$C:$C,'community %'!$B$71)),"")</f>
        <v/>
      </c>
      <c r="Q75" s="167" t="str">
        <f>IFERROR(SUM(SUMIFS('caseload data'!S:S,'caseload data'!$C:$C,'community %'!$B$71,'caseload data'!$D:$D,"TPO",'caseload data'!$B:$B,{"licence","community"}))/SUM(SUMIFS('caseload data'!S:S,'caseload data'!$B:$B,{"licence","community"},'caseload data'!$C:$C,'community %'!$B$71)),"")</f>
        <v/>
      </c>
      <c r="R75" s="167" t="str">
        <f>IFERROR(SUM(SUMIFS('caseload data'!T:T,'caseload data'!$C:$C,'community %'!$B$71,'caseload data'!$D:$D,"TPO",'caseload data'!$B:$B,{"licence","community"}))/SUM(SUMIFS('caseload data'!T:T,'caseload data'!$B:$B,{"licence","community"},'caseload data'!$C:$C,'community %'!$B$71)),"")</f>
        <v/>
      </c>
      <c r="T75" s="97" t="s">
        <v>1003</v>
      </c>
      <c r="U75" s="167" t="str" cm="1">
        <f t="array" ref="U75">IFERROR(SUM(SUMIFS('caseload data'!E:E,'caseload data'!$C:$C,'community %'!$T$71,'caseload data'!$D:$D,"TPO",'caseload data'!$B:$B,{"licence","community"}))/SUM(SUMIFS('caseload data'!E:E,'caseload data'!$B:$B,{"licence","community"},'caseload data'!$C:$C,'community %'!$T$71)),"")</f>
        <v/>
      </c>
      <c r="V75" s="167" t="str" cm="1">
        <f t="array" ref="V75">IFERROR(SUM(SUMIFS('caseload data'!F:F,'caseload data'!$C:$C,'community %'!$T$71,'caseload data'!$D:$D,"TPO",'caseload data'!$B:$B,{"licence","community"}))/SUM(SUMIFS('caseload data'!F:F,'caseload data'!$B:$B,{"licence","community"},'caseload data'!$C:$C,'community %'!$T$71)),"")</f>
        <v/>
      </c>
      <c r="W75" s="167" t="str" cm="1">
        <f t="array" ref="W75">IFERROR(SUM(SUMIFS('caseload data'!G:G,'caseload data'!$C:$C,'community %'!$T$71,'caseload data'!$D:$D,"TPO",'caseload data'!$B:$B,{"licence","community"}))/SUM(SUMIFS('caseload data'!G:G,'caseload data'!$B:$B,{"licence","community"},'caseload data'!$C:$C,'community %'!$T$71)),"")</f>
        <v/>
      </c>
      <c r="X75" s="167" t="str" cm="1">
        <f t="array" ref="X75">IFERROR(SUM(SUMIFS('caseload data'!H:H,'caseload data'!$C:$C,'community %'!$T$71,'caseload data'!$D:$D,"TPO",'caseload data'!$B:$B,{"licence","community"}))/SUM(SUMIFS('caseload data'!H:H,'caseload data'!$B:$B,{"licence","community"},'caseload data'!$C:$C,'community %'!$T$71)),"")</f>
        <v/>
      </c>
      <c r="Y75" s="167" t="str" cm="1">
        <f t="array" ref="Y75">IFERROR(SUM(SUMIFS('caseload data'!I:I,'caseload data'!$C:$C,'community %'!$T$71,'caseload data'!$D:$D,"TPO",'caseload data'!$B:$B,{"licence","community"}))/SUM(SUMIFS('caseload data'!I:I,'caseload data'!$B:$B,{"licence","community"},'caseload data'!$C:$C,'community %'!$T$71)),"")</f>
        <v/>
      </c>
      <c r="Z75" s="167" t="str" cm="1">
        <f t="array" ref="Z75">IFERROR(SUM(SUMIFS('caseload data'!J:J,'caseload data'!$C:$C,'community %'!$T$71,'caseload data'!$D:$D,"TPO",'caseload data'!$B:$B,{"licence","community"}))/SUM(SUMIFS('caseload data'!J:J,'caseload data'!$B:$B,{"licence","community"},'caseload data'!$C:$C,'community %'!$T$71)),"")</f>
        <v/>
      </c>
      <c r="AA75" s="167" t="str" cm="1">
        <f t="array" ref="AA75">IFERROR(SUM(SUMIFS('caseload data'!K:K,'caseload data'!$C:$C,'community %'!$T$71,'caseload data'!$D:$D,"TPO",'caseload data'!$B:$B,{"licence","community"}))/SUM(SUMIFS('caseload data'!K:K,'caseload data'!$B:$B,{"licence","community"},'caseload data'!$C:$C,'community %'!$T$71)),"")</f>
        <v/>
      </c>
      <c r="AB75" s="167" t="str" cm="1">
        <f t="array" ref="AB75">IFERROR(SUM(SUMIFS('caseload data'!L:L,'caseload data'!$C:$C,'community %'!$T$71,'caseload data'!$D:$D,"TPO",'caseload data'!$B:$B,{"licence","community"}))/SUM(SUMIFS('caseload data'!L:L,'caseload data'!$B:$B,{"licence","community"},'caseload data'!$C:$C,'community %'!$T$71)),"")</f>
        <v/>
      </c>
      <c r="AC75" s="167" t="str" cm="1">
        <f t="array" ref="AC75">IFERROR(SUM(SUMIFS('caseload data'!M:M,'caseload data'!$C:$C,'community %'!$T$71,'caseload data'!$D:$D,"TPO",'caseload data'!$B:$B,{"licence","community"}))/SUM(SUMIFS('caseload data'!M:M,'caseload data'!$B:$B,{"licence","community"},'caseload data'!$C:$C,'community %'!$T$71)),"")</f>
        <v/>
      </c>
      <c r="AD75" s="167" t="str" cm="1">
        <f t="array" ref="AD75">IFERROR(SUM(SUMIFS('caseload data'!N:N,'caseload data'!$C:$C,'community %'!$T$71,'caseload data'!$D:$D,"TPO",'caseload data'!$B:$B,{"licence","community"}))/SUM(SUMIFS('caseload data'!N:N,'caseload data'!$B:$B,{"licence","community"},'caseload data'!$C:$C,'community %'!$T$71)),"")</f>
        <v/>
      </c>
      <c r="AE75" s="167" t="str" cm="1">
        <f t="array" ref="AE75">IFERROR(SUM(SUMIFS('caseload data'!O:O,'caseload data'!$C:$C,'community %'!$T$71,'caseload data'!$D:$D,"TPO",'caseload data'!$B:$B,{"licence","community"}))/SUM(SUMIFS('caseload data'!O:O,'caseload data'!$B:$B,{"licence","community"},'caseload data'!$C:$C,'community %'!$T$71)),"")</f>
        <v/>
      </c>
      <c r="AF75" s="167" t="str" cm="1">
        <f t="array" ref="AF75">IFERROR(SUM(SUMIFS('caseload data'!P:P,'caseload data'!$C:$C,'community %'!$T$71,'caseload data'!$D:$D,"TPO",'caseload data'!$B:$B,{"licence","community"}))/SUM(SUMIFS('caseload data'!P:P,'caseload data'!$B:$B,{"licence","community"},'caseload data'!$C:$C,'community %'!$T$71)),"")</f>
        <v/>
      </c>
      <c r="AG75" s="167" t="str" cm="1">
        <f t="array" ref="AG75">IFERROR(SUM(SUMIFS('caseload data'!Q:Q,'caseload data'!$C:$C,'community %'!$T$71,'caseload data'!$D:$D,"TPO",'caseload data'!$B:$B,{"licence","community"}))/SUM(SUMIFS('caseload data'!Q:Q,'caseload data'!$B:$B,{"licence","community"},'caseload data'!$C:$C,'community %'!$T$71)),"")</f>
        <v/>
      </c>
      <c r="AH75" s="167" t="str" cm="1">
        <f t="array" ref="AH75">IFERROR(SUM(SUMIFS('caseload data'!R:R,'caseload data'!$C:$C,'community %'!$T$71,'caseload data'!$D:$D,"TPO",'caseload data'!$B:$B,{"licence","community"}))/SUM(SUMIFS('caseload data'!R:R,'caseload data'!$B:$B,{"licence","community"},'caseload data'!$C:$C,'community %'!$T$71)),"")</f>
        <v/>
      </c>
      <c r="AI75" s="167" t="str" cm="1">
        <f t="array" ref="AI75">IFERROR(SUM(SUMIFS('caseload data'!S:S,'caseload data'!$C:$C,'community %'!$T$71,'caseload data'!$D:$D,"TPO",'caseload data'!$B:$B,{"licence","community"}))/SUM(SUMIFS('caseload data'!S:S,'caseload data'!$B:$B,{"licence","community"},'caseload data'!$C:$C,'community %'!$T$71)),"")</f>
        <v/>
      </c>
      <c r="AJ75" s="167" t="str" cm="1">
        <f t="array" ref="AJ75">IFERROR(SUM(SUMIFS('caseload data'!T:T,'caseload data'!$C:$C,'community %'!$T$71,'caseload data'!$D:$D,"TPO",'caseload data'!$B:$B,{"licence","community"}))/SUM(SUMIFS('caseload data'!T:T,'caseload data'!$B:$B,{"licence","community"},'caseload data'!$C:$C,'community %'!$T$71)),"")</f>
        <v/>
      </c>
    </row>
    <row r="76" spans="2:36" x14ac:dyDescent="0.15">
      <c r="B76" s="98" t="s">
        <v>1004</v>
      </c>
      <c r="C76" s="167" t="str">
        <f>IFERROR(SUM(SUMIFS('caseload data'!E:E,'caseload data'!$C:$C,'community %'!$B$71,'caseload data'!$D:$D,"SPO",'caseload data'!$B:$B,{"licence","community"}))/SUM(SUMIFS('caseload data'!E:E,'caseload data'!$B:$B,{"licence","community"},'caseload data'!$C:$C,'community %'!$B$71)),"")</f>
        <v/>
      </c>
      <c r="D76" s="167" t="str">
        <f>IFERROR(SUM(SUMIFS('caseload data'!F:F,'caseload data'!$C:$C,'community %'!$B$71,'caseload data'!$D:$D,"SPO",'caseload data'!$B:$B,{"licence","community"}))/SUM(SUMIFS('caseload data'!F:F,'caseload data'!$B:$B,{"licence","community"},'caseload data'!$C:$C,'community %'!$B$71)),"")</f>
        <v/>
      </c>
      <c r="E76" s="167" t="str">
        <f>IFERROR(SUM(SUMIFS('caseload data'!G:G,'caseload data'!$C:$C,'community %'!$B$71,'caseload data'!$D:$D,"SPO",'caseload data'!$B:$B,{"licence","community"}))/SUM(SUMIFS('caseload data'!G:G,'caseload data'!$B:$B,{"licence","community"},'caseload data'!$C:$C,'community %'!$B$71)),"")</f>
        <v/>
      </c>
      <c r="F76" s="167" t="str">
        <f>IFERROR(SUM(SUMIFS('caseload data'!H:H,'caseload data'!$C:$C,'community %'!$B$71,'caseload data'!$D:$D,"SPO",'caseload data'!$B:$B,{"licence","community"}))/SUM(SUMIFS('caseload data'!H:H,'caseload data'!$B:$B,{"licence","community"},'caseload data'!$C:$C,'community %'!$B$71)),"")</f>
        <v/>
      </c>
      <c r="G76" s="167" t="str">
        <f>IFERROR(SUM(SUMIFS('caseload data'!I:I,'caseload data'!$C:$C,'community %'!$B$71,'caseload data'!$D:$D,"SPO",'caseload data'!$B:$B,{"licence","community"}))/SUM(SUMIFS('caseload data'!I:I,'caseload data'!$B:$B,{"licence","community"},'caseload data'!$C:$C,'community %'!$B$71)),"")</f>
        <v/>
      </c>
      <c r="H76" s="167" t="str">
        <f>IFERROR(SUM(SUMIFS('caseload data'!J:J,'caseload data'!$C:$C,'community %'!$B$71,'caseload data'!$D:$D,"SPO",'caseload data'!$B:$B,{"licence","community"}))/SUM(SUMIFS('caseload data'!J:J,'caseload data'!$B:$B,{"licence","community"},'caseload data'!$C:$C,'community %'!$B$71)),"")</f>
        <v/>
      </c>
      <c r="I76" s="167" t="str">
        <f>IFERROR(SUM(SUMIFS('caseload data'!K:K,'caseload data'!$C:$C,'community %'!$B$71,'caseload data'!$D:$D,"SPO",'caseload data'!$B:$B,{"licence","community"}))/SUM(SUMIFS('caseload data'!K:K,'caseload data'!$B:$B,{"licence","community"},'caseload data'!$C:$C,'community %'!$B$71)),"")</f>
        <v/>
      </c>
      <c r="J76" s="167" t="str">
        <f>IFERROR(SUM(SUMIFS('caseload data'!L:L,'caseload data'!$C:$C,'community %'!$B$71,'caseload data'!$D:$D,"SPO",'caseload data'!$B:$B,{"licence","community"}))/SUM(SUMIFS('caseload data'!L:L,'caseload data'!$B:$B,{"licence","community"},'caseload data'!$C:$C,'community %'!$B$71)),"")</f>
        <v/>
      </c>
      <c r="K76" s="167" t="str">
        <f>IFERROR(SUM(SUMIFS('caseload data'!M:M,'caseload data'!$C:$C,'community %'!$B$71,'caseload data'!$D:$D,"SPO",'caseload data'!$B:$B,{"licence","community"}))/SUM(SUMIFS('caseload data'!M:M,'caseload data'!$B:$B,{"licence","community"},'caseload data'!$C:$C,'community %'!$B$71)),"")</f>
        <v/>
      </c>
      <c r="L76" s="167" t="str">
        <f>IFERROR(SUM(SUMIFS('caseload data'!N:N,'caseload data'!$C:$C,'community %'!$B$71,'caseload data'!$D:$D,"SPO",'caseload data'!$B:$B,{"licence","community"}))/SUM(SUMIFS('caseload data'!N:N,'caseload data'!$B:$B,{"licence","community"},'caseload data'!$C:$C,'community %'!$B$71)),"")</f>
        <v/>
      </c>
      <c r="M76" s="167" t="str">
        <f>IFERROR(SUM(SUMIFS('caseload data'!O:O,'caseload data'!$C:$C,'community %'!$B$71,'caseload data'!$D:$D,"SPO",'caseload data'!$B:$B,{"licence","community"}))/SUM(SUMIFS('caseload data'!O:O,'caseload data'!$B:$B,{"licence","community"},'caseload data'!$C:$C,'community %'!$B$71)),"")</f>
        <v/>
      </c>
      <c r="N76" s="167" t="str">
        <f>IFERROR(SUM(SUMIFS('caseload data'!P:P,'caseload data'!$C:$C,'community %'!$B$71,'caseload data'!$D:$D,"SPO",'caseload data'!$B:$B,{"licence","community"}))/SUM(SUMIFS('caseload data'!P:P,'caseload data'!$B:$B,{"licence","community"},'caseload data'!$C:$C,'community %'!$B$71)),"")</f>
        <v/>
      </c>
      <c r="O76" s="167" t="str">
        <f>IFERROR(SUM(SUMIFS('caseload data'!Q:Q,'caseload data'!$C:$C,'community %'!$B$71,'caseload data'!$D:$D,"SPO",'caseload data'!$B:$B,{"licence","community"}))/SUM(SUMIFS('caseload data'!Q:Q,'caseload data'!$B:$B,{"licence","community"},'caseload data'!$C:$C,'community %'!$B$71)),"")</f>
        <v/>
      </c>
      <c r="P76" s="167" t="str">
        <f>IFERROR(SUM(SUMIFS('caseload data'!R:R,'caseload data'!$C:$C,'community %'!$B$71,'caseload data'!$D:$D,"SPO",'caseload data'!$B:$B,{"licence","community"}))/SUM(SUMIFS('caseload data'!R:R,'caseload data'!$B:$B,{"licence","community"},'caseload data'!$C:$C,'community %'!$B$71)),"")</f>
        <v/>
      </c>
      <c r="Q76" s="167" t="str">
        <f>IFERROR(SUM(SUMIFS('caseload data'!S:S,'caseload data'!$C:$C,'community %'!$B$71,'caseload data'!$D:$D,"SPO",'caseload data'!$B:$B,{"licence","community"}))/SUM(SUMIFS('caseload data'!S:S,'caseload data'!$B:$B,{"licence","community"},'caseload data'!$C:$C,'community %'!$B$71)),"")</f>
        <v/>
      </c>
      <c r="R76" s="167" t="str">
        <f>IFERROR(SUM(SUMIFS('caseload data'!T:T,'caseload data'!$C:$C,'community %'!$B$71,'caseload data'!$D:$D,"SPO",'caseload data'!$B:$B,{"licence","community"}))/SUM(SUMIFS('caseload data'!T:T,'caseload data'!$B:$B,{"licence","community"},'caseload data'!$C:$C,'community %'!$B$71)),"")</f>
        <v/>
      </c>
      <c r="T76" s="98" t="s">
        <v>1004</v>
      </c>
      <c r="U76" s="167" t="str" cm="1">
        <f t="array" ref="U76">IFERROR(SUM(SUMIFS('caseload data'!E:E,'caseload data'!$C:$C,'community %'!$T$71,'caseload data'!$D:$D,"SPO",'caseload data'!$B:$B,{"licence","community"}))/SUM(SUMIFS('caseload data'!E:E,'caseload data'!$B:$B,{"licence","community"},'caseload data'!$C:$C,'community %'!$T$71)),"")</f>
        <v/>
      </c>
      <c r="V76" s="167" t="str" cm="1">
        <f t="array" ref="V76">IFERROR(SUM(SUMIFS('caseload data'!F:F,'caseload data'!$C:$C,'community %'!$T$71,'caseload data'!$D:$D,"SPO",'caseload data'!$B:$B,{"licence","community"}))/SUM(SUMIFS('caseload data'!F:F,'caseload data'!$B:$B,{"licence","community"},'caseload data'!$C:$C,'community %'!$T$71)),"")</f>
        <v/>
      </c>
      <c r="W76" s="167" t="str" cm="1">
        <f t="array" ref="W76">IFERROR(SUM(SUMIFS('caseload data'!G:G,'caseload data'!$C:$C,'community %'!$T$71,'caseload data'!$D:$D,"SPO",'caseload data'!$B:$B,{"licence","community"}))/SUM(SUMIFS('caseload data'!G:G,'caseload data'!$B:$B,{"licence","community"},'caseload data'!$C:$C,'community %'!$T$71)),"")</f>
        <v/>
      </c>
      <c r="X76" s="167" t="str" cm="1">
        <f t="array" ref="X76">IFERROR(SUM(SUMIFS('caseload data'!H:H,'caseload data'!$C:$C,'community %'!$T$71,'caseload data'!$D:$D,"SPO",'caseload data'!$B:$B,{"licence","community"}))/SUM(SUMIFS('caseload data'!H:H,'caseload data'!$B:$B,{"licence","community"},'caseload data'!$C:$C,'community %'!$T$71)),"")</f>
        <v/>
      </c>
      <c r="Y76" s="167" t="str" cm="1">
        <f t="array" ref="Y76">IFERROR(SUM(SUMIFS('caseload data'!I:I,'caseload data'!$C:$C,'community %'!$T$71,'caseload data'!$D:$D,"SPO",'caseload data'!$B:$B,{"licence","community"}))/SUM(SUMIFS('caseload data'!I:I,'caseload data'!$B:$B,{"licence","community"},'caseload data'!$C:$C,'community %'!$T$71)),"")</f>
        <v/>
      </c>
      <c r="Z76" s="167" t="str" cm="1">
        <f t="array" ref="Z76">IFERROR(SUM(SUMIFS('caseload data'!J:J,'caseload data'!$C:$C,'community %'!$T$71,'caseload data'!$D:$D,"SPO",'caseload data'!$B:$B,{"licence","community"}))/SUM(SUMIFS('caseload data'!J:J,'caseload data'!$B:$B,{"licence","community"},'caseload data'!$C:$C,'community %'!$T$71)),"")</f>
        <v/>
      </c>
      <c r="AA76" s="167" t="str" cm="1">
        <f t="array" ref="AA76">IFERROR(SUM(SUMIFS('caseload data'!K:K,'caseload data'!$C:$C,'community %'!$T$71,'caseload data'!$D:$D,"SPO",'caseload data'!$B:$B,{"licence","community"}))/SUM(SUMIFS('caseload data'!K:K,'caseload data'!$B:$B,{"licence","community"},'caseload data'!$C:$C,'community %'!$T$71)),"")</f>
        <v/>
      </c>
      <c r="AB76" s="167" t="str" cm="1">
        <f t="array" ref="AB76">IFERROR(SUM(SUMIFS('caseload data'!L:L,'caseload data'!$C:$C,'community %'!$T$71,'caseload data'!$D:$D,"SPO",'caseload data'!$B:$B,{"licence","community"}))/SUM(SUMIFS('caseload data'!L:L,'caseload data'!$B:$B,{"licence","community"},'caseload data'!$C:$C,'community %'!$T$71)),"")</f>
        <v/>
      </c>
      <c r="AC76" s="167" t="str" cm="1">
        <f t="array" ref="AC76">IFERROR(SUM(SUMIFS('caseload data'!M:M,'caseload data'!$C:$C,'community %'!$T$71,'caseload data'!$D:$D,"SPO",'caseload data'!$B:$B,{"licence","community"}))/SUM(SUMIFS('caseload data'!M:M,'caseload data'!$B:$B,{"licence","community"},'caseload data'!$C:$C,'community %'!$T$71)),"")</f>
        <v/>
      </c>
      <c r="AD76" s="167" t="str" cm="1">
        <f t="array" ref="AD76">IFERROR(SUM(SUMIFS('caseload data'!N:N,'caseload data'!$C:$C,'community %'!$T$71,'caseload data'!$D:$D,"SPO",'caseload data'!$B:$B,{"licence","community"}))/SUM(SUMIFS('caseload data'!N:N,'caseload data'!$B:$B,{"licence","community"},'caseload data'!$C:$C,'community %'!$T$71)),"")</f>
        <v/>
      </c>
      <c r="AE76" s="167" t="str" cm="1">
        <f t="array" ref="AE76">IFERROR(SUM(SUMIFS('caseload data'!O:O,'caseload data'!$C:$C,'community %'!$T$71,'caseload data'!$D:$D,"SPO",'caseload data'!$B:$B,{"licence","community"}))/SUM(SUMIFS('caseload data'!O:O,'caseload data'!$B:$B,{"licence","community"},'caseload data'!$C:$C,'community %'!$T$71)),"")</f>
        <v/>
      </c>
      <c r="AF76" s="167" t="str" cm="1">
        <f t="array" ref="AF76">IFERROR(SUM(SUMIFS('caseload data'!P:P,'caseload data'!$C:$C,'community %'!$T$71,'caseload data'!$D:$D,"SPO",'caseload data'!$B:$B,{"licence","community"}))/SUM(SUMIFS('caseload data'!P:P,'caseload data'!$B:$B,{"licence","community"},'caseload data'!$C:$C,'community %'!$T$71)),"")</f>
        <v/>
      </c>
      <c r="AG76" s="167" t="str" cm="1">
        <f t="array" ref="AG76">IFERROR(SUM(SUMIFS('caseload data'!Q:Q,'caseload data'!$C:$C,'community %'!$T$71,'caseload data'!$D:$D,"SPO",'caseload data'!$B:$B,{"licence","community"}))/SUM(SUMIFS('caseload data'!Q:Q,'caseload data'!$B:$B,{"licence","community"},'caseload data'!$C:$C,'community %'!$T$71)),"")</f>
        <v/>
      </c>
      <c r="AH76" s="167" t="str" cm="1">
        <f t="array" ref="AH76">IFERROR(SUM(SUMIFS('caseload data'!R:R,'caseload data'!$C:$C,'community %'!$T$71,'caseload data'!$D:$D,"SPO",'caseload data'!$B:$B,{"licence","community"}))/SUM(SUMIFS('caseload data'!R:R,'caseload data'!$B:$B,{"licence","community"},'caseload data'!$C:$C,'community %'!$T$71)),"")</f>
        <v/>
      </c>
      <c r="AI76" s="167" t="str" cm="1">
        <f t="array" ref="AI76">IFERROR(SUM(SUMIFS('caseload data'!S:S,'caseload data'!$C:$C,'community %'!$T$71,'caseload data'!$D:$D,"SPO",'caseload data'!$B:$B,{"licence","community"}))/SUM(SUMIFS('caseload data'!S:S,'caseload data'!$B:$B,{"licence","community"},'caseload data'!$C:$C,'community %'!$T$71)),"")</f>
        <v/>
      </c>
      <c r="AJ76" s="167" t="str" cm="1">
        <f t="array" ref="AJ76">IFERROR(SUM(SUMIFS('caseload data'!T:T,'caseload data'!$C:$C,'community %'!$T$71,'caseload data'!$D:$D,"SPO",'caseload data'!$B:$B,{"licence","community"}))/SUM(SUMIFS('caseload data'!T:T,'caseload data'!$B:$B,{"licence","community"},'caseload data'!$C:$C,'community %'!$T$71)),"")</f>
        <v/>
      </c>
    </row>
    <row r="78" spans="2:36" ht="24" customHeight="1" x14ac:dyDescent="0.15">
      <c r="B78" s="289">
        <f>HLOOKUP($B$5,Region_Table,22,0)</f>
        <v>0</v>
      </c>
      <c r="C78" s="509" t="s">
        <v>1134</v>
      </c>
      <c r="D78" s="510"/>
      <c r="E78" s="510"/>
      <c r="F78" s="510"/>
      <c r="G78" s="510"/>
      <c r="H78" s="510"/>
      <c r="I78" s="510"/>
      <c r="J78" s="510"/>
      <c r="K78" s="510"/>
      <c r="L78" s="510"/>
      <c r="M78" s="539"/>
      <c r="N78" s="539"/>
      <c r="O78" s="540"/>
      <c r="P78" s="512" cm="1">
        <f t="array" ref="P78">SUM(SUMIFS('caseload data'!V:V,'caseload data'!B:B,{"licence","community"},'caseload data'!$C:$C,B78))</f>
        <v>0</v>
      </c>
      <c r="Q78" s="529"/>
      <c r="R78" s="530"/>
      <c r="T78" s="289">
        <f>HLOOKUP($B$5,Region_Table,23,0)</f>
        <v>0</v>
      </c>
      <c r="U78" s="509" t="s">
        <v>1134</v>
      </c>
      <c r="V78" s="510"/>
      <c r="W78" s="510"/>
      <c r="X78" s="510"/>
      <c r="Y78" s="510"/>
      <c r="Z78" s="510"/>
      <c r="AA78" s="510"/>
      <c r="AB78" s="510"/>
      <c r="AC78" s="510"/>
      <c r="AD78" s="510"/>
      <c r="AE78" s="539"/>
      <c r="AF78" s="539"/>
      <c r="AG78" s="540"/>
      <c r="AH78" s="512" cm="1">
        <f t="array" ref="AH78">SUM(SUMIFS('caseload data'!V:V,'caseload data'!B:B,{"licence","community"},'caseload data'!$C:$C,T78))</f>
        <v>0</v>
      </c>
      <c r="AI78" s="529"/>
      <c r="AJ78" s="530"/>
    </row>
    <row r="79" spans="2:36" x14ac:dyDescent="0.15">
      <c r="B79" s="95" t="s">
        <v>1000</v>
      </c>
      <c r="C79" s="38" t="s">
        <v>864</v>
      </c>
      <c r="D79" s="38" t="s">
        <v>865</v>
      </c>
      <c r="E79" s="38" t="s">
        <v>866</v>
      </c>
      <c r="F79" s="38" t="s">
        <v>867</v>
      </c>
      <c r="G79" s="38" t="s">
        <v>868</v>
      </c>
      <c r="H79" s="38" t="s">
        <v>869</v>
      </c>
      <c r="I79" s="38" t="s">
        <v>870</v>
      </c>
      <c r="J79" s="38" t="s">
        <v>871</v>
      </c>
      <c r="K79" s="38" t="s">
        <v>872</v>
      </c>
      <c r="L79" s="38" t="s">
        <v>873</v>
      </c>
      <c r="M79" s="38" t="s">
        <v>874</v>
      </c>
      <c r="N79" s="38" t="s">
        <v>875</v>
      </c>
      <c r="O79" s="38" t="s">
        <v>876</v>
      </c>
      <c r="P79" s="38" t="s">
        <v>877</v>
      </c>
      <c r="Q79" s="38" t="s">
        <v>878</v>
      </c>
      <c r="R79" s="38" t="s">
        <v>879</v>
      </c>
      <c r="T79" s="95" t="s">
        <v>1000</v>
      </c>
      <c r="U79" s="38" t="s">
        <v>864</v>
      </c>
      <c r="V79" s="38" t="s">
        <v>865</v>
      </c>
      <c r="W79" s="38" t="s">
        <v>866</v>
      </c>
      <c r="X79" s="38" t="s">
        <v>867</v>
      </c>
      <c r="Y79" s="38" t="s">
        <v>868</v>
      </c>
      <c r="Z79" s="38" t="s">
        <v>869</v>
      </c>
      <c r="AA79" s="38" t="s">
        <v>870</v>
      </c>
      <c r="AB79" s="38" t="s">
        <v>871</v>
      </c>
      <c r="AC79" s="38" t="s">
        <v>872</v>
      </c>
      <c r="AD79" s="38" t="s">
        <v>873</v>
      </c>
      <c r="AE79" s="38" t="s">
        <v>874</v>
      </c>
      <c r="AF79" s="38" t="s">
        <v>875</v>
      </c>
      <c r="AG79" s="38" t="s">
        <v>876</v>
      </c>
      <c r="AH79" s="38" t="s">
        <v>877</v>
      </c>
      <c r="AI79" s="38" t="s">
        <v>878</v>
      </c>
      <c r="AJ79" s="38" t="s">
        <v>879</v>
      </c>
    </row>
    <row r="80" spans="2:36" x14ac:dyDescent="0.15">
      <c r="B80" s="96" t="s">
        <v>997</v>
      </c>
      <c r="C80" s="167" t="str" cm="1">
        <f t="array" ref="C80">IFERROR(SUM(SUMIFS('caseload data'!E:E,'caseload data'!$C:$C,'community %'!$B$78,'caseload data'!$D:$D,"PO",'caseload data'!$B:$B,{"licence","community"}))/SUM(SUMIFS('caseload data'!E:E,'caseload data'!$B:$B,{"licence","community"},'caseload data'!$C:$C,'community %'!$B$78)),"")</f>
        <v/>
      </c>
      <c r="D80" s="167" t="str" cm="1">
        <f t="array" ref="D80">IFERROR(SUM(SUMIFS('caseload data'!F:F,'caseload data'!$C:$C,'community %'!$B$78,'caseload data'!$D:$D,"PO",'caseload data'!$B:$B,{"licence","community"}))/SUM(SUMIFS('caseload data'!F:F,'caseload data'!$B:$B,{"licence","community"},'caseload data'!$C:$C,'community %'!$B$78)),"")</f>
        <v/>
      </c>
      <c r="E80" s="167" t="str" cm="1">
        <f t="array" ref="E80">IFERROR(SUM(SUMIFS('caseload data'!G:G,'caseload data'!$C:$C,'community %'!$B$78,'caseload data'!$D:$D,"PO",'caseload data'!$B:$B,{"licence","community"}))/SUM(SUMIFS('caseload data'!G:G,'caseload data'!$B:$B,{"licence","community"},'caseload data'!$C:$C,'community %'!$B$78)),"")</f>
        <v/>
      </c>
      <c r="F80" s="167" t="str" cm="1">
        <f t="array" ref="F80">IFERROR(SUM(SUMIFS('caseload data'!H:H,'caseload data'!$C:$C,'community %'!$B$78,'caseload data'!$D:$D,"PO",'caseload data'!$B:$B,{"licence","community"}))/SUM(SUMIFS('caseload data'!H:H,'caseload data'!$B:$B,{"licence","community"},'caseload data'!$C:$C,'community %'!$B$78)),"")</f>
        <v/>
      </c>
      <c r="G80" s="167" t="str" cm="1">
        <f t="array" ref="G80">IFERROR(SUM(SUMIFS('caseload data'!I:I,'caseload data'!$C:$C,'community %'!$B$78,'caseload data'!$D:$D,"PO",'caseload data'!$B:$B,{"licence","community"}))/SUM(SUMIFS('caseload data'!I:I,'caseload data'!$B:$B,{"licence","community"},'caseload data'!$C:$C,'community %'!$B$78)),"")</f>
        <v/>
      </c>
      <c r="H80" s="167" t="str" cm="1">
        <f t="array" ref="H80">IFERROR(SUM(SUMIFS('caseload data'!J:J,'caseload data'!$C:$C,'community %'!$B$78,'caseload data'!$D:$D,"PO",'caseload data'!$B:$B,{"licence","community"}))/SUM(SUMIFS('caseload data'!J:J,'caseload data'!$B:$B,{"licence","community"},'caseload data'!$C:$C,'community %'!$B$78)),"")</f>
        <v/>
      </c>
      <c r="I80" s="167" t="str" cm="1">
        <f t="array" ref="I80">IFERROR(SUM(SUMIFS('caseload data'!K:K,'caseload data'!$C:$C,'community %'!$B$78,'caseload data'!$D:$D,"PO",'caseload data'!$B:$B,{"licence","community"}))/SUM(SUMIFS('caseload data'!K:K,'caseload data'!$B:$B,{"licence","community"},'caseload data'!$C:$C,'community %'!$B$78)),"")</f>
        <v/>
      </c>
      <c r="J80" s="167" t="str" cm="1">
        <f t="array" ref="J80">IFERROR(SUM(SUMIFS('caseload data'!L:L,'caseload data'!$C:$C,'community %'!$B$78,'caseload data'!$D:$D,"PO",'caseload data'!$B:$B,{"licence","community"}))/SUM(SUMIFS('caseload data'!L:L,'caseload data'!$B:$B,{"licence","community"},'caseload data'!$C:$C,'community %'!$B$78)),"")</f>
        <v/>
      </c>
      <c r="K80" s="167" t="str" cm="1">
        <f t="array" ref="K80">IFERROR(SUM(SUMIFS('caseload data'!M:M,'caseload data'!$C:$C,'community %'!$B$78,'caseload data'!$D:$D,"PO",'caseload data'!$B:$B,{"licence","community"}))/SUM(SUMIFS('caseload data'!M:M,'caseload data'!$B:$B,{"licence","community"},'caseload data'!$C:$C,'community %'!$B$78)),"")</f>
        <v/>
      </c>
      <c r="L80" s="167" t="str" cm="1">
        <f t="array" ref="L80">IFERROR(SUM(SUMIFS('caseload data'!N:N,'caseload data'!$C:$C,'community %'!$B$78,'caseload data'!$D:$D,"PO",'caseload data'!$B:$B,{"licence","community"}))/SUM(SUMIFS('caseload data'!N:N,'caseload data'!$B:$B,{"licence","community"},'caseload data'!$C:$C,'community %'!$B$78)),"")</f>
        <v/>
      </c>
      <c r="M80" s="167" t="str" cm="1">
        <f t="array" ref="M80">IFERROR(SUM(SUMIFS('caseload data'!O:O,'caseload data'!$C:$C,'community %'!$B$78,'caseload data'!$D:$D,"PO",'caseload data'!$B:$B,{"licence","community"}))/SUM(SUMIFS('caseload data'!O:O,'caseload data'!$B:$B,{"licence","community"},'caseload data'!$C:$C,'community %'!$B$78)),"")</f>
        <v/>
      </c>
      <c r="N80" s="167" t="str" cm="1">
        <f t="array" ref="N80">IFERROR(SUM(SUMIFS('caseload data'!P:P,'caseload data'!$C:$C,'community %'!$B$78,'caseload data'!$D:$D,"PO",'caseload data'!$B:$B,{"licence","community"}))/SUM(SUMIFS('caseload data'!P:P,'caseload data'!$B:$B,{"licence","community"},'caseload data'!$C:$C,'community %'!$B$78)),"")</f>
        <v/>
      </c>
      <c r="O80" s="167" t="str" cm="1">
        <f t="array" ref="O80">IFERROR(SUM(SUMIFS('caseload data'!Q:Q,'caseload data'!$C:$C,'community %'!$B$78,'caseload data'!$D:$D,"PO",'caseload data'!$B:$B,{"licence","community"}))/SUM(SUMIFS('caseload data'!Q:Q,'caseload data'!$B:$B,{"licence","community"},'caseload data'!$C:$C,'community %'!$B$78)),"")</f>
        <v/>
      </c>
      <c r="P80" s="167" t="str" cm="1">
        <f t="array" ref="P80">IFERROR(SUM(SUMIFS('caseload data'!R:R,'caseload data'!$C:$C,'community %'!$B$78,'caseload data'!$D:$D,"PO",'caseload data'!$B:$B,{"licence","community"}))/SUM(SUMIFS('caseload data'!R:R,'caseload data'!$B:$B,{"licence","community"},'caseload data'!$C:$C,'community %'!$B$78)),"")</f>
        <v/>
      </c>
      <c r="Q80" s="167" t="str" cm="1">
        <f t="array" ref="Q80">IFERROR(SUM(SUMIFS('caseload data'!S:S,'caseload data'!$C:$C,'community %'!$B$78,'caseload data'!$D:$D,"PO",'caseload data'!$B:$B,{"licence","community"}))/SUM(SUMIFS('caseload data'!S:S,'caseload data'!$B:$B,{"licence","community"},'caseload data'!$C:$C,'community %'!$B$78)),"")</f>
        <v/>
      </c>
      <c r="R80" s="167" t="str" cm="1">
        <f t="array" ref="R80">IFERROR(SUM(SUMIFS('caseload data'!T:T,'caseload data'!$C:$C,'community %'!$B$78,'caseload data'!$D:$D,"PO",'caseload data'!$B:$B,{"licence","community"}))/SUM(SUMIFS('caseload data'!T:T,'caseload data'!$B:$B,{"licence","community"},'caseload data'!$C:$C,'community %'!$B$78)),"")</f>
        <v/>
      </c>
      <c r="T80" s="96" t="s">
        <v>997</v>
      </c>
      <c r="U80" s="167" t="str" cm="1">
        <f t="array" ref="U80">IFERROR(SUM(SUMIFS('caseload data'!E:E,'caseload data'!$C:$C,'community %'!$T$78,'caseload data'!$D:$D,"PO",'caseload data'!$B:$B,{"licence","community"}))/SUM(SUMIFS('caseload data'!E:E,'caseload data'!$B:$B,{"licence","community"},'caseload data'!$C:$C,'community %'!$T$78)),"")</f>
        <v/>
      </c>
      <c r="V80" s="167" t="str" cm="1">
        <f t="array" ref="V80">IFERROR(SUM(SUMIFS('caseload data'!F:F,'caseload data'!$C:$C,'community %'!$T$78,'caseload data'!$D:$D,"PO",'caseload data'!$B:$B,{"licence","community"}))/SUM(SUMIFS('caseload data'!F:F,'caseload data'!$B:$B,{"licence","community"},'caseload data'!$C:$C,'community %'!$T$78)),"")</f>
        <v/>
      </c>
      <c r="W80" s="167" t="str" cm="1">
        <f t="array" ref="W80">IFERROR(SUM(SUMIFS('caseload data'!G:G,'caseload data'!$C:$C,'community %'!$T$78,'caseload data'!$D:$D,"PO",'caseload data'!$B:$B,{"licence","community"}))/SUM(SUMIFS('caseload data'!G:G,'caseload data'!$B:$B,{"licence","community"},'caseload data'!$C:$C,'community %'!$T$78)),"")</f>
        <v/>
      </c>
      <c r="X80" s="167" t="str" cm="1">
        <f t="array" ref="X80">IFERROR(SUM(SUMIFS('caseload data'!H:H,'caseload data'!$C:$C,'community %'!$T$78,'caseload data'!$D:$D,"PO",'caseload data'!$B:$B,{"licence","community"}))/SUM(SUMIFS('caseload data'!H:H,'caseload data'!$B:$B,{"licence","community"},'caseload data'!$C:$C,'community %'!$T$78)),"")</f>
        <v/>
      </c>
      <c r="Y80" s="167" t="str" cm="1">
        <f t="array" ref="Y80">IFERROR(SUM(SUMIFS('caseload data'!I:I,'caseload data'!$C:$C,'community %'!$T$78,'caseload data'!$D:$D,"PO",'caseload data'!$B:$B,{"licence","community"}))/SUM(SUMIFS('caseload data'!I:I,'caseload data'!$B:$B,{"licence","community"},'caseload data'!$C:$C,'community %'!$T$78)),"")</f>
        <v/>
      </c>
      <c r="Z80" s="167" t="str" cm="1">
        <f t="array" ref="Z80">IFERROR(SUM(SUMIFS('caseload data'!J:J,'caseload data'!$C:$C,'community %'!$T$78,'caseload data'!$D:$D,"PO",'caseload data'!$B:$B,{"licence","community"}))/SUM(SUMIFS('caseload data'!J:J,'caseload data'!$B:$B,{"licence","community"},'caseload data'!$C:$C,'community %'!$T$78)),"")</f>
        <v/>
      </c>
      <c r="AA80" s="167" t="str" cm="1">
        <f t="array" ref="AA80">IFERROR(SUM(SUMIFS('caseload data'!K:K,'caseload data'!$C:$C,'community %'!$T$78,'caseload data'!$D:$D,"PO",'caseload data'!$B:$B,{"licence","community"}))/SUM(SUMIFS('caseload data'!K:K,'caseload data'!$B:$B,{"licence","community"},'caseload data'!$C:$C,'community %'!$T$78)),"")</f>
        <v/>
      </c>
      <c r="AB80" s="167" t="str" cm="1">
        <f t="array" ref="AB80">IFERROR(SUM(SUMIFS('caseload data'!L:L,'caseload data'!$C:$C,'community %'!$T$78,'caseload data'!$D:$D,"PO",'caseload data'!$B:$B,{"licence","community"}))/SUM(SUMIFS('caseload data'!L:L,'caseload data'!$B:$B,{"licence","community"},'caseload data'!$C:$C,'community %'!$T$78)),"")</f>
        <v/>
      </c>
      <c r="AC80" s="167" t="str" cm="1">
        <f t="array" ref="AC80">IFERROR(SUM(SUMIFS('caseload data'!M:M,'caseload data'!$C:$C,'community %'!$T$78,'caseload data'!$D:$D,"PO",'caseload data'!$B:$B,{"licence","community"}))/SUM(SUMIFS('caseload data'!M:M,'caseload data'!$B:$B,{"licence","community"},'caseload data'!$C:$C,'community %'!$T$78)),"")</f>
        <v/>
      </c>
      <c r="AD80" s="167" t="str" cm="1">
        <f t="array" ref="AD80">IFERROR(SUM(SUMIFS('caseload data'!N:N,'caseload data'!$C:$C,'community %'!$T$78,'caseload data'!$D:$D,"PO",'caseload data'!$B:$B,{"licence","community"}))/SUM(SUMIFS('caseload data'!N:N,'caseload data'!$B:$B,{"licence","community"},'caseload data'!$C:$C,'community %'!$T$78)),"")</f>
        <v/>
      </c>
      <c r="AE80" s="167" t="str" cm="1">
        <f t="array" ref="AE80">IFERROR(SUM(SUMIFS('caseload data'!O:O,'caseload data'!$C:$C,'community %'!$T$78,'caseload data'!$D:$D,"PO",'caseload data'!$B:$B,{"licence","community"}))/SUM(SUMIFS('caseload data'!O:O,'caseload data'!$B:$B,{"licence","community"},'caseload data'!$C:$C,'community %'!$T$78)),"")</f>
        <v/>
      </c>
      <c r="AF80" s="167" t="str" cm="1">
        <f t="array" ref="AF80">IFERROR(SUM(SUMIFS('caseload data'!P:P,'caseload data'!$C:$C,'community %'!$T$78,'caseload data'!$D:$D,"PO",'caseload data'!$B:$B,{"licence","community"}))/SUM(SUMIFS('caseload data'!P:P,'caseload data'!$B:$B,{"licence","community"},'caseload data'!$C:$C,'community %'!$T$78)),"")</f>
        <v/>
      </c>
      <c r="AG80" s="167" t="str" cm="1">
        <f t="array" ref="AG80">IFERROR(SUM(SUMIFS('caseload data'!Q:Q,'caseload data'!$C:$C,'community %'!$T$78,'caseload data'!$D:$D,"PO",'caseload data'!$B:$B,{"licence","community"}))/SUM(SUMIFS('caseload data'!Q:Q,'caseload data'!$B:$B,{"licence","community"},'caseload data'!$C:$C,'community %'!$T$78)),"")</f>
        <v/>
      </c>
      <c r="AH80" s="167" t="str" cm="1">
        <f t="array" ref="AH80">IFERROR(SUM(SUMIFS('caseload data'!R:R,'caseload data'!$C:$C,'community %'!$T$78,'caseload data'!$D:$D,"PO",'caseload data'!$B:$B,{"licence","community"}))/SUM(SUMIFS('caseload data'!R:R,'caseload data'!$B:$B,{"licence","community"},'caseload data'!$C:$C,'community %'!$T$78)),"")</f>
        <v/>
      </c>
      <c r="AI80" s="167" t="str" cm="1">
        <f t="array" ref="AI80">IFERROR(SUM(SUMIFS('caseload data'!S:S,'caseload data'!$C:$C,'community %'!$T$78,'caseload data'!$D:$D,"PO",'caseload data'!$B:$B,{"licence","community"}))/SUM(SUMIFS('caseload data'!S:S,'caseload data'!$B:$B,{"licence","community"},'caseload data'!$C:$C,'community %'!$T$78)),"")</f>
        <v/>
      </c>
      <c r="AJ80" s="167" t="str" cm="1">
        <f t="array" ref="AJ80">IFERROR(SUM(SUMIFS('caseload data'!T:T,'caseload data'!$C:$C,'community %'!$T$78,'caseload data'!$D:$D,"PO",'caseload data'!$B:$B,{"licence","community"}))/SUM(SUMIFS('caseload data'!T:T,'caseload data'!$B:$B,{"licence","community"},'caseload data'!$C:$C,'community %'!$T$78)),"")</f>
        <v/>
      </c>
    </row>
    <row r="81" spans="2:36" x14ac:dyDescent="0.15">
      <c r="B81" s="97" t="s">
        <v>1002</v>
      </c>
      <c r="C81" s="167" t="str" cm="1">
        <f t="array" ref="C81">IFERROR(SUM(SUMIFS('caseload data'!E:E,'caseload data'!$C:$C,'community %'!$B$78,'caseload data'!$D:$D,"PSO",'caseload data'!$B:$B,{"licence","community"}))/SUM(SUMIFS('caseload data'!E:E,'caseload data'!$B:$B,{"licence","community"},'caseload data'!$C:$C,'community %'!$B$78)),"")</f>
        <v/>
      </c>
      <c r="D81" s="167" t="str" cm="1">
        <f t="array" ref="D81">IFERROR(SUM(SUMIFS('caseload data'!F:F,'caseload data'!$C:$C,'community %'!$B$78,'caseload data'!$D:$D,"PSO",'caseload data'!$B:$B,{"licence","community"}))/SUM(SUMIFS('caseload data'!F:F,'caseload data'!$B:$B,{"licence","community"},'caseload data'!$C:$C,'community %'!$B$78)),"")</f>
        <v/>
      </c>
      <c r="E81" s="167" t="str" cm="1">
        <f t="array" ref="E81">IFERROR(SUM(SUMIFS('caseload data'!G:G,'caseload data'!$C:$C,'community %'!$B$78,'caseload data'!$D:$D,"PSO",'caseload data'!$B:$B,{"licence","community"}))/SUM(SUMIFS('caseload data'!G:G,'caseload data'!$B:$B,{"licence","community"},'caseload data'!$C:$C,'community %'!$B$78)),"")</f>
        <v/>
      </c>
      <c r="F81" s="167" t="str" cm="1">
        <f t="array" ref="F81">IFERROR(SUM(SUMIFS('caseload data'!H:H,'caseload data'!$C:$C,'community %'!$B$78,'caseload data'!$D:$D,"PSO",'caseload data'!$B:$B,{"licence","community"}))/SUM(SUMIFS('caseload data'!H:H,'caseload data'!$B:$B,{"licence","community"},'caseload data'!$C:$C,'community %'!$B$78)),"")</f>
        <v/>
      </c>
      <c r="G81" s="167" t="str" cm="1">
        <f t="array" ref="G81">IFERROR(SUM(SUMIFS('caseload data'!I:I,'caseload data'!$C:$C,'community %'!$B$78,'caseload data'!$D:$D,"PSO",'caseload data'!$B:$B,{"licence","community"}))/SUM(SUMIFS('caseload data'!I:I,'caseload data'!$B:$B,{"licence","community"},'caseload data'!$C:$C,'community %'!$B$78)),"")</f>
        <v/>
      </c>
      <c r="H81" s="167" t="str" cm="1">
        <f t="array" ref="H81">IFERROR(SUM(SUMIFS('caseload data'!J:J,'caseload data'!$C:$C,'community %'!$B$78,'caseload data'!$D:$D,"PSO",'caseload data'!$B:$B,{"licence","community"}))/SUM(SUMIFS('caseload data'!J:J,'caseload data'!$B:$B,{"licence","community"},'caseload data'!$C:$C,'community %'!$B$78)),"")</f>
        <v/>
      </c>
      <c r="I81" s="167" t="str" cm="1">
        <f t="array" ref="I81">IFERROR(SUM(SUMIFS('caseload data'!K:K,'caseload data'!$C:$C,'community %'!$B$78,'caseload data'!$D:$D,"PSO",'caseload data'!$B:$B,{"licence","community"}))/SUM(SUMIFS('caseload data'!K:K,'caseload data'!$B:$B,{"licence","community"},'caseload data'!$C:$C,'community %'!$B$78)),"")</f>
        <v/>
      </c>
      <c r="J81" s="167" t="str" cm="1">
        <f t="array" ref="J81">IFERROR(SUM(SUMIFS('caseload data'!L:L,'caseload data'!$C:$C,'community %'!$B$78,'caseload data'!$D:$D,"PSO",'caseload data'!$B:$B,{"licence","community"}))/SUM(SUMIFS('caseload data'!L:L,'caseload data'!$B:$B,{"licence","community"},'caseload data'!$C:$C,'community %'!$B$78)),"")</f>
        <v/>
      </c>
      <c r="K81" s="167" t="str" cm="1">
        <f t="array" ref="K81">IFERROR(SUM(SUMIFS('caseload data'!M:M,'caseload data'!$C:$C,'community %'!$B$78,'caseload data'!$D:$D,"PSO",'caseload data'!$B:$B,{"licence","community"}))/SUM(SUMIFS('caseload data'!M:M,'caseload data'!$B:$B,{"licence","community"},'caseload data'!$C:$C,'community %'!$B$78)),"")</f>
        <v/>
      </c>
      <c r="L81" s="167" t="str" cm="1">
        <f t="array" ref="L81">IFERROR(SUM(SUMIFS('caseload data'!N:N,'caseload data'!$C:$C,'community %'!$B$78,'caseload data'!$D:$D,"PSO",'caseload data'!$B:$B,{"licence","community"}))/SUM(SUMIFS('caseload data'!N:N,'caseload data'!$B:$B,{"licence","community"},'caseload data'!$C:$C,'community %'!$B$78)),"")</f>
        <v/>
      </c>
      <c r="M81" s="167" t="str" cm="1">
        <f t="array" ref="M81">IFERROR(SUM(SUMIFS('caseload data'!O:O,'caseload data'!$C:$C,'community %'!$B$78,'caseload data'!$D:$D,"PSO",'caseload data'!$B:$B,{"licence","community"}))/SUM(SUMIFS('caseload data'!O:O,'caseload data'!$B:$B,{"licence","community"},'caseload data'!$C:$C,'community %'!$B$78)),"")</f>
        <v/>
      </c>
      <c r="N81" s="167" t="str" cm="1">
        <f t="array" ref="N81">IFERROR(SUM(SUMIFS('caseload data'!P:P,'caseload data'!$C:$C,'community %'!$B$78,'caseload data'!$D:$D,"PSO",'caseload data'!$B:$B,{"licence","community"}))/SUM(SUMIFS('caseload data'!P:P,'caseload data'!$B:$B,{"licence","community"},'caseload data'!$C:$C,'community %'!$B$78)),"")</f>
        <v/>
      </c>
      <c r="O81" s="167" t="str" cm="1">
        <f t="array" ref="O81">IFERROR(SUM(SUMIFS('caseload data'!Q:Q,'caseload data'!$C:$C,'community %'!$B$78,'caseload data'!$D:$D,"PSO",'caseload data'!$B:$B,{"licence","community"}))/SUM(SUMIFS('caseload data'!Q:Q,'caseload data'!$B:$B,{"licence","community"},'caseload data'!$C:$C,'community %'!$B$78)),"")</f>
        <v/>
      </c>
      <c r="P81" s="167" t="str" cm="1">
        <f t="array" ref="P81">IFERROR(SUM(SUMIFS('caseload data'!R:R,'caseload data'!$C:$C,'community %'!$B$78,'caseload data'!$D:$D,"PSO",'caseload data'!$B:$B,{"licence","community"}))/SUM(SUMIFS('caseload data'!R:R,'caseload data'!$B:$B,{"licence","community"},'caseload data'!$C:$C,'community %'!$B$78)),"")</f>
        <v/>
      </c>
      <c r="Q81" s="167" t="str" cm="1">
        <f t="array" ref="Q81">IFERROR(SUM(SUMIFS('caseload data'!S:S,'caseload data'!$C:$C,'community %'!$B$78,'caseload data'!$D:$D,"PSO",'caseload data'!$B:$B,{"licence","community"}))/SUM(SUMIFS('caseload data'!S:S,'caseload data'!$B:$B,{"licence","community"},'caseload data'!$C:$C,'community %'!$B$78)),"")</f>
        <v/>
      </c>
      <c r="R81" s="167" t="str" cm="1">
        <f t="array" ref="R81">IFERROR(SUM(SUMIFS('caseload data'!T:T,'caseload data'!$C:$C,'community %'!$B$78,'caseload data'!$D:$D,"PSO",'caseload data'!$B:$B,{"licence","community"}))/SUM(SUMIFS('caseload data'!T:T,'caseload data'!$B:$B,{"licence","community"},'caseload data'!$C:$C,'community %'!$B$78)),"")</f>
        <v/>
      </c>
      <c r="T81" s="97" t="s">
        <v>1002</v>
      </c>
      <c r="U81" s="167" t="str" cm="1">
        <f t="array" ref="U81">IFERROR(SUM(SUMIFS('caseload data'!E:E,'caseload data'!$C:$C,'community %'!$T$78,'caseload data'!$D:$D,"PSO",'caseload data'!$B:$B,{"licence","community"}))/SUM(SUMIFS('caseload data'!E:E,'caseload data'!$B:$B,{"licence","community"},'caseload data'!$C:$C,'community %'!$T$78)),"")</f>
        <v/>
      </c>
      <c r="V81" s="167" t="str" cm="1">
        <f t="array" ref="V81">IFERROR(SUM(SUMIFS('caseload data'!F:F,'caseload data'!$C:$C,'community %'!$T$78,'caseload data'!$D:$D,"PSO",'caseload data'!$B:$B,{"licence","community"}))/SUM(SUMIFS('caseload data'!F:F,'caseload data'!$B:$B,{"licence","community"},'caseload data'!$C:$C,'community %'!$T$78)),"")</f>
        <v/>
      </c>
      <c r="W81" s="167" t="str" cm="1">
        <f t="array" ref="W81">IFERROR(SUM(SUMIFS('caseload data'!G:G,'caseload data'!$C:$C,'community %'!$T$78,'caseload data'!$D:$D,"PSO",'caseload data'!$B:$B,{"licence","community"}))/SUM(SUMIFS('caseload data'!G:G,'caseload data'!$B:$B,{"licence","community"},'caseload data'!$C:$C,'community %'!$T$78)),"")</f>
        <v/>
      </c>
      <c r="X81" s="167" t="str" cm="1">
        <f t="array" ref="X81">IFERROR(SUM(SUMIFS('caseload data'!H:H,'caseload data'!$C:$C,'community %'!$T$78,'caseload data'!$D:$D,"PSO",'caseload data'!$B:$B,{"licence","community"}))/SUM(SUMIFS('caseload data'!H:H,'caseload data'!$B:$B,{"licence","community"},'caseload data'!$C:$C,'community %'!$T$78)),"")</f>
        <v/>
      </c>
      <c r="Y81" s="167" t="str" cm="1">
        <f t="array" ref="Y81">IFERROR(SUM(SUMIFS('caseload data'!I:I,'caseload data'!$C:$C,'community %'!$T$78,'caseload data'!$D:$D,"PSO",'caseload data'!$B:$B,{"licence","community"}))/SUM(SUMIFS('caseload data'!I:I,'caseload data'!$B:$B,{"licence","community"},'caseload data'!$C:$C,'community %'!$T$78)),"")</f>
        <v/>
      </c>
      <c r="Z81" s="167" t="str" cm="1">
        <f t="array" ref="Z81">IFERROR(SUM(SUMIFS('caseload data'!J:J,'caseload data'!$C:$C,'community %'!$T$78,'caseload data'!$D:$D,"PSO",'caseload data'!$B:$B,{"licence","community"}))/SUM(SUMIFS('caseload data'!J:J,'caseload data'!$B:$B,{"licence","community"},'caseload data'!$C:$C,'community %'!$T$78)),"")</f>
        <v/>
      </c>
      <c r="AA81" s="167" t="str" cm="1">
        <f t="array" ref="AA81">IFERROR(SUM(SUMIFS('caseload data'!K:K,'caseload data'!$C:$C,'community %'!$T$78,'caseload data'!$D:$D,"PSO",'caseload data'!$B:$B,{"licence","community"}))/SUM(SUMIFS('caseload data'!K:K,'caseload data'!$B:$B,{"licence","community"},'caseload data'!$C:$C,'community %'!$T$78)),"")</f>
        <v/>
      </c>
      <c r="AB81" s="167" t="str" cm="1">
        <f t="array" ref="AB81">IFERROR(SUM(SUMIFS('caseload data'!L:L,'caseload data'!$C:$C,'community %'!$T$78,'caseload data'!$D:$D,"PSO",'caseload data'!$B:$B,{"licence","community"}))/SUM(SUMIFS('caseload data'!L:L,'caseload data'!$B:$B,{"licence","community"},'caseload data'!$C:$C,'community %'!$T$78)),"")</f>
        <v/>
      </c>
      <c r="AC81" s="167" t="str" cm="1">
        <f t="array" ref="AC81">IFERROR(SUM(SUMIFS('caseload data'!M:M,'caseload data'!$C:$C,'community %'!$T$78,'caseload data'!$D:$D,"PSO",'caseload data'!$B:$B,{"licence","community"}))/SUM(SUMIFS('caseload data'!M:M,'caseload data'!$B:$B,{"licence","community"},'caseload data'!$C:$C,'community %'!$T$78)),"")</f>
        <v/>
      </c>
      <c r="AD81" s="167" t="str" cm="1">
        <f t="array" ref="AD81">IFERROR(SUM(SUMIFS('caseload data'!N:N,'caseload data'!$C:$C,'community %'!$T$78,'caseload data'!$D:$D,"PSO",'caseload data'!$B:$B,{"licence","community"}))/SUM(SUMIFS('caseload data'!N:N,'caseload data'!$B:$B,{"licence","community"},'caseload data'!$C:$C,'community %'!$T$78)),"")</f>
        <v/>
      </c>
      <c r="AE81" s="167" t="str" cm="1">
        <f t="array" ref="AE81">IFERROR(SUM(SUMIFS('caseload data'!O:O,'caseload data'!$C:$C,'community %'!$T$78,'caseload data'!$D:$D,"PSO",'caseload data'!$B:$B,{"licence","community"}))/SUM(SUMIFS('caseload data'!O:O,'caseload data'!$B:$B,{"licence","community"},'caseload data'!$C:$C,'community %'!$T$78)),"")</f>
        <v/>
      </c>
      <c r="AF81" s="167" t="str" cm="1">
        <f t="array" ref="AF81">IFERROR(SUM(SUMIFS('caseload data'!P:P,'caseload data'!$C:$C,'community %'!$T$78,'caseload data'!$D:$D,"PSO",'caseload data'!$B:$B,{"licence","community"}))/SUM(SUMIFS('caseload data'!P:P,'caseload data'!$B:$B,{"licence","community"},'caseload data'!$C:$C,'community %'!$T$78)),"")</f>
        <v/>
      </c>
      <c r="AG81" s="167" t="str" cm="1">
        <f t="array" ref="AG81">IFERROR(SUM(SUMIFS('caseload data'!Q:Q,'caseload data'!$C:$C,'community %'!$T$78,'caseload data'!$D:$D,"PSO",'caseload data'!$B:$B,{"licence","community"}))/SUM(SUMIFS('caseload data'!Q:Q,'caseload data'!$B:$B,{"licence","community"},'caseload data'!$C:$C,'community %'!$T$78)),"")</f>
        <v/>
      </c>
      <c r="AH81" s="167" t="str" cm="1">
        <f t="array" ref="AH81">IFERROR(SUM(SUMIFS('caseload data'!R:R,'caseload data'!$C:$C,'community %'!$T$78,'caseload data'!$D:$D,"PSO",'caseload data'!$B:$B,{"licence","community"}))/SUM(SUMIFS('caseload data'!R:R,'caseload data'!$B:$B,{"licence","community"},'caseload data'!$C:$C,'community %'!$T$78)),"")</f>
        <v/>
      </c>
      <c r="AI81" s="167" t="str" cm="1">
        <f t="array" ref="AI81">IFERROR(SUM(SUMIFS('caseload data'!S:S,'caseload data'!$C:$C,'community %'!$T$78,'caseload data'!$D:$D,"PSO",'caseload data'!$B:$B,{"licence","community"}))/SUM(SUMIFS('caseload data'!S:S,'caseload data'!$B:$B,{"licence","community"},'caseload data'!$C:$C,'community %'!$T$78)),"")</f>
        <v/>
      </c>
      <c r="AJ81" s="167" t="str" cm="1">
        <f t="array" ref="AJ81">IFERROR(SUM(SUMIFS('caseload data'!T:T,'caseload data'!$C:$C,'community %'!$T$78,'caseload data'!$D:$D,"PSO",'caseload data'!$B:$B,{"licence","community"}))/SUM(SUMIFS('caseload data'!T:T,'caseload data'!$B:$B,{"licence","community"},'caseload data'!$C:$C,'community %'!$T$78)),"")</f>
        <v/>
      </c>
    </row>
    <row r="82" spans="2:36" x14ac:dyDescent="0.15">
      <c r="B82" s="97" t="s">
        <v>1003</v>
      </c>
      <c r="C82" s="167" t="str" cm="1">
        <f t="array" ref="C82">IFERROR(SUM(SUMIFS('caseload data'!E:E,'caseload data'!$C:$C,'community %'!$B$78,'caseload data'!$D:$D,"TPO",'caseload data'!$B:$B,{"licence","community"}))/SUM(SUMIFS('caseload data'!E:E,'caseload data'!$B:$B,{"licence","community"},'caseload data'!$C:$C,'community %'!$B$78)),"")</f>
        <v/>
      </c>
      <c r="D82" s="167" t="str" cm="1">
        <f t="array" ref="D82">IFERROR(SUM(SUMIFS('caseload data'!F:F,'caseload data'!$C:$C,'community %'!$B$78,'caseload data'!$D:$D,"TPO",'caseload data'!$B:$B,{"licence","community"}))/SUM(SUMIFS('caseload data'!F:F,'caseload data'!$B:$B,{"licence","community"},'caseload data'!$C:$C,'community %'!$B$78)),"")</f>
        <v/>
      </c>
      <c r="E82" s="167" t="str" cm="1">
        <f t="array" ref="E82">IFERROR(SUM(SUMIFS('caseload data'!G:G,'caseload data'!$C:$C,'community %'!$B$78,'caseload data'!$D:$D,"TPO",'caseload data'!$B:$B,{"licence","community"}))/SUM(SUMIFS('caseload data'!G:G,'caseload data'!$B:$B,{"licence","community"},'caseload data'!$C:$C,'community %'!$B$78)),"")</f>
        <v/>
      </c>
      <c r="F82" s="167" t="str" cm="1">
        <f t="array" ref="F82">IFERROR(SUM(SUMIFS('caseload data'!H:H,'caseload data'!$C:$C,'community %'!$B$78,'caseload data'!$D:$D,"TPO",'caseload data'!$B:$B,{"licence","community"}))/SUM(SUMIFS('caseload data'!H:H,'caseload data'!$B:$B,{"licence","community"},'caseload data'!$C:$C,'community %'!$B$78)),"")</f>
        <v/>
      </c>
      <c r="G82" s="167" t="str" cm="1">
        <f t="array" ref="G82">IFERROR(SUM(SUMIFS('caseload data'!I:I,'caseload data'!$C:$C,'community %'!$B$78,'caseload data'!$D:$D,"TPO",'caseload data'!$B:$B,{"licence","community"}))/SUM(SUMIFS('caseload data'!I:I,'caseload data'!$B:$B,{"licence","community"},'caseload data'!$C:$C,'community %'!$B$78)),"")</f>
        <v/>
      </c>
      <c r="H82" s="167" t="str" cm="1">
        <f t="array" ref="H82">IFERROR(SUM(SUMIFS('caseload data'!J:J,'caseload data'!$C:$C,'community %'!$B$78,'caseload data'!$D:$D,"TPO",'caseload data'!$B:$B,{"licence","community"}))/SUM(SUMIFS('caseload data'!J:J,'caseload data'!$B:$B,{"licence","community"},'caseload data'!$C:$C,'community %'!$B$78)),"")</f>
        <v/>
      </c>
      <c r="I82" s="167" t="str" cm="1">
        <f t="array" ref="I82">IFERROR(SUM(SUMIFS('caseload data'!K:K,'caseload data'!$C:$C,'community %'!$B$78,'caseload data'!$D:$D,"TPO",'caseload data'!$B:$B,{"licence","community"}))/SUM(SUMIFS('caseload data'!K:K,'caseload data'!$B:$B,{"licence","community"},'caseload data'!$C:$C,'community %'!$B$78)),"")</f>
        <v/>
      </c>
      <c r="J82" s="167" t="str" cm="1">
        <f t="array" ref="J82">IFERROR(SUM(SUMIFS('caseload data'!L:L,'caseload data'!$C:$C,'community %'!$B$78,'caseload data'!$D:$D,"TPO",'caseload data'!$B:$B,{"licence","community"}))/SUM(SUMIFS('caseload data'!L:L,'caseload data'!$B:$B,{"licence","community"},'caseload data'!$C:$C,'community %'!$B$78)),"")</f>
        <v/>
      </c>
      <c r="K82" s="167" t="str" cm="1">
        <f t="array" ref="K82">IFERROR(SUM(SUMIFS('caseload data'!M:M,'caseload data'!$C:$C,'community %'!$B$78,'caseload data'!$D:$D,"TPO",'caseload data'!$B:$B,{"licence","community"}))/SUM(SUMIFS('caseload data'!M:M,'caseload data'!$B:$B,{"licence","community"},'caseload data'!$C:$C,'community %'!$B$78)),"")</f>
        <v/>
      </c>
      <c r="L82" s="167" t="str" cm="1">
        <f t="array" ref="L82">IFERROR(SUM(SUMIFS('caseload data'!N:N,'caseload data'!$C:$C,'community %'!$B$78,'caseload data'!$D:$D,"TPO",'caseload data'!$B:$B,{"licence","community"}))/SUM(SUMIFS('caseload data'!N:N,'caseload data'!$B:$B,{"licence","community"},'caseload data'!$C:$C,'community %'!$B$78)),"")</f>
        <v/>
      </c>
      <c r="M82" s="167" t="str" cm="1">
        <f t="array" ref="M82">IFERROR(SUM(SUMIFS('caseload data'!O:O,'caseload data'!$C:$C,'community %'!$B$78,'caseload data'!$D:$D,"TPO",'caseload data'!$B:$B,{"licence","community"}))/SUM(SUMIFS('caseload data'!O:O,'caseload data'!$B:$B,{"licence","community"},'caseload data'!$C:$C,'community %'!$B$78)),"")</f>
        <v/>
      </c>
      <c r="N82" s="167" t="str" cm="1">
        <f t="array" ref="N82">IFERROR(SUM(SUMIFS('caseload data'!P:P,'caseload data'!$C:$C,'community %'!$B$78,'caseload data'!$D:$D,"TPO",'caseload data'!$B:$B,{"licence","community"}))/SUM(SUMIFS('caseload data'!P:P,'caseload data'!$B:$B,{"licence","community"},'caseload data'!$C:$C,'community %'!$B$78)),"")</f>
        <v/>
      </c>
      <c r="O82" s="167" t="str" cm="1">
        <f t="array" ref="O82">IFERROR(SUM(SUMIFS('caseload data'!Q:Q,'caseload data'!$C:$C,'community %'!$B$78,'caseload data'!$D:$D,"TPO",'caseload data'!$B:$B,{"licence","community"}))/SUM(SUMIFS('caseload data'!Q:Q,'caseload data'!$B:$B,{"licence","community"},'caseload data'!$C:$C,'community %'!$B$78)),"")</f>
        <v/>
      </c>
      <c r="P82" s="167" t="str" cm="1">
        <f t="array" ref="P82">IFERROR(SUM(SUMIFS('caseload data'!R:R,'caseload data'!$C:$C,'community %'!$B$78,'caseload data'!$D:$D,"TPO",'caseload data'!$B:$B,{"licence","community"}))/SUM(SUMIFS('caseload data'!R:R,'caseload data'!$B:$B,{"licence","community"},'caseload data'!$C:$C,'community %'!$B$78)),"")</f>
        <v/>
      </c>
      <c r="Q82" s="167" t="str" cm="1">
        <f t="array" ref="Q82">IFERROR(SUM(SUMIFS('caseload data'!S:S,'caseload data'!$C:$C,'community %'!$B$78,'caseload data'!$D:$D,"TPO",'caseload data'!$B:$B,{"licence","community"}))/SUM(SUMIFS('caseload data'!S:S,'caseload data'!$B:$B,{"licence","community"},'caseload data'!$C:$C,'community %'!$B$78)),"")</f>
        <v/>
      </c>
      <c r="R82" s="167" t="str" cm="1">
        <f t="array" ref="R82">IFERROR(SUM(SUMIFS('caseload data'!T:T,'caseload data'!$C:$C,'community %'!$B$78,'caseload data'!$D:$D,"TPO",'caseload data'!$B:$B,{"licence","community"}))/SUM(SUMIFS('caseload data'!T:T,'caseload data'!$B:$B,{"licence","community"},'caseload data'!$C:$C,'community %'!$B$78)),"")</f>
        <v/>
      </c>
      <c r="T82" s="97" t="s">
        <v>1003</v>
      </c>
      <c r="U82" s="167" t="str" cm="1">
        <f t="array" ref="U82">IFERROR(SUM(SUMIFS('caseload data'!E:E,'caseload data'!$C:$C,'community %'!$T$78,'caseload data'!$D:$D,"TPO",'caseload data'!$B:$B,{"licence","community"}))/SUM(SUMIFS('caseload data'!E:E,'caseload data'!$B:$B,{"licence","community"},'caseload data'!$C:$C,'community %'!$T$78)),"")</f>
        <v/>
      </c>
      <c r="V82" s="167" t="str" cm="1">
        <f t="array" ref="V82">IFERROR(SUM(SUMIFS('caseload data'!F:F,'caseload data'!$C:$C,'community %'!$T$78,'caseload data'!$D:$D,"TPO",'caseload data'!$B:$B,{"licence","community"}))/SUM(SUMIFS('caseload data'!F:F,'caseload data'!$B:$B,{"licence","community"},'caseload data'!$C:$C,'community %'!$T$78)),"")</f>
        <v/>
      </c>
      <c r="W82" s="167" t="str" cm="1">
        <f t="array" ref="W82">IFERROR(SUM(SUMIFS('caseload data'!G:G,'caseload data'!$C:$C,'community %'!$T$78,'caseload data'!$D:$D,"TPO",'caseload data'!$B:$B,{"licence","community"}))/SUM(SUMIFS('caseload data'!G:G,'caseload data'!$B:$B,{"licence","community"},'caseload data'!$C:$C,'community %'!$T$78)),"")</f>
        <v/>
      </c>
      <c r="X82" s="167" t="str" cm="1">
        <f t="array" ref="X82">IFERROR(SUM(SUMIFS('caseload data'!H:H,'caseload data'!$C:$C,'community %'!$T$78,'caseload data'!$D:$D,"TPO",'caseload data'!$B:$B,{"licence","community"}))/SUM(SUMIFS('caseload data'!H:H,'caseload data'!$B:$B,{"licence","community"},'caseload data'!$C:$C,'community %'!$T$78)),"")</f>
        <v/>
      </c>
      <c r="Y82" s="167" t="str" cm="1">
        <f t="array" ref="Y82">IFERROR(SUM(SUMIFS('caseload data'!I:I,'caseload data'!$C:$C,'community %'!$T$78,'caseload data'!$D:$D,"TPO",'caseload data'!$B:$B,{"licence","community"}))/SUM(SUMIFS('caseload data'!I:I,'caseload data'!$B:$B,{"licence","community"},'caseload data'!$C:$C,'community %'!$T$78)),"")</f>
        <v/>
      </c>
      <c r="Z82" s="167" t="str" cm="1">
        <f t="array" ref="Z82">IFERROR(SUM(SUMIFS('caseload data'!J:J,'caseload data'!$C:$C,'community %'!$T$78,'caseload data'!$D:$D,"TPO",'caseload data'!$B:$B,{"licence","community"}))/SUM(SUMIFS('caseload data'!J:J,'caseload data'!$B:$B,{"licence","community"},'caseload data'!$C:$C,'community %'!$T$78)),"")</f>
        <v/>
      </c>
      <c r="AA82" s="167" t="str" cm="1">
        <f t="array" ref="AA82">IFERROR(SUM(SUMIFS('caseload data'!K:K,'caseload data'!$C:$C,'community %'!$T$78,'caseload data'!$D:$D,"TPO",'caseload data'!$B:$B,{"licence","community"}))/SUM(SUMIFS('caseload data'!K:K,'caseload data'!$B:$B,{"licence","community"},'caseload data'!$C:$C,'community %'!$T$78)),"")</f>
        <v/>
      </c>
      <c r="AB82" s="167" t="str" cm="1">
        <f t="array" ref="AB82">IFERROR(SUM(SUMIFS('caseload data'!L:L,'caseload data'!$C:$C,'community %'!$T$78,'caseload data'!$D:$D,"TPO",'caseload data'!$B:$B,{"licence","community"}))/SUM(SUMIFS('caseload data'!L:L,'caseload data'!$B:$B,{"licence","community"},'caseload data'!$C:$C,'community %'!$T$78)),"")</f>
        <v/>
      </c>
      <c r="AC82" s="167" t="str" cm="1">
        <f t="array" ref="AC82">IFERROR(SUM(SUMIFS('caseload data'!M:M,'caseload data'!$C:$C,'community %'!$T$78,'caseload data'!$D:$D,"TPO",'caseload data'!$B:$B,{"licence","community"}))/SUM(SUMIFS('caseload data'!M:M,'caseload data'!$B:$B,{"licence","community"},'caseload data'!$C:$C,'community %'!$T$78)),"")</f>
        <v/>
      </c>
      <c r="AD82" s="167" t="str" cm="1">
        <f t="array" ref="AD82">IFERROR(SUM(SUMIFS('caseload data'!N:N,'caseload data'!$C:$C,'community %'!$T$78,'caseload data'!$D:$D,"TPO",'caseload data'!$B:$B,{"licence","community"}))/SUM(SUMIFS('caseload data'!N:N,'caseload data'!$B:$B,{"licence","community"},'caseload data'!$C:$C,'community %'!$T$78)),"")</f>
        <v/>
      </c>
      <c r="AE82" s="167" t="str" cm="1">
        <f t="array" ref="AE82">IFERROR(SUM(SUMIFS('caseload data'!O:O,'caseload data'!$C:$C,'community %'!$T$78,'caseload data'!$D:$D,"TPO",'caseload data'!$B:$B,{"licence","community"}))/SUM(SUMIFS('caseload data'!O:O,'caseload data'!$B:$B,{"licence","community"},'caseload data'!$C:$C,'community %'!$T$78)),"")</f>
        <v/>
      </c>
      <c r="AF82" s="167" t="str" cm="1">
        <f t="array" ref="AF82">IFERROR(SUM(SUMIFS('caseload data'!P:P,'caseload data'!$C:$C,'community %'!$T$78,'caseload data'!$D:$D,"TPO",'caseload data'!$B:$B,{"licence","community"}))/SUM(SUMIFS('caseload data'!P:P,'caseload data'!$B:$B,{"licence","community"},'caseload data'!$C:$C,'community %'!$T$78)),"")</f>
        <v/>
      </c>
      <c r="AG82" s="167" t="str" cm="1">
        <f t="array" ref="AG82">IFERROR(SUM(SUMIFS('caseload data'!Q:Q,'caseload data'!$C:$C,'community %'!$T$78,'caseload data'!$D:$D,"TPO",'caseload data'!$B:$B,{"licence","community"}))/SUM(SUMIFS('caseload data'!Q:Q,'caseload data'!$B:$B,{"licence","community"},'caseload data'!$C:$C,'community %'!$T$78)),"")</f>
        <v/>
      </c>
      <c r="AH82" s="167" t="str" cm="1">
        <f t="array" ref="AH82">IFERROR(SUM(SUMIFS('caseload data'!R:R,'caseload data'!$C:$C,'community %'!$T$78,'caseload data'!$D:$D,"TPO",'caseload data'!$B:$B,{"licence","community"}))/SUM(SUMIFS('caseload data'!R:R,'caseload data'!$B:$B,{"licence","community"},'caseload data'!$C:$C,'community %'!$T$78)),"")</f>
        <v/>
      </c>
      <c r="AI82" s="167" t="str" cm="1">
        <f t="array" ref="AI82">IFERROR(SUM(SUMIFS('caseload data'!S:S,'caseload data'!$C:$C,'community %'!$T$78,'caseload data'!$D:$D,"TPO",'caseload data'!$B:$B,{"licence","community"}))/SUM(SUMIFS('caseload data'!S:S,'caseload data'!$B:$B,{"licence","community"},'caseload data'!$C:$C,'community %'!$T$78)),"")</f>
        <v/>
      </c>
      <c r="AJ82" s="167" t="str" cm="1">
        <f t="array" ref="AJ82">IFERROR(SUM(SUMIFS('caseload data'!T:T,'caseload data'!$C:$C,'community %'!$T$78,'caseload data'!$D:$D,"TPO",'caseload data'!$B:$B,{"licence","community"}))/SUM(SUMIFS('caseload data'!T:T,'caseload data'!$B:$B,{"licence","community"},'caseload data'!$C:$C,'community %'!$T$78)),"")</f>
        <v/>
      </c>
    </row>
    <row r="83" spans="2:36" x14ac:dyDescent="0.15">
      <c r="B83" s="98" t="s">
        <v>1004</v>
      </c>
      <c r="C83" s="167" t="str" cm="1">
        <f t="array" ref="C83">IFERROR(SUM(SUMIFS('caseload data'!E:E,'caseload data'!$C:$C,'community %'!$B$78,'caseload data'!$D:$D,"SPO",'caseload data'!$B:$B,{"licence","community"}))/SUM(SUMIFS('caseload data'!E:E,'caseload data'!$B:$B,{"licence","community"},'caseload data'!$C:$C,'community %'!$B$78)),"")</f>
        <v/>
      </c>
      <c r="D83" s="167" t="str" cm="1">
        <f t="array" ref="D83">IFERROR(SUM(SUMIFS('caseload data'!F:F,'caseload data'!$C:$C,'community %'!$B$78,'caseload data'!$D:$D,"SPO",'caseload data'!$B:$B,{"licence","community"}))/SUM(SUMIFS('caseload data'!F:F,'caseload data'!$B:$B,{"licence","community"},'caseload data'!$C:$C,'community %'!$B$78)),"")</f>
        <v/>
      </c>
      <c r="E83" s="167" t="str" cm="1">
        <f t="array" ref="E83">IFERROR(SUM(SUMIFS('caseload data'!G:G,'caseload data'!$C:$C,'community %'!$B$78,'caseload data'!$D:$D,"SPO",'caseload data'!$B:$B,{"licence","community"}))/SUM(SUMIFS('caseload data'!G:G,'caseload data'!$B:$B,{"licence","community"},'caseload data'!$C:$C,'community %'!$B$78)),"")</f>
        <v/>
      </c>
      <c r="F83" s="167" t="str" cm="1">
        <f t="array" ref="F83">IFERROR(SUM(SUMIFS('caseload data'!H:H,'caseload data'!$C:$C,'community %'!$B$78,'caseload data'!$D:$D,"SPO",'caseload data'!$B:$B,{"licence","community"}))/SUM(SUMIFS('caseload data'!H:H,'caseload data'!$B:$B,{"licence","community"},'caseload data'!$C:$C,'community %'!$B$78)),"")</f>
        <v/>
      </c>
      <c r="G83" s="167" t="str" cm="1">
        <f t="array" ref="G83">IFERROR(SUM(SUMIFS('caseload data'!I:I,'caseload data'!$C:$C,'community %'!$B$78,'caseload data'!$D:$D,"SPO",'caseload data'!$B:$B,{"licence","community"}))/SUM(SUMIFS('caseload data'!I:I,'caseload data'!$B:$B,{"licence","community"},'caseload data'!$C:$C,'community %'!$B$78)),"")</f>
        <v/>
      </c>
      <c r="H83" s="167" t="str" cm="1">
        <f t="array" ref="H83">IFERROR(SUM(SUMIFS('caseload data'!J:J,'caseload data'!$C:$C,'community %'!$B$78,'caseload data'!$D:$D,"SPO",'caseload data'!$B:$B,{"licence","community"}))/SUM(SUMIFS('caseload data'!J:J,'caseload data'!$B:$B,{"licence","community"},'caseload data'!$C:$C,'community %'!$B$78)),"")</f>
        <v/>
      </c>
      <c r="I83" s="167" t="str" cm="1">
        <f t="array" ref="I83">IFERROR(SUM(SUMIFS('caseload data'!K:K,'caseload data'!$C:$C,'community %'!$B$78,'caseload data'!$D:$D,"SPO",'caseload data'!$B:$B,{"licence","community"}))/SUM(SUMIFS('caseload data'!K:K,'caseload data'!$B:$B,{"licence","community"},'caseload data'!$C:$C,'community %'!$B$78)),"")</f>
        <v/>
      </c>
      <c r="J83" s="167" t="str" cm="1">
        <f t="array" ref="J83">IFERROR(SUM(SUMIFS('caseload data'!L:L,'caseload data'!$C:$C,'community %'!$B$78,'caseload data'!$D:$D,"SPO",'caseload data'!$B:$B,{"licence","community"}))/SUM(SUMIFS('caseload data'!L:L,'caseload data'!$B:$B,{"licence","community"},'caseload data'!$C:$C,'community %'!$B$78)),"")</f>
        <v/>
      </c>
      <c r="K83" s="167" t="str" cm="1">
        <f t="array" ref="K83">IFERROR(SUM(SUMIFS('caseload data'!M:M,'caseload data'!$C:$C,'community %'!$B$78,'caseload data'!$D:$D,"SPO",'caseload data'!$B:$B,{"licence","community"}))/SUM(SUMIFS('caseload data'!M:M,'caseload data'!$B:$B,{"licence","community"},'caseload data'!$C:$C,'community %'!$B$78)),"")</f>
        <v/>
      </c>
      <c r="L83" s="167" t="str" cm="1">
        <f t="array" ref="L83">IFERROR(SUM(SUMIFS('caseload data'!N:N,'caseload data'!$C:$C,'community %'!$B$78,'caseload data'!$D:$D,"SPO",'caseload data'!$B:$B,{"licence","community"}))/SUM(SUMIFS('caseload data'!N:N,'caseload data'!$B:$B,{"licence","community"},'caseload data'!$C:$C,'community %'!$B$78)),"")</f>
        <v/>
      </c>
      <c r="M83" s="167" t="str" cm="1">
        <f t="array" ref="M83">IFERROR(SUM(SUMIFS('caseload data'!O:O,'caseload data'!$C:$C,'community %'!$B$78,'caseload data'!$D:$D,"SPO",'caseload data'!$B:$B,{"licence","community"}))/SUM(SUMIFS('caseload data'!O:O,'caseload data'!$B:$B,{"licence","community"},'caseload data'!$C:$C,'community %'!$B$78)),"")</f>
        <v/>
      </c>
      <c r="N83" s="167" t="str" cm="1">
        <f t="array" ref="N83">IFERROR(SUM(SUMIFS('caseload data'!P:P,'caseload data'!$C:$C,'community %'!$B$78,'caseload data'!$D:$D,"SPO",'caseload data'!$B:$B,{"licence","community"}))/SUM(SUMIFS('caseload data'!P:P,'caseload data'!$B:$B,{"licence","community"},'caseload data'!$C:$C,'community %'!$B$78)),"")</f>
        <v/>
      </c>
      <c r="O83" s="167" t="str" cm="1">
        <f t="array" ref="O83">IFERROR(SUM(SUMIFS('caseload data'!Q:Q,'caseload data'!$C:$C,'community %'!$B$78,'caseload data'!$D:$D,"SPO",'caseload data'!$B:$B,{"licence","community"}))/SUM(SUMIFS('caseload data'!Q:Q,'caseload data'!$B:$B,{"licence","community"},'caseload data'!$C:$C,'community %'!$B$78)),"")</f>
        <v/>
      </c>
      <c r="P83" s="167" t="str" cm="1">
        <f t="array" ref="P83">IFERROR(SUM(SUMIFS('caseload data'!R:R,'caseload data'!$C:$C,'community %'!$B$78,'caseload data'!$D:$D,"SPO",'caseload data'!$B:$B,{"licence","community"}))/SUM(SUMIFS('caseload data'!R:R,'caseload data'!$B:$B,{"licence","community"},'caseload data'!$C:$C,'community %'!$B$78)),"")</f>
        <v/>
      </c>
      <c r="Q83" s="167" t="str" cm="1">
        <f t="array" ref="Q83">IFERROR(SUM(SUMIFS('caseload data'!S:S,'caseload data'!$C:$C,'community %'!$B$78,'caseload data'!$D:$D,"SPO",'caseload data'!$B:$B,{"licence","community"}))/SUM(SUMIFS('caseload data'!S:S,'caseload data'!$B:$B,{"licence","community"},'caseload data'!$C:$C,'community %'!$B$78)),"")</f>
        <v/>
      </c>
      <c r="R83" s="167" t="str" cm="1">
        <f t="array" ref="R83">IFERROR(SUM(SUMIFS('caseload data'!T:T,'caseload data'!$C:$C,'community %'!$B$78,'caseload data'!$D:$D,"SPO",'caseload data'!$B:$B,{"licence","community"}))/SUM(SUMIFS('caseload data'!T:T,'caseload data'!$B:$B,{"licence","community"},'caseload data'!$C:$C,'community %'!$B$78)),"")</f>
        <v/>
      </c>
      <c r="T83" s="98" t="s">
        <v>1004</v>
      </c>
      <c r="U83" s="167" t="str" cm="1">
        <f t="array" ref="U83">IFERROR(SUM(SUMIFS('caseload data'!E:E,'caseload data'!$C:$C,'community %'!$T$78,'caseload data'!$D:$D,"SPO",'caseload data'!$B:$B,{"licence","community"}))/SUM(SUMIFS('caseload data'!E:E,'caseload data'!$B:$B,{"licence","community"},'caseload data'!$C:$C,'community %'!$T$78)),"")</f>
        <v/>
      </c>
      <c r="V83" s="167" t="str" cm="1">
        <f t="array" ref="V83">IFERROR(SUM(SUMIFS('caseload data'!F:F,'caseload data'!$C:$C,'community %'!$T$78,'caseload data'!$D:$D,"SPO",'caseload data'!$B:$B,{"licence","community"}))/SUM(SUMIFS('caseload data'!F:F,'caseload data'!$B:$B,{"licence","community"},'caseload data'!$C:$C,'community %'!$T$78)),"")</f>
        <v/>
      </c>
      <c r="W83" s="167" t="str" cm="1">
        <f t="array" ref="W83">IFERROR(SUM(SUMIFS('caseload data'!G:G,'caseload data'!$C:$C,'community %'!$T$78,'caseload data'!$D:$D,"SPO",'caseload data'!$B:$B,{"licence","community"}))/SUM(SUMIFS('caseload data'!G:G,'caseload data'!$B:$B,{"licence","community"},'caseload data'!$C:$C,'community %'!$T$78)),"")</f>
        <v/>
      </c>
      <c r="X83" s="167" t="str" cm="1">
        <f t="array" ref="X83">IFERROR(SUM(SUMIFS('caseload data'!H:H,'caseload data'!$C:$C,'community %'!$T$78,'caseload data'!$D:$D,"SPO",'caseload data'!$B:$B,{"licence","community"}))/SUM(SUMIFS('caseload data'!H:H,'caseload data'!$B:$B,{"licence","community"},'caseload data'!$C:$C,'community %'!$T$78)),"")</f>
        <v/>
      </c>
      <c r="Y83" s="167" t="str" cm="1">
        <f t="array" ref="Y83">IFERROR(SUM(SUMIFS('caseload data'!I:I,'caseload data'!$C:$C,'community %'!$T$78,'caseload data'!$D:$D,"SPO",'caseload data'!$B:$B,{"licence","community"}))/SUM(SUMIFS('caseload data'!I:I,'caseload data'!$B:$B,{"licence","community"},'caseload data'!$C:$C,'community %'!$T$78)),"")</f>
        <v/>
      </c>
      <c r="Z83" s="167" t="str" cm="1">
        <f t="array" ref="Z83">IFERROR(SUM(SUMIFS('caseload data'!J:J,'caseload data'!$C:$C,'community %'!$T$78,'caseload data'!$D:$D,"SPO",'caseload data'!$B:$B,{"licence","community"}))/SUM(SUMIFS('caseload data'!J:J,'caseload data'!$B:$B,{"licence","community"},'caseload data'!$C:$C,'community %'!$T$78)),"")</f>
        <v/>
      </c>
      <c r="AA83" s="167" t="str" cm="1">
        <f t="array" ref="AA83">IFERROR(SUM(SUMIFS('caseload data'!K:K,'caseload data'!$C:$C,'community %'!$T$78,'caseload data'!$D:$D,"SPO",'caseload data'!$B:$B,{"licence","community"}))/SUM(SUMIFS('caseload data'!K:K,'caseload data'!$B:$B,{"licence","community"},'caseload data'!$C:$C,'community %'!$T$78)),"")</f>
        <v/>
      </c>
      <c r="AB83" s="167" t="str" cm="1">
        <f t="array" ref="AB83">IFERROR(SUM(SUMIFS('caseload data'!L:L,'caseload data'!$C:$C,'community %'!$T$78,'caseload data'!$D:$D,"SPO",'caseload data'!$B:$B,{"licence","community"}))/SUM(SUMIFS('caseload data'!L:L,'caseload data'!$B:$B,{"licence","community"},'caseload data'!$C:$C,'community %'!$T$78)),"")</f>
        <v/>
      </c>
      <c r="AC83" s="167" t="str" cm="1">
        <f t="array" ref="AC83">IFERROR(SUM(SUMIFS('caseload data'!M:M,'caseload data'!$C:$C,'community %'!$T$78,'caseload data'!$D:$D,"SPO",'caseload data'!$B:$B,{"licence","community"}))/SUM(SUMIFS('caseload data'!M:M,'caseload data'!$B:$B,{"licence","community"},'caseload data'!$C:$C,'community %'!$T$78)),"")</f>
        <v/>
      </c>
      <c r="AD83" s="167" t="str" cm="1">
        <f t="array" ref="AD83">IFERROR(SUM(SUMIFS('caseload data'!N:N,'caseload data'!$C:$C,'community %'!$T$78,'caseload data'!$D:$D,"SPO",'caseload data'!$B:$B,{"licence","community"}))/SUM(SUMIFS('caseload data'!N:N,'caseload data'!$B:$B,{"licence","community"},'caseload data'!$C:$C,'community %'!$T$78)),"")</f>
        <v/>
      </c>
      <c r="AE83" s="167" t="str" cm="1">
        <f t="array" ref="AE83">IFERROR(SUM(SUMIFS('caseload data'!O:O,'caseload data'!$C:$C,'community %'!$T$78,'caseload data'!$D:$D,"SPO",'caseload data'!$B:$B,{"licence","community"}))/SUM(SUMIFS('caseload data'!O:O,'caseload data'!$B:$B,{"licence","community"},'caseload data'!$C:$C,'community %'!$T$78)),"")</f>
        <v/>
      </c>
      <c r="AF83" s="167" t="str" cm="1">
        <f t="array" ref="AF83">IFERROR(SUM(SUMIFS('caseload data'!P:P,'caseload data'!$C:$C,'community %'!$T$78,'caseload data'!$D:$D,"SPO",'caseload data'!$B:$B,{"licence","community"}))/SUM(SUMIFS('caseload data'!P:P,'caseload data'!$B:$B,{"licence","community"},'caseload data'!$C:$C,'community %'!$T$78)),"")</f>
        <v/>
      </c>
      <c r="AG83" s="167" t="str" cm="1">
        <f t="array" ref="AG83">IFERROR(SUM(SUMIFS('caseload data'!Q:Q,'caseload data'!$C:$C,'community %'!$T$78,'caseload data'!$D:$D,"SPO",'caseload data'!$B:$B,{"licence","community"}))/SUM(SUMIFS('caseload data'!Q:Q,'caseload data'!$B:$B,{"licence","community"},'caseload data'!$C:$C,'community %'!$T$78)),"")</f>
        <v/>
      </c>
      <c r="AH83" s="167" t="str" cm="1">
        <f t="array" ref="AH83">IFERROR(SUM(SUMIFS('caseload data'!R:R,'caseload data'!$C:$C,'community %'!$T$78,'caseload data'!$D:$D,"SPO",'caseload data'!$B:$B,{"licence","community"}))/SUM(SUMIFS('caseload data'!R:R,'caseload data'!$B:$B,{"licence","community"},'caseload data'!$C:$C,'community %'!$T$78)),"")</f>
        <v/>
      </c>
      <c r="AI83" s="167" t="str" cm="1">
        <f t="array" ref="AI83">IFERROR(SUM(SUMIFS('caseload data'!S:S,'caseload data'!$C:$C,'community %'!$T$78,'caseload data'!$D:$D,"SPO",'caseload data'!$B:$B,{"licence","community"}))/SUM(SUMIFS('caseload data'!S:S,'caseload data'!$B:$B,{"licence","community"},'caseload data'!$C:$C,'community %'!$T$78)),"")</f>
        <v/>
      </c>
      <c r="AJ83" s="167" t="str" cm="1">
        <f t="array" ref="AJ83">IFERROR(SUM(SUMIFS('caseload data'!T:T,'caseload data'!$C:$C,'community %'!$T$78,'caseload data'!$D:$D,"SPO",'caseload data'!$B:$B,{"licence","community"}))/SUM(SUMIFS('caseload data'!T:T,'caseload data'!$B:$B,{"licence","community"},'caseload data'!$C:$C,'community %'!$T$78)),"")</f>
        <v/>
      </c>
    </row>
    <row r="85" spans="2:36" ht="16" x14ac:dyDescent="0.15">
      <c r="B85" s="289">
        <f>HLOOKUP($B$5,Region_Table,24,0)</f>
        <v>0</v>
      </c>
      <c r="C85" s="509" t="s">
        <v>1134</v>
      </c>
      <c r="D85" s="510"/>
      <c r="E85" s="510"/>
      <c r="F85" s="510"/>
      <c r="G85" s="510"/>
      <c r="H85" s="510"/>
      <c r="I85" s="510"/>
      <c r="J85" s="510"/>
      <c r="K85" s="510"/>
      <c r="L85" s="510"/>
      <c r="M85" s="539"/>
      <c r="N85" s="539"/>
      <c r="O85" s="540"/>
      <c r="P85" s="512" cm="1">
        <f t="array" ref="P85">SUM(SUMIFS('caseload data'!V:V,'caseload data'!B:B,{"licence","community"},'caseload data'!$C:$C,B85))</f>
        <v>0</v>
      </c>
      <c r="Q85" s="529"/>
      <c r="R85" s="530"/>
      <c r="T85" s="289">
        <f>HLOOKUP($B$5,Region_Table,25,0)</f>
        <v>0</v>
      </c>
      <c r="U85" s="509" t="s">
        <v>1134</v>
      </c>
      <c r="V85" s="510"/>
      <c r="W85" s="510"/>
      <c r="X85" s="510"/>
      <c r="Y85" s="510"/>
      <c r="Z85" s="510"/>
      <c r="AA85" s="510"/>
      <c r="AB85" s="510"/>
      <c r="AC85" s="510"/>
      <c r="AD85" s="510"/>
      <c r="AE85" s="539"/>
      <c r="AF85" s="539"/>
      <c r="AG85" s="540"/>
      <c r="AH85" s="512" cm="1">
        <f t="array" ref="AH85">SUM(SUMIFS('caseload data'!V:V,'caseload data'!B:B,{"licence","community"},'caseload data'!$C:$C,T85))</f>
        <v>0</v>
      </c>
      <c r="AI85" s="529"/>
      <c r="AJ85" s="530"/>
    </row>
    <row r="86" spans="2:36" x14ac:dyDescent="0.15">
      <c r="B86" s="95" t="s">
        <v>1000</v>
      </c>
      <c r="C86" s="38" t="s">
        <v>864</v>
      </c>
      <c r="D86" s="38" t="s">
        <v>865</v>
      </c>
      <c r="E86" s="38" t="s">
        <v>866</v>
      </c>
      <c r="F86" s="38" t="s">
        <v>867</v>
      </c>
      <c r="G86" s="38" t="s">
        <v>868</v>
      </c>
      <c r="H86" s="38" t="s">
        <v>869</v>
      </c>
      <c r="I86" s="38" t="s">
        <v>870</v>
      </c>
      <c r="J86" s="38" t="s">
        <v>871</v>
      </c>
      <c r="K86" s="38" t="s">
        <v>872</v>
      </c>
      <c r="L86" s="38" t="s">
        <v>873</v>
      </c>
      <c r="M86" s="38" t="s">
        <v>874</v>
      </c>
      <c r="N86" s="38" t="s">
        <v>875</v>
      </c>
      <c r="O86" s="38" t="s">
        <v>876</v>
      </c>
      <c r="P86" s="38" t="s">
        <v>877</v>
      </c>
      <c r="Q86" s="38" t="s">
        <v>878</v>
      </c>
      <c r="R86" s="38" t="s">
        <v>879</v>
      </c>
      <c r="T86" s="95" t="s">
        <v>1000</v>
      </c>
      <c r="U86" s="38" t="s">
        <v>864</v>
      </c>
      <c r="V86" s="38" t="s">
        <v>865</v>
      </c>
      <c r="W86" s="38" t="s">
        <v>866</v>
      </c>
      <c r="X86" s="38" t="s">
        <v>867</v>
      </c>
      <c r="Y86" s="38" t="s">
        <v>868</v>
      </c>
      <c r="Z86" s="38" t="s">
        <v>869</v>
      </c>
      <c r="AA86" s="38" t="s">
        <v>870</v>
      </c>
      <c r="AB86" s="38" t="s">
        <v>871</v>
      </c>
      <c r="AC86" s="38" t="s">
        <v>872</v>
      </c>
      <c r="AD86" s="38" t="s">
        <v>873</v>
      </c>
      <c r="AE86" s="38" t="s">
        <v>874</v>
      </c>
      <c r="AF86" s="38" t="s">
        <v>875</v>
      </c>
      <c r="AG86" s="38" t="s">
        <v>876</v>
      </c>
      <c r="AH86" s="38" t="s">
        <v>877</v>
      </c>
      <c r="AI86" s="38" t="s">
        <v>878</v>
      </c>
      <c r="AJ86" s="38" t="s">
        <v>879</v>
      </c>
    </row>
    <row r="87" spans="2:36" x14ac:dyDescent="0.15">
      <c r="B87" s="96" t="s">
        <v>997</v>
      </c>
      <c r="C87" s="167" t="str" cm="1">
        <f t="array" ref="C87">IFERROR(SUM(SUMIFS('caseload data'!E:E,'caseload data'!$C:$C,'community %'!$B$85,'caseload data'!$D:$D,"PO",'caseload data'!$B:$B,{"licence","community"}))/SUM(SUMIFS('caseload data'!E:E,'caseload data'!$B:$B,{"licence","community"},'caseload data'!$C:$C,'community %'!$B$85)),"")</f>
        <v/>
      </c>
      <c r="D87" s="167" t="str" cm="1">
        <f t="array" ref="D87">IFERROR(SUM(SUMIFS('caseload data'!F:F,'caseload data'!$C:$C,'community %'!$B$85,'caseload data'!$D:$D,"PO",'caseload data'!$B:$B,{"licence","community"}))/SUM(SUMIFS('caseload data'!F:F,'caseload data'!$B:$B,{"licence","community"},'caseload data'!$C:$C,'community %'!$B$85)),"")</f>
        <v/>
      </c>
      <c r="E87" s="167" t="str" cm="1">
        <f t="array" ref="E87">IFERROR(SUM(SUMIFS('caseload data'!G:G,'caseload data'!$C:$C,'community %'!$B$85,'caseload data'!$D:$D,"PO",'caseload data'!$B:$B,{"licence","community"}))/SUM(SUMIFS('caseload data'!G:G,'caseload data'!$B:$B,{"licence","community"},'caseload data'!$C:$C,'community %'!$B$85)),"")</f>
        <v/>
      </c>
      <c r="F87" s="167" t="str" cm="1">
        <f t="array" ref="F87">IFERROR(SUM(SUMIFS('caseload data'!H:H,'caseload data'!$C:$C,'community %'!$B$85,'caseload data'!$D:$D,"PO",'caseload data'!$B:$B,{"licence","community"}))/SUM(SUMIFS('caseload data'!H:H,'caseload data'!$B:$B,{"licence","community"},'caseload data'!$C:$C,'community %'!$B$85)),"")</f>
        <v/>
      </c>
      <c r="G87" s="167" t="str" cm="1">
        <f t="array" ref="G87">IFERROR(SUM(SUMIFS('caseload data'!I:I,'caseload data'!$C:$C,'community %'!$B$85,'caseload data'!$D:$D,"PO",'caseload data'!$B:$B,{"licence","community"}))/SUM(SUMIFS('caseload data'!I:I,'caseload data'!$B:$B,{"licence","community"},'caseload data'!$C:$C,'community %'!$B$85)),"")</f>
        <v/>
      </c>
      <c r="H87" s="167" t="str" cm="1">
        <f t="array" ref="H87">IFERROR(SUM(SUMIFS('caseload data'!J:J,'caseload data'!$C:$C,'community %'!$B$85,'caseload data'!$D:$D,"PO",'caseload data'!$B:$B,{"licence","community"}))/SUM(SUMIFS('caseload data'!J:J,'caseload data'!$B:$B,{"licence","community"},'caseload data'!$C:$C,'community %'!$B$85)),"")</f>
        <v/>
      </c>
      <c r="I87" s="167" t="str" cm="1">
        <f t="array" ref="I87">IFERROR(SUM(SUMIFS('caseload data'!K:K,'caseload data'!$C:$C,'community %'!$B$85,'caseload data'!$D:$D,"PO",'caseload data'!$B:$B,{"licence","community"}))/SUM(SUMIFS('caseload data'!K:K,'caseload data'!$B:$B,{"licence","community"},'caseload data'!$C:$C,'community %'!$B$85)),"")</f>
        <v/>
      </c>
      <c r="J87" s="167" t="str" cm="1">
        <f t="array" ref="J87">IFERROR(SUM(SUMIFS('caseload data'!L:L,'caseload data'!$C:$C,'community %'!$B$85,'caseload data'!$D:$D,"PO",'caseload data'!$B:$B,{"licence","community"}))/SUM(SUMIFS('caseload data'!L:L,'caseload data'!$B:$B,{"licence","community"},'caseload data'!$C:$C,'community %'!$B$85)),"")</f>
        <v/>
      </c>
      <c r="K87" s="167" t="str" cm="1">
        <f t="array" ref="K87">IFERROR(SUM(SUMIFS('caseload data'!M:M,'caseload data'!$C:$C,'community %'!$B$85,'caseload data'!$D:$D,"PO",'caseload data'!$B:$B,{"licence","community"}))/SUM(SUMIFS('caseload data'!M:M,'caseload data'!$B:$B,{"licence","community"},'caseload data'!$C:$C,'community %'!$B$85)),"")</f>
        <v/>
      </c>
      <c r="L87" s="167" t="str" cm="1">
        <f t="array" ref="L87">IFERROR(SUM(SUMIFS('caseload data'!N:N,'caseload data'!$C:$C,'community %'!$B$85,'caseload data'!$D:$D,"PO",'caseload data'!$B:$B,{"licence","community"}))/SUM(SUMIFS('caseload data'!N:N,'caseload data'!$B:$B,{"licence","community"},'caseload data'!$C:$C,'community %'!$B$85)),"")</f>
        <v/>
      </c>
      <c r="M87" s="167" t="str" cm="1">
        <f t="array" ref="M87">IFERROR(SUM(SUMIFS('caseload data'!O:O,'caseload data'!$C:$C,'community %'!$B$85,'caseload data'!$D:$D,"PO",'caseload data'!$B:$B,{"licence","community"}))/SUM(SUMIFS('caseload data'!O:O,'caseload data'!$B:$B,{"licence","community"},'caseload data'!$C:$C,'community %'!$B$85)),"")</f>
        <v/>
      </c>
      <c r="N87" s="167" t="str" cm="1">
        <f t="array" ref="N87">IFERROR(SUM(SUMIFS('caseload data'!P:P,'caseload data'!$C:$C,'community %'!$B$85,'caseload data'!$D:$D,"PO",'caseload data'!$B:$B,{"licence","community"}))/SUM(SUMIFS('caseload data'!P:P,'caseload data'!$B:$B,{"licence","community"},'caseload data'!$C:$C,'community %'!$B$85)),"")</f>
        <v/>
      </c>
      <c r="O87" s="167" t="str" cm="1">
        <f t="array" ref="O87">IFERROR(SUM(SUMIFS('caseload data'!Q:Q,'caseload data'!$C:$C,'community %'!$B$85,'caseload data'!$D:$D,"PO",'caseload data'!$B:$B,{"licence","community"}))/SUM(SUMIFS('caseload data'!Q:Q,'caseload data'!$B:$B,{"licence","community"},'caseload data'!$C:$C,'community %'!$B$85)),"")</f>
        <v/>
      </c>
      <c r="P87" s="167" t="str" cm="1">
        <f t="array" ref="P87">IFERROR(SUM(SUMIFS('caseload data'!R:R,'caseload data'!$C:$C,'community %'!$B$85,'caseload data'!$D:$D,"PO",'caseload data'!$B:$B,{"licence","community"}))/SUM(SUMIFS('caseload data'!R:R,'caseload data'!$B:$B,{"licence","community"},'caseload data'!$C:$C,'community %'!$B$85)),"")</f>
        <v/>
      </c>
      <c r="Q87" s="167" t="str" cm="1">
        <f t="array" ref="Q87">IFERROR(SUM(SUMIFS('caseload data'!S:S,'caseload data'!$C:$C,'community %'!$B$85,'caseload data'!$D:$D,"PO",'caseload data'!$B:$B,{"licence","community"}))/SUM(SUMIFS('caseload data'!S:S,'caseload data'!$B:$B,{"licence","community"},'caseload data'!$C:$C,'community %'!$B$85)),"")</f>
        <v/>
      </c>
      <c r="R87" s="167" t="str" cm="1">
        <f t="array" ref="R87">IFERROR(SUM(SUMIFS('caseload data'!T:T,'caseload data'!$C:$C,'community %'!$B$85,'caseload data'!$D:$D,"PO",'caseload data'!$B:$B,{"licence","community"}))/SUM(SUMIFS('caseload data'!T:T,'caseload data'!$B:$B,{"licence","community"},'caseload data'!$C:$C,'community %'!$B$85)),"")</f>
        <v/>
      </c>
      <c r="T87" s="96" t="s">
        <v>997</v>
      </c>
      <c r="U87" s="167" t="str" cm="1">
        <f t="array" ref="U87">IFERROR(SUM(SUMIFS('caseload data'!E:E,'caseload data'!$C:$C,'community %'!$T$85,'caseload data'!$D:$D,"PO",'caseload data'!$B:$B,{"licence","community"}))/SUM(SUMIFS('caseload data'!E:E,'caseload data'!$B:$B,{"licence","community"},'caseload data'!$C:$C,'community %'!$T$85)),"")</f>
        <v/>
      </c>
      <c r="V87" s="167" t="str" cm="1">
        <f t="array" ref="V87">IFERROR(SUM(SUMIFS('caseload data'!F:F,'caseload data'!$C:$C,'community %'!$T$85,'caseload data'!$D:$D,"PO",'caseload data'!$B:$B,{"licence","community"}))/SUM(SUMIFS('caseload data'!F:F,'caseload data'!$B:$B,{"licence","community"},'caseload data'!$C:$C,'community %'!$T$85)),"")</f>
        <v/>
      </c>
      <c r="W87" s="167" t="str" cm="1">
        <f t="array" ref="W87">IFERROR(SUM(SUMIFS('caseload data'!G:G,'caseload data'!$C:$C,'community %'!$T$85,'caseload data'!$D:$D,"PO",'caseload data'!$B:$B,{"licence","community"}))/SUM(SUMIFS('caseload data'!G:G,'caseload data'!$B:$B,{"licence","community"},'caseload data'!$C:$C,'community %'!$T$85)),"")</f>
        <v/>
      </c>
      <c r="X87" s="167" t="str" cm="1">
        <f t="array" ref="X87">IFERROR(SUM(SUMIFS('caseload data'!H:H,'caseload data'!$C:$C,'community %'!$T$85,'caseload data'!$D:$D,"PO",'caseload data'!$B:$B,{"licence","community"}))/SUM(SUMIFS('caseload data'!H:H,'caseload data'!$B:$B,{"licence","community"},'caseload data'!$C:$C,'community %'!$T$85)),"")</f>
        <v/>
      </c>
      <c r="Y87" s="167" t="str" cm="1">
        <f t="array" ref="Y87">IFERROR(SUM(SUMIFS('caseload data'!I:I,'caseload data'!$C:$C,'community %'!$T$85,'caseload data'!$D:$D,"PO",'caseload data'!$B:$B,{"licence","community"}))/SUM(SUMIFS('caseload data'!I:I,'caseload data'!$B:$B,{"licence","community"},'caseload data'!$C:$C,'community %'!$T$85)),"")</f>
        <v/>
      </c>
      <c r="Z87" s="167" t="str" cm="1">
        <f t="array" ref="Z87">IFERROR(SUM(SUMIFS('caseload data'!J:J,'caseload data'!$C:$C,'community %'!$T$85,'caseload data'!$D:$D,"PO",'caseload data'!$B:$B,{"licence","community"}))/SUM(SUMIFS('caseload data'!J:J,'caseload data'!$B:$B,{"licence","community"},'caseload data'!$C:$C,'community %'!$T$85)),"")</f>
        <v/>
      </c>
      <c r="AA87" s="167" t="str" cm="1">
        <f t="array" ref="AA87">IFERROR(SUM(SUMIFS('caseload data'!K:K,'caseload data'!$C:$C,'community %'!$T$85,'caseload data'!$D:$D,"PO",'caseload data'!$B:$B,{"licence","community"}))/SUM(SUMIFS('caseload data'!K:K,'caseload data'!$B:$B,{"licence","community"},'caseload data'!$C:$C,'community %'!$T$85)),"")</f>
        <v/>
      </c>
      <c r="AB87" s="167" t="str" cm="1">
        <f t="array" ref="AB87">IFERROR(SUM(SUMIFS('caseload data'!L:L,'caseload data'!$C:$C,'community %'!$T$85,'caseload data'!$D:$D,"PO",'caseload data'!$B:$B,{"licence","community"}))/SUM(SUMIFS('caseload data'!L:L,'caseload data'!$B:$B,{"licence","community"},'caseload data'!$C:$C,'community %'!$T$85)),"")</f>
        <v/>
      </c>
      <c r="AC87" s="167" t="str" cm="1">
        <f t="array" ref="AC87">IFERROR(SUM(SUMIFS('caseload data'!M:M,'caseload data'!$C:$C,'community %'!$T$85,'caseload data'!$D:$D,"PO",'caseload data'!$B:$B,{"licence","community"}))/SUM(SUMIFS('caseload data'!M:M,'caseload data'!$B:$B,{"licence","community"},'caseload data'!$C:$C,'community %'!$T$85)),"")</f>
        <v/>
      </c>
      <c r="AD87" s="167" t="str" cm="1">
        <f t="array" ref="AD87">IFERROR(SUM(SUMIFS('caseload data'!N:N,'caseload data'!$C:$C,'community %'!$T$85,'caseload data'!$D:$D,"PO",'caseload data'!$B:$B,{"licence","community"}))/SUM(SUMIFS('caseload data'!N:N,'caseload data'!$B:$B,{"licence","community"},'caseload data'!$C:$C,'community %'!$T$85)),"")</f>
        <v/>
      </c>
      <c r="AE87" s="167" t="str" cm="1">
        <f t="array" ref="AE87">IFERROR(SUM(SUMIFS('caseload data'!O:O,'caseload data'!$C:$C,'community %'!$T$85,'caseload data'!$D:$D,"PO",'caseload data'!$B:$B,{"licence","community"}))/SUM(SUMIFS('caseload data'!O:O,'caseload data'!$B:$B,{"licence","community"},'caseload data'!$C:$C,'community %'!$T$85)),"")</f>
        <v/>
      </c>
      <c r="AF87" s="167" t="str" cm="1">
        <f t="array" ref="AF87">IFERROR(SUM(SUMIFS('caseload data'!P:P,'caseload data'!$C:$C,'community %'!$T$85,'caseload data'!$D:$D,"PO",'caseload data'!$B:$B,{"licence","community"}))/SUM(SUMIFS('caseload data'!P:P,'caseload data'!$B:$B,{"licence","community"},'caseload data'!$C:$C,'community %'!$T$85)),"")</f>
        <v/>
      </c>
      <c r="AG87" s="167" t="str" cm="1">
        <f t="array" ref="AG87">IFERROR(SUM(SUMIFS('caseload data'!Q:Q,'caseload data'!$C:$C,'community %'!$T$85,'caseload data'!$D:$D,"PO",'caseload data'!$B:$B,{"licence","community"}))/SUM(SUMIFS('caseload data'!Q:Q,'caseload data'!$B:$B,{"licence","community"},'caseload data'!$C:$C,'community %'!$T$85)),"")</f>
        <v/>
      </c>
      <c r="AH87" s="167" t="str" cm="1">
        <f t="array" ref="AH87">IFERROR(SUM(SUMIFS('caseload data'!R:R,'caseload data'!$C:$C,'community %'!$T$85,'caseload data'!$D:$D,"PO",'caseload data'!$B:$B,{"licence","community"}))/SUM(SUMIFS('caseload data'!R:R,'caseload data'!$B:$B,{"licence","community"},'caseload data'!$C:$C,'community %'!$T$85)),"")</f>
        <v/>
      </c>
      <c r="AI87" s="167" t="str" cm="1">
        <f t="array" ref="AI87">IFERROR(SUM(SUMIFS('caseload data'!S:S,'caseload data'!$C:$C,'community %'!$T$85,'caseload data'!$D:$D,"PO",'caseload data'!$B:$B,{"licence","community"}))/SUM(SUMIFS('caseload data'!S:S,'caseload data'!$B:$B,{"licence","community"},'caseload data'!$C:$C,'community %'!$T$85)),"")</f>
        <v/>
      </c>
      <c r="AJ87" s="167" t="str" cm="1">
        <f t="array" ref="AJ87">IFERROR(SUM(SUMIFS('caseload data'!T:T,'caseload data'!$C:$C,'community %'!$T$85,'caseload data'!$D:$D,"PO",'caseload data'!$B:$B,{"licence","community"}))/SUM(SUMIFS('caseload data'!T:T,'caseload data'!$B:$B,{"licence","community"},'caseload data'!$C:$C,'community %'!$T$85)),"")</f>
        <v/>
      </c>
    </row>
    <row r="88" spans="2:36" x14ac:dyDescent="0.15">
      <c r="B88" s="97" t="s">
        <v>1002</v>
      </c>
      <c r="C88" s="167" t="str" cm="1">
        <f t="array" ref="C88">IFERROR(SUM(SUMIFS('caseload data'!E:E,'caseload data'!$C:$C,'community %'!$B$85,'caseload data'!$D:$D,"PSO",'caseload data'!$B:$B,{"licence","community"}))/SUM(SUMIFS('caseload data'!E:E,'caseload data'!$B:$B,{"licence","community"},'caseload data'!$C:$C,'community %'!$B$85)),"")</f>
        <v/>
      </c>
      <c r="D88" s="167" t="str" cm="1">
        <f t="array" ref="D88">IFERROR(SUM(SUMIFS('caseload data'!F:F,'caseload data'!$C:$C,'community %'!$B$85,'caseload data'!$D:$D,"PSO",'caseload data'!$B:$B,{"licence","community"}))/SUM(SUMIFS('caseload data'!F:F,'caseload data'!$B:$B,{"licence","community"},'caseload data'!$C:$C,'community %'!$B$85)),"")</f>
        <v/>
      </c>
      <c r="E88" s="167" t="str" cm="1">
        <f t="array" ref="E88">IFERROR(SUM(SUMIFS('caseload data'!G:G,'caseload data'!$C:$C,'community %'!$B$85,'caseload data'!$D:$D,"PSO",'caseload data'!$B:$B,{"licence","community"}))/SUM(SUMIFS('caseload data'!G:G,'caseload data'!$B:$B,{"licence","community"},'caseload data'!$C:$C,'community %'!$B$85)),"")</f>
        <v/>
      </c>
      <c r="F88" s="167" t="str" cm="1">
        <f t="array" ref="F88">IFERROR(SUM(SUMIFS('caseload data'!H:H,'caseload data'!$C:$C,'community %'!$B$85,'caseload data'!$D:$D,"PSO",'caseload data'!$B:$B,{"licence","community"}))/SUM(SUMIFS('caseload data'!H:H,'caseload data'!$B:$B,{"licence","community"},'caseload data'!$C:$C,'community %'!$B$85)),"")</f>
        <v/>
      </c>
      <c r="G88" s="167" t="str" cm="1">
        <f t="array" ref="G88">IFERROR(SUM(SUMIFS('caseload data'!I:I,'caseload data'!$C:$C,'community %'!$B$85,'caseload data'!$D:$D,"PSO",'caseload data'!$B:$B,{"licence","community"}))/SUM(SUMIFS('caseload data'!I:I,'caseload data'!$B:$B,{"licence","community"},'caseload data'!$C:$C,'community %'!$B$85)),"")</f>
        <v/>
      </c>
      <c r="H88" s="167" t="str" cm="1">
        <f t="array" ref="H88">IFERROR(SUM(SUMIFS('caseload data'!J:J,'caseload data'!$C:$C,'community %'!$B$85,'caseload data'!$D:$D,"PSO",'caseload data'!$B:$B,{"licence","community"}))/SUM(SUMIFS('caseload data'!J:J,'caseload data'!$B:$B,{"licence","community"},'caseload data'!$C:$C,'community %'!$B$85)),"")</f>
        <v/>
      </c>
      <c r="I88" s="167" t="str" cm="1">
        <f t="array" ref="I88">IFERROR(SUM(SUMIFS('caseload data'!K:K,'caseload data'!$C:$C,'community %'!$B$85,'caseload data'!$D:$D,"PSO",'caseload data'!$B:$B,{"licence","community"}))/SUM(SUMIFS('caseload data'!K:K,'caseload data'!$B:$B,{"licence","community"},'caseload data'!$C:$C,'community %'!$B$85)),"")</f>
        <v/>
      </c>
      <c r="J88" s="167" t="str" cm="1">
        <f t="array" ref="J88">IFERROR(SUM(SUMIFS('caseload data'!L:L,'caseload data'!$C:$C,'community %'!$B$85,'caseload data'!$D:$D,"PSO",'caseload data'!$B:$B,{"licence","community"}))/SUM(SUMIFS('caseload data'!L:L,'caseload data'!$B:$B,{"licence","community"},'caseload data'!$C:$C,'community %'!$B$85)),"")</f>
        <v/>
      </c>
      <c r="K88" s="167" t="str" cm="1">
        <f t="array" ref="K88">IFERROR(SUM(SUMIFS('caseload data'!M:M,'caseload data'!$C:$C,'community %'!$B$85,'caseload data'!$D:$D,"PSO",'caseload data'!$B:$B,{"licence","community"}))/SUM(SUMIFS('caseload data'!M:M,'caseload data'!$B:$B,{"licence","community"},'caseload data'!$C:$C,'community %'!$B$85)),"")</f>
        <v/>
      </c>
      <c r="L88" s="167" t="str" cm="1">
        <f t="array" ref="L88">IFERROR(SUM(SUMIFS('caseload data'!N:N,'caseload data'!$C:$C,'community %'!$B$85,'caseload data'!$D:$D,"PSO",'caseload data'!$B:$B,{"licence","community"}))/SUM(SUMIFS('caseload data'!N:N,'caseload data'!$B:$B,{"licence","community"},'caseload data'!$C:$C,'community %'!$B$85)),"")</f>
        <v/>
      </c>
      <c r="M88" s="167" t="str" cm="1">
        <f t="array" ref="M88">IFERROR(SUM(SUMIFS('caseload data'!O:O,'caseload data'!$C:$C,'community %'!$B$85,'caseload data'!$D:$D,"PSO",'caseload data'!$B:$B,{"licence","community"}))/SUM(SUMIFS('caseload data'!O:O,'caseload data'!$B:$B,{"licence","community"},'caseload data'!$C:$C,'community %'!$B$85)),"")</f>
        <v/>
      </c>
      <c r="N88" s="167" t="str" cm="1">
        <f t="array" ref="N88">IFERROR(SUM(SUMIFS('caseload data'!P:P,'caseload data'!$C:$C,'community %'!$B$85,'caseload data'!$D:$D,"PSO",'caseload data'!$B:$B,{"licence","community"}))/SUM(SUMIFS('caseload data'!P:P,'caseload data'!$B:$B,{"licence","community"},'caseload data'!$C:$C,'community %'!$B$85)),"")</f>
        <v/>
      </c>
      <c r="O88" s="167" t="str" cm="1">
        <f t="array" ref="O88">IFERROR(SUM(SUMIFS('caseload data'!Q:Q,'caseload data'!$C:$C,'community %'!$B$85,'caseload data'!$D:$D,"PSO",'caseload data'!$B:$B,{"licence","community"}))/SUM(SUMIFS('caseload data'!Q:Q,'caseload data'!$B:$B,{"licence","community"},'caseload data'!$C:$C,'community %'!$B$85)),"")</f>
        <v/>
      </c>
      <c r="P88" s="167" t="str" cm="1">
        <f t="array" ref="P88">IFERROR(SUM(SUMIFS('caseload data'!R:R,'caseload data'!$C:$C,'community %'!$B$85,'caseload data'!$D:$D,"PSO",'caseload data'!$B:$B,{"licence","community"}))/SUM(SUMIFS('caseload data'!R:R,'caseload data'!$B:$B,{"licence","community"},'caseload data'!$C:$C,'community %'!$B$85)),"")</f>
        <v/>
      </c>
      <c r="Q88" s="167" t="str" cm="1">
        <f t="array" ref="Q88">IFERROR(SUM(SUMIFS('caseload data'!S:S,'caseload data'!$C:$C,'community %'!$B$85,'caseload data'!$D:$D,"PSO",'caseload data'!$B:$B,{"licence","community"}))/SUM(SUMIFS('caseload data'!S:S,'caseload data'!$B:$B,{"licence","community"},'caseload data'!$C:$C,'community %'!$B$85)),"")</f>
        <v/>
      </c>
      <c r="R88" s="167" t="str" cm="1">
        <f t="array" ref="R88">IFERROR(SUM(SUMIFS('caseload data'!T:T,'caseload data'!$C:$C,'community %'!$B$85,'caseload data'!$D:$D,"PSO",'caseload data'!$B:$B,{"licence","community"}))/SUM(SUMIFS('caseload data'!T:T,'caseload data'!$B:$B,{"licence","community"},'caseload data'!$C:$C,'community %'!$B$85)),"")</f>
        <v/>
      </c>
      <c r="T88" s="97" t="s">
        <v>1002</v>
      </c>
      <c r="U88" s="167" t="str" cm="1">
        <f t="array" ref="U88">IFERROR(SUM(SUMIFS('caseload data'!E:E,'caseload data'!$C:$C,'community %'!$T$85,'caseload data'!$D:$D,"PSO",'caseload data'!$B:$B,{"licence","community"}))/SUM(SUMIFS('caseload data'!E:E,'caseload data'!$B:$B,{"licence","community"},'caseload data'!$C:$C,'community %'!$T$85)),"")</f>
        <v/>
      </c>
      <c r="V88" s="167" t="str" cm="1">
        <f t="array" ref="V88">IFERROR(SUM(SUMIFS('caseload data'!F:F,'caseload data'!$C:$C,'community %'!$T$85,'caseload data'!$D:$D,"PSO",'caseload data'!$B:$B,{"licence","community"}))/SUM(SUMIFS('caseload data'!F:F,'caseload data'!$B:$B,{"licence","community"},'caseload data'!$C:$C,'community %'!$T$85)),"")</f>
        <v/>
      </c>
      <c r="W88" s="167" t="str" cm="1">
        <f t="array" ref="W88">IFERROR(SUM(SUMIFS('caseload data'!G:G,'caseload data'!$C:$C,'community %'!$T$85,'caseload data'!$D:$D,"PSO",'caseload data'!$B:$B,{"licence","community"}))/SUM(SUMIFS('caseload data'!G:G,'caseload data'!$B:$B,{"licence","community"},'caseload data'!$C:$C,'community %'!$T$85)),"")</f>
        <v/>
      </c>
      <c r="X88" s="167" t="str" cm="1">
        <f t="array" ref="X88">IFERROR(SUM(SUMIFS('caseload data'!H:H,'caseload data'!$C:$C,'community %'!$T$85,'caseload data'!$D:$D,"PSO",'caseload data'!$B:$B,{"licence","community"}))/SUM(SUMIFS('caseload data'!H:H,'caseload data'!$B:$B,{"licence","community"},'caseload data'!$C:$C,'community %'!$T$85)),"")</f>
        <v/>
      </c>
      <c r="Y88" s="167" t="str" cm="1">
        <f t="array" ref="Y88">IFERROR(SUM(SUMIFS('caseload data'!I:I,'caseload data'!$C:$C,'community %'!$T$85,'caseload data'!$D:$D,"PSO",'caseload data'!$B:$B,{"licence","community"}))/SUM(SUMIFS('caseload data'!I:I,'caseload data'!$B:$B,{"licence","community"},'caseload data'!$C:$C,'community %'!$T$85)),"")</f>
        <v/>
      </c>
      <c r="Z88" s="167" t="str" cm="1">
        <f t="array" ref="Z88">IFERROR(SUM(SUMIFS('caseload data'!J:J,'caseload data'!$C:$C,'community %'!$T$85,'caseload data'!$D:$D,"PSO",'caseload data'!$B:$B,{"licence","community"}))/SUM(SUMIFS('caseload data'!J:J,'caseload data'!$B:$B,{"licence","community"},'caseload data'!$C:$C,'community %'!$T$85)),"")</f>
        <v/>
      </c>
      <c r="AA88" s="167" t="str" cm="1">
        <f t="array" ref="AA88">IFERROR(SUM(SUMIFS('caseload data'!K:K,'caseload data'!$C:$C,'community %'!$T$85,'caseload data'!$D:$D,"PSO",'caseload data'!$B:$B,{"licence","community"}))/SUM(SUMIFS('caseload data'!K:K,'caseload data'!$B:$B,{"licence","community"},'caseload data'!$C:$C,'community %'!$T$85)),"")</f>
        <v/>
      </c>
      <c r="AB88" s="167" t="str" cm="1">
        <f t="array" ref="AB88">IFERROR(SUM(SUMIFS('caseload data'!L:L,'caseload data'!$C:$C,'community %'!$T$85,'caseload data'!$D:$D,"PSO",'caseload data'!$B:$B,{"licence","community"}))/SUM(SUMIFS('caseload data'!L:L,'caseload data'!$B:$B,{"licence","community"},'caseload data'!$C:$C,'community %'!$T$85)),"")</f>
        <v/>
      </c>
      <c r="AC88" s="167" t="str" cm="1">
        <f t="array" ref="AC88">IFERROR(SUM(SUMIFS('caseload data'!M:M,'caseload data'!$C:$C,'community %'!$T$85,'caseload data'!$D:$D,"PSO",'caseload data'!$B:$B,{"licence","community"}))/SUM(SUMIFS('caseload data'!M:M,'caseload data'!$B:$B,{"licence","community"},'caseload data'!$C:$C,'community %'!$T$85)),"")</f>
        <v/>
      </c>
      <c r="AD88" s="167" t="str" cm="1">
        <f t="array" ref="AD88">IFERROR(SUM(SUMIFS('caseload data'!N:N,'caseload data'!$C:$C,'community %'!$T$85,'caseload data'!$D:$D,"PSO",'caseload data'!$B:$B,{"licence","community"}))/SUM(SUMIFS('caseload data'!N:N,'caseload data'!$B:$B,{"licence","community"},'caseload data'!$C:$C,'community %'!$T$85)),"")</f>
        <v/>
      </c>
      <c r="AE88" s="167" t="str" cm="1">
        <f t="array" ref="AE88">IFERROR(SUM(SUMIFS('caseload data'!O:O,'caseload data'!$C:$C,'community %'!$T$85,'caseload data'!$D:$D,"PSO",'caseload data'!$B:$B,{"licence","community"}))/SUM(SUMIFS('caseload data'!O:O,'caseload data'!$B:$B,{"licence","community"},'caseload data'!$C:$C,'community %'!$T$85)),"")</f>
        <v/>
      </c>
      <c r="AF88" s="167" t="str" cm="1">
        <f t="array" ref="AF88">IFERROR(SUM(SUMIFS('caseload data'!P:P,'caseload data'!$C:$C,'community %'!$T$85,'caseload data'!$D:$D,"PSO",'caseload data'!$B:$B,{"licence","community"}))/SUM(SUMIFS('caseload data'!P:P,'caseload data'!$B:$B,{"licence","community"},'caseload data'!$C:$C,'community %'!$T$85)),"")</f>
        <v/>
      </c>
      <c r="AG88" s="167" t="str" cm="1">
        <f t="array" ref="AG88">IFERROR(SUM(SUMIFS('caseload data'!Q:Q,'caseload data'!$C:$C,'community %'!$T$85,'caseload data'!$D:$D,"PSO",'caseload data'!$B:$B,{"licence","community"}))/SUM(SUMIFS('caseload data'!Q:Q,'caseload data'!$B:$B,{"licence","community"},'caseload data'!$C:$C,'community %'!$T$85)),"")</f>
        <v/>
      </c>
      <c r="AH88" s="167" t="str" cm="1">
        <f t="array" ref="AH88">IFERROR(SUM(SUMIFS('caseload data'!R:R,'caseload data'!$C:$C,'community %'!$T$85,'caseload data'!$D:$D,"PSO",'caseload data'!$B:$B,{"licence","community"}))/SUM(SUMIFS('caseload data'!R:R,'caseload data'!$B:$B,{"licence","community"},'caseload data'!$C:$C,'community %'!$T$85)),"")</f>
        <v/>
      </c>
      <c r="AI88" s="167" t="str" cm="1">
        <f t="array" ref="AI88">IFERROR(SUM(SUMIFS('caseload data'!S:S,'caseload data'!$C:$C,'community %'!$T$85,'caseload data'!$D:$D,"PSO",'caseload data'!$B:$B,{"licence","community"}))/SUM(SUMIFS('caseload data'!S:S,'caseload data'!$B:$B,{"licence","community"},'caseload data'!$C:$C,'community %'!$T$85)),"")</f>
        <v/>
      </c>
      <c r="AJ88" s="167" t="str" cm="1">
        <f t="array" ref="AJ88">IFERROR(SUM(SUMIFS('caseload data'!T:T,'caseload data'!$C:$C,'community %'!$T$85,'caseload data'!$D:$D,"PSO",'caseload data'!$B:$B,{"licence","community"}))/SUM(SUMIFS('caseload data'!T:T,'caseload data'!$B:$B,{"licence","community"},'caseload data'!$C:$C,'community %'!$T$85)),"")</f>
        <v/>
      </c>
    </row>
    <row r="89" spans="2:36" x14ac:dyDescent="0.15">
      <c r="B89" s="97" t="s">
        <v>1003</v>
      </c>
      <c r="C89" s="167" t="str" cm="1">
        <f t="array" ref="C89">IFERROR(SUM(SUMIFS('caseload data'!E:E,'caseload data'!$C:$C,'community %'!$B$85,'caseload data'!$D:$D,"TPO",'caseload data'!$B:$B,{"licence","community"}))/SUM(SUMIFS('caseload data'!E:E,'caseload data'!$B:$B,{"licence","community"},'caseload data'!$C:$C,'community %'!$B$85)),"")</f>
        <v/>
      </c>
      <c r="D89" s="167" t="str" cm="1">
        <f t="array" ref="D89">IFERROR(SUM(SUMIFS('caseload data'!F:F,'caseload data'!$C:$C,'community %'!$B$85,'caseload data'!$D:$D,"TPO",'caseload data'!$B:$B,{"licence","community"}))/SUM(SUMIFS('caseload data'!F:F,'caseload data'!$B:$B,{"licence","community"},'caseload data'!$C:$C,'community %'!$B$85)),"")</f>
        <v/>
      </c>
      <c r="E89" s="167" t="str" cm="1">
        <f t="array" ref="E89">IFERROR(SUM(SUMIFS('caseload data'!G:G,'caseload data'!$C:$C,'community %'!$B$85,'caseload data'!$D:$D,"TPO",'caseload data'!$B:$B,{"licence","community"}))/SUM(SUMIFS('caseload data'!G:G,'caseload data'!$B:$B,{"licence","community"},'caseload data'!$C:$C,'community %'!$B$85)),"")</f>
        <v/>
      </c>
      <c r="F89" s="167" t="str" cm="1">
        <f t="array" ref="F89">IFERROR(SUM(SUMIFS('caseload data'!H:H,'caseload data'!$C:$C,'community %'!$B$85,'caseload data'!$D:$D,"TPO",'caseload data'!$B:$B,{"licence","community"}))/SUM(SUMIFS('caseload data'!H:H,'caseload data'!$B:$B,{"licence","community"},'caseload data'!$C:$C,'community %'!$B$85)),"")</f>
        <v/>
      </c>
      <c r="G89" s="167" t="str" cm="1">
        <f t="array" ref="G89">IFERROR(SUM(SUMIFS('caseload data'!I:I,'caseload data'!$C:$C,'community %'!$B$85,'caseload data'!$D:$D,"TPO",'caseload data'!$B:$B,{"licence","community"}))/SUM(SUMIFS('caseload data'!I:I,'caseload data'!$B:$B,{"licence","community"},'caseload data'!$C:$C,'community %'!$B$85)),"")</f>
        <v/>
      </c>
      <c r="H89" s="167" t="str" cm="1">
        <f t="array" ref="H89">IFERROR(SUM(SUMIFS('caseload data'!J:J,'caseload data'!$C:$C,'community %'!$B$85,'caseload data'!$D:$D,"TPO",'caseload data'!$B:$B,{"licence","community"}))/SUM(SUMIFS('caseload data'!J:J,'caseload data'!$B:$B,{"licence","community"},'caseload data'!$C:$C,'community %'!$B$85)),"")</f>
        <v/>
      </c>
      <c r="I89" s="167" t="str" cm="1">
        <f t="array" ref="I89">IFERROR(SUM(SUMIFS('caseload data'!K:K,'caseload data'!$C:$C,'community %'!$B$85,'caseload data'!$D:$D,"TPO",'caseload data'!$B:$B,{"licence","community"}))/SUM(SUMIFS('caseload data'!K:K,'caseload data'!$B:$B,{"licence","community"},'caseload data'!$C:$C,'community %'!$B$85)),"")</f>
        <v/>
      </c>
      <c r="J89" s="167" t="str" cm="1">
        <f t="array" ref="J89">IFERROR(SUM(SUMIFS('caseload data'!L:L,'caseload data'!$C:$C,'community %'!$B$85,'caseload data'!$D:$D,"TPO",'caseload data'!$B:$B,{"licence","community"}))/SUM(SUMIFS('caseload data'!L:L,'caseload data'!$B:$B,{"licence","community"},'caseload data'!$C:$C,'community %'!$B$85)),"")</f>
        <v/>
      </c>
      <c r="K89" s="167" t="str" cm="1">
        <f t="array" ref="K89">IFERROR(SUM(SUMIFS('caseload data'!M:M,'caseload data'!$C:$C,'community %'!$B$85,'caseload data'!$D:$D,"TPO",'caseload data'!$B:$B,{"licence","community"}))/SUM(SUMIFS('caseload data'!M:M,'caseload data'!$B:$B,{"licence","community"},'caseload data'!$C:$C,'community %'!$B$85)),"")</f>
        <v/>
      </c>
      <c r="L89" s="167" t="str" cm="1">
        <f t="array" ref="L89">IFERROR(SUM(SUMIFS('caseload data'!N:N,'caseload data'!$C:$C,'community %'!$B$85,'caseload data'!$D:$D,"TPO",'caseload data'!$B:$B,{"licence","community"}))/SUM(SUMIFS('caseload data'!N:N,'caseload data'!$B:$B,{"licence","community"},'caseload data'!$C:$C,'community %'!$B$85)),"")</f>
        <v/>
      </c>
      <c r="M89" s="167" t="str" cm="1">
        <f t="array" ref="M89">IFERROR(SUM(SUMIFS('caseload data'!O:O,'caseload data'!$C:$C,'community %'!$B$85,'caseload data'!$D:$D,"TPO",'caseload data'!$B:$B,{"licence","community"}))/SUM(SUMIFS('caseload data'!O:O,'caseload data'!$B:$B,{"licence","community"},'caseload data'!$C:$C,'community %'!$B$85)),"")</f>
        <v/>
      </c>
      <c r="N89" s="167" t="str" cm="1">
        <f t="array" ref="N89">IFERROR(SUM(SUMIFS('caseload data'!P:P,'caseload data'!$C:$C,'community %'!$B$85,'caseload data'!$D:$D,"TPO",'caseload data'!$B:$B,{"licence","community"}))/SUM(SUMIFS('caseload data'!P:P,'caseload data'!$B:$B,{"licence","community"},'caseload data'!$C:$C,'community %'!$B$85)),"")</f>
        <v/>
      </c>
      <c r="O89" s="167" t="str" cm="1">
        <f t="array" ref="O89">IFERROR(SUM(SUMIFS('caseload data'!Q:Q,'caseload data'!$C:$C,'community %'!$B$85,'caseload data'!$D:$D,"TPO",'caseload data'!$B:$B,{"licence","community"}))/SUM(SUMIFS('caseload data'!Q:Q,'caseload data'!$B:$B,{"licence","community"},'caseload data'!$C:$C,'community %'!$B$85)),"")</f>
        <v/>
      </c>
      <c r="P89" s="167" t="str" cm="1">
        <f t="array" ref="P89">IFERROR(SUM(SUMIFS('caseload data'!R:R,'caseload data'!$C:$C,'community %'!$B$85,'caseload data'!$D:$D,"TPO",'caseload data'!$B:$B,{"licence","community"}))/SUM(SUMIFS('caseload data'!R:R,'caseload data'!$B:$B,{"licence","community"},'caseload data'!$C:$C,'community %'!$B$85)),"")</f>
        <v/>
      </c>
      <c r="Q89" s="167" t="str" cm="1">
        <f t="array" ref="Q89">IFERROR(SUM(SUMIFS('caseload data'!S:S,'caseload data'!$C:$C,'community %'!$B$85,'caseload data'!$D:$D,"TPO",'caseload data'!$B:$B,{"licence","community"}))/SUM(SUMIFS('caseload data'!S:S,'caseload data'!$B:$B,{"licence","community"},'caseload data'!$C:$C,'community %'!$B$85)),"")</f>
        <v/>
      </c>
      <c r="R89" s="167" t="str" cm="1">
        <f t="array" ref="R89">IFERROR(SUM(SUMIFS('caseload data'!T:T,'caseload data'!$C:$C,'community %'!$B$85,'caseload data'!$D:$D,"TPO",'caseload data'!$B:$B,{"licence","community"}))/SUM(SUMIFS('caseload data'!T:T,'caseload data'!$B:$B,{"licence","community"},'caseload data'!$C:$C,'community %'!$B$85)),"")</f>
        <v/>
      </c>
      <c r="T89" s="97" t="s">
        <v>1003</v>
      </c>
      <c r="U89" s="167" t="str" cm="1">
        <f t="array" ref="U89">IFERROR(SUM(SUMIFS('caseload data'!E:E,'caseload data'!$C:$C,'community %'!$T$85,'caseload data'!$D:$D,"TPO",'caseload data'!$B:$B,{"licence","community"}))/SUM(SUMIFS('caseload data'!E:E,'caseload data'!$B:$B,{"licence","community"},'caseload data'!$C:$C,'community %'!$T$85)),"")</f>
        <v/>
      </c>
      <c r="V89" s="167" t="str" cm="1">
        <f t="array" ref="V89">IFERROR(SUM(SUMIFS('caseload data'!F:F,'caseload data'!$C:$C,'community %'!$T$85,'caseload data'!$D:$D,"TPO",'caseload data'!$B:$B,{"licence","community"}))/SUM(SUMIFS('caseload data'!F:F,'caseload data'!$B:$B,{"licence","community"},'caseload data'!$C:$C,'community %'!$T$85)),"")</f>
        <v/>
      </c>
      <c r="W89" s="167" t="str" cm="1">
        <f t="array" ref="W89">IFERROR(SUM(SUMIFS('caseload data'!G:G,'caseload data'!$C:$C,'community %'!$T$85,'caseload data'!$D:$D,"TPO",'caseload data'!$B:$B,{"licence","community"}))/SUM(SUMIFS('caseload data'!G:G,'caseload data'!$B:$B,{"licence","community"},'caseload data'!$C:$C,'community %'!$T$85)),"")</f>
        <v/>
      </c>
      <c r="X89" s="167" t="str" cm="1">
        <f t="array" ref="X89">IFERROR(SUM(SUMIFS('caseload data'!H:H,'caseload data'!$C:$C,'community %'!$T$85,'caseload data'!$D:$D,"TPO",'caseload data'!$B:$B,{"licence","community"}))/SUM(SUMIFS('caseload data'!H:H,'caseload data'!$B:$B,{"licence","community"},'caseload data'!$C:$C,'community %'!$T$85)),"")</f>
        <v/>
      </c>
      <c r="Y89" s="167" t="str" cm="1">
        <f t="array" ref="Y89">IFERROR(SUM(SUMIFS('caseload data'!I:I,'caseload data'!$C:$C,'community %'!$T$85,'caseload data'!$D:$D,"TPO",'caseload data'!$B:$B,{"licence","community"}))/SUM(SUMIFS('caseload data'!I:I,'caseload data'!$B:$B,{"licence","community"},'caseload data'!$C:$C,'community %'!$T$85)),"")</f>
        <v/>
      </c>
      <c r="Z89" s="167" t="str" cm="1">
        <f t="array" ref="Z89">IFERROR(SUM(SUMIFS('caseload data'!J:J,'caseload data'!$C:$C,'community %'!$T$85,'caseload data'!$D:$D,"TPO",'caseload data'!$B:$B,{"licence","community"}))/SUM(SUMIFS('caseload data'!J:J,'caseload data'!$B:$B,{"licence","community"},'caseload data'!$C:$C,'community %'!$T$85)),"")</f>
        <v/>
      </c>
      <c r="AA89" s="167" t="str" cm="1">
        <f t="array" ref="AA89">IFERROR(SUM(SUMIFS('caseload data'!K:K,'caseload data'!$C:$C,'community %'!$T$85,'caseload data'!$D:$D,"TPO",'caseload data'!$B:$B,{"licence","community"}))/SUM(SUMIFS('caseload data'!K:K,'caseload data'!$B:$B,{"licence","community"},'caseload data'!$C:$C,'community %'!$T$85)),"")</f>
        <v/>
      </c>
      <c r="AB89" s="167" t="str" cm="1">
        <f t="array" ref="AB89">IFERROR(SUM(SUMIFS('caseload data'!L:L,'caseload data'!$C:$C,'community %'!$T$85,'caseload data'!$D:$D,"TPO",'caseload data'!$B:$B,{"licence","community"}))/SUM(SUMIFS('caseload data'!L:L,'caseload data'!$B:$B,{"licence","community"},'caseload data'!$C:$C,'community %'!$T$85)),"")</f>
        <v/>
      </c>
      <c r="AC89" s="167" t="str" cm="1">
        <f t="array" ref="AC89">IFERROR(SUM(SUMIFS('caseload data'!M:M,'caseload data'!$C:$C,'community %'!$T$85,'caseload data'!$D:$D,"TPO",'caseload data'!$B:$B,{"licence","community"}))/SUM(SUMIFS('caseload data'!M:M,'caseload data'!$B:$B,{"licence","community"},'caseload data'!$C:$C,'community %'!$T$85)),"")</f>
        <v/>
      </c>
      <c r="AD89" s="167" t="str" cm="1">
        <f t="array" ref="AD89">IFERROR(SUM(SUMIFS('caseload data'!N:N,'caseload data'!$C:$C,'community %'!$T$85,'caseload data'!$D:$D,"TPO",'caseload data'!$B:$B,{"licence","community"}))/SUM(SUMIFS('caseload data'!N:N,'caseload data'!$B:$B,{"licence","community"},'caseload data'!$C:$C,'community %'!$T$85)),"")</f>
        <v/>
      </c>
      <c r="AE89" s="167" t="str" cm="1">
        <f t="array" ref="AE89">IFERROR(SUM(SUMIFS('caseload data'!O:O,'caseload data'!$C:$C,'community %'!$T$85,'caseload data'!$D:$D,"TPO",'caseload data'!$B:$B,{"licence","community"}))/SUM(SUMIFS('caseload data'!O:O,'caseload data'!$B:$B,{"licence","community"},'caseload data'!$C:$C,'community %'!$T$85)),"")</f>
        <v/>
      </c>
      <c r="AF89" s="167" t="str" cm="1">
        <f t="array" ref="AF89">IFERROR(SUM(SUMIFS('caseload data'!P:P,'caseload data'!$C:$C,'community %'!$T$85,'caseload data'!$D:$D,"TPO",'caseload data'!$B:$B,{"licence","community"}))/SUM(SUMIFS('caseload data'!P:P,'caseload data'!$B:$B,{"licence","community"},'caseload data'!$C:$C,'community %'!$T$85)),"")</f>
        <v/>
      </c>
      <c r="AG89" s="167" t="str" cm="1">
        <f t="array" ref="AG89">IFERROR(SUM(SUMIFS('caseload data'!Q:Q,'caseload data'!$C:$C,'community %'!$T$85,'caseload data'!$D:$D,"TPO",'caseload data'!$B:$B,{"licence","community"}))/SUM(SUMIFS('caseload data'!Q:Q,'caseload data'!$B:$B,{"licence","community"},'caseload data'!$C:$C,'community %'!$T$85)),"")</f>
        <v/>
      </c>
      <c r="AH89" s="167" t="str" cm="1">
        <f t="array" ref="AH89">IFERROR(SUM(SUMIFS('caseload data'!R:R,'caseload data'!$C:$C,'community %'!$T$85,'caseload data'!$D:$D,"TPO",'caseload data'!$B:$B,{"licence","community"}))/SUM(SUMIFS('caseload data'!R:R,'caseload data'!$B:$B,{"licence","community"},'caseload data'!$C:$C,'community %'!$T$85)),"")</f>
        <v/>
      </c>
      <c r="AI89" s="167" t="str" cm="1">
        <f t="array" ref="AI89">IFERROR(SUM(SUMIFS('caseload data'!S:S,'caseload data'!$C:$C,'community %'!$T$85,'caseload data'!$D:$D,"TPO",'caseload data'!$B:$B,{"licence","community"}))/SUM(SUMIFS('caseload data'!S:S,'caseload data'!$B:$B,{"licence","community"},'caseload data'!$C:$C,'community %'!$T$85)),"")</f>
        <v/>
      </c>
      <c r="AJ89" s="167" t="str" cm="1">
        <f t="array" ref="AJ89">IFERROR(SUM(SUMIFS('caseload data'!T:T,'caseload data'!$C:$C,'community %'!$T$85,'caseload data'!$D:$D,"TPO",'caseload data'!$B:$B,{"licence","community"}))/SUM(SUMIFS('caseload data'!T:T,'caseload data'!$B:$B,{"licence","community"},'caseload data'!$C:$C,'community %'!$T$85)),"")</f>
        <v/>
      </c>
    </row>
    <row r="90" spans="2:36" x14ac:dyDescent="0.15">
      <c r="B90" s="98" t="s">
        <v>1004</v>
      </c>
      <c r="C90" s="167" t="str" cm="1">
        <f t="array" ref="C90">IFERROR(SUM(SUMIFS('caseload data'!E:E,'caseload data'!$C:$C,'community %'!$B$85,'caseload data'!$D:$D,"SPO",'caseload data'!$B:$B,{"licence","community"}))/SUM(SUMIFS('caseload data'!E:E,'caseload data'!$B:$B,{"licence","community"},'caseload data'!$C:$C,'community %'!$B$85)),"")</f>
        <v/>
      </c>
      <c r="D90" s="167" t="str" cm="1">
        <f t="array" ref="D90">IFERROR(SUM(SUMIFS('caseload data'!F:F,'caseload data'!$C:$C,'community %'!$B$85,'caseload data'!$D:$D,"SPO",'caseload data'!$B:$B,{"licence","community"}))/SUM(SUMIFS('caseload data'!F:F,'caseload data'!$B:$B,{"licence","community"},'caseload data'!$C:$C,'community %'!$B$85)),"")</f>
        <v/>
      </c>
      <c r="E90" s="167" t="str" cm="1">
        <f t="array" ref="E90">IFERROR(SUM(SUMIFS('caseload data'!G:G,'caseload data'!$C:$C,'community %'!$B$85,'caseload data'!$D:$D,"SPO",'caseload data'!$B:$B,{"licence","community"}))/SUM(SUMIFS('caseload data'!G:G,'caseload data'!$B:$B,{"licence","community"},'caseload data'!$C:$C,'community %'!$B$85)),"")</f>
        <v/>
      </c>
      <c r="F90" s="167" t="str" cm="1">
        <f t="array" ref="F90">IFERROR(SUM(SUMIFS('caseload data'!H:H,'caseload data'!$C:$C,'community %'!$B$85,'caseload data'!$D:$D,"SPO",'caseload data'!$B:$B,{"licence","community"}))/SUM(SUMIFS('caseload data'!H:H,'caseload data'!$B:$B,{"licence","community"},'caseload data'!$C:$C,'community %'!$B$85)),"")</f>
        <v/>
      </c>
      <c r="G90" s="167" t="str" cm="1">
        <f t="array" ref="G90">IFERROR(SUM(SUMIFS('caseload data'!I:I,'caseload data'!$C:$C,'community %'!$B$85,'caseload data'!$D:$D,"SPO",'caseload data'!$B:$B,{"licence","community"}))/SUM(SUMIFS('caseload data'!I:I,'caseload data'!$B:$B,{"licence","community"},'caseload data'!$C:$C,'community %'!$B$85)),"")</f>
        <v/>
      </c>
      <c r="H90" s="167" t="str" cm="1">
        <f t="array" ref="H90">IFERROR(SUM(SUMIFS('caseload data'!J:J,'caseload data'!$C:$C,'community %'!$B$85,'caseload data'!$D:$D,"SPO",'caseload data'!$B:$B,{"licence","community"}))/SUM(SUMIFS('caseload data'!J:J,'caseload data'!$B:$B,{"licence","community"},'caseload data'!$C:$C,'community %'!$B$85)),"")</f>
        <v/>
      </c>
      <c r="I90" s="167" t="str" cm="1">
        <f t="array" ref="I90">IFERROR(SUM(SUMIFS('caseload data'!K:K,'caseload data'!$C:$C,'community %'!$B$85,'caseload data'!$D:$D,"SPO",'caseload data'!$B:$B,{"licence","community"}))/SUM(SUMIFS('caseload data'!K:K,'caseload data'!$B:$B,{"licence","community"},'caseload data'!$C:$C,'community %'!$B$85)),"")</f>
        <v/>
      </c>
      <c r="J90" s="167" t="str" cm="1">
        <f t="array" ref="J90">IFERROR(SUM(SUMIFS('caseload data'!L:L,'caseload data'!$C:$C,'community %'!$B$85,'caseload data'!$D:$D,"SPO",'caseload data'!$B:$B,{"licence","community"}))/SUM(SUMIFS('caseload data'!L:L,'caseload data'!$B:$B,{"licence","community"},'caseload data'!$C:$C,'community %'!$B$85)),"")</f>
        <v/>
      </c>
      <c r="K90" s="167" t="str" cm="1">
        <f t="array" ref="K90">IFERROR(SUM(SUMIFS('caseload data'!M:M,'caseload data'!$C:$C,'community %'!$B$85,'caseload data'!$D:$D,"SPO",'caseload data'!$B:$B,{"licence","community"}))/SUM(SUMIFS('caseload data'!M:M,'caseload data'!$B:$B,{"licence","community"},'caseload data'!$C:$C,'community %'!$B$85)),"")</f>
        <v/>
      </c>
      <c r="L90" s="167" t="str" cm="1">
        <f t="array" ref="L90">IFERROR(SUM(SUMIFS('caseload data'!N:N,'caseload data'!$C:$C,'community %'!$B$85,'caseload data'!$D:$D,"SPO",'caseload data'!$B:$B,{"licence","community"}))/SUM(SUMIFS('caseload data'!N:N,'caseload data'!$B:$B,{"licence","community"},'caseload data'!$C:$C,'community %'!$B$85)),"")</f>
        <v/>
      </c>
      <c r="M90" s="167" t="str" cm="1">
        <f t="array" ref="M90">IFERROR(SUM(SUMIFS('caseload data'!O:O,'caseload data'!$C:$C,'community %'!$B$85,'caseload data'!$D:$D,"SPO",'caseload data'!$B:$B,{"licence","community"}))/SUM(SUMIFS('caseload data'!O:O,'caseload data'!$B:$B,{"licence","community"},'caseload data'!$C:$C,'community %'!$B$85)),"")</f>
        <v/>
      </c>
      <c r="N90" s="167" t="str" cm="1">
        <f t="array" ref="N90">IFERROR(SUM(SUMIFS('caseload data'!P:P,'caseload data'!$C:$C,'community %'!$B$85,'caseload data'!$D:$D,"SPO",'caseload data'!$B:$B,{"licence","community"}))/SUM(SUMIFS('caseload data'!P:P,'caseload data'!$B:$B,{"licence","community"},'caseload data'!$C:$C,'community %'!$B$85)),"")</f>
        <v/>
      </c>
      <c r="O90" s="167" t="str" cm="1">
        <f t="array" ref="O90">IFERROR(SUM(SUMIFS('caseload data'!Q:Q,'caseload data'!$C:$C,'community %'!$B$85,'caseload data'!$D:$D,"SPO",'caseload data'!$B:$B,{"licence","community"}))/SUM(SUMIFS('caseload data'!Q:Q,'caseload data'!$B:$B,{"licence","community"},'caseload data'!$C:$C,'community %'!$B$85)),"")</f>
        <v/>
      </c>
      <c r="P90" s="167" t="str" cm="1">
        <f t="array" ref="P90">IFERROR(SUM(SUMIFS('caseload data'!R:R,'caseload data'!$C:$C,'community %'!$B$85,'caseload data'!$D:$D,"SPO",'caseload data'!$B:$B,{"licence","community"}))/SUM(SUMIFS('caseload data'!R:R,'caseload data'!$B:$B,{"licence","community"},'caseload data'!$C:$C,'community %'!$B$85)),"")</f>
        <v/>
      </c>
      <c r="Q90" s="167" t="str" cm="1">
        <f t="array" ref="Q90">IFERROR(SUM(SUMIFS('caseload data'!S:S,'caseload data'!$C:$C,'community %'!$B$85,'caseload data'!$D:$D,"SPO",'caseload data'!$B:$B,{"licence","community"}))/SUM(SUMIFS('caseload data'!S:S,'caseload data'!$B:$B,{"licence","community"},'caseload data'!$C:$C,'community %'!$B$85)),"")</f>
        <v/>
      </c>
      <c r="R90" s="167" t="str" cm="1">
        <f t="array" ref="R90">IFERROR(SUM(SUMIFS('caseload data'!T:T,'caseload data'!$C:$C,'community %'!$B$85,'caseload data'!$D:$D,"SPO",'caseload data'!$B:$B,{"licence","community"}))/SUM(SUMIFS('caseload data'!T:T,'caseload data'!$B:$B,{"licence","community"},'caseload data'!$C:$C,'community %'!$B$85)),"")</f>
        <v/>
      </c>
      <c r="T90" s="98" t="s">
        <v>1004</v>
      </c>
      <c r="U90" s="167" t="str" cm="1">
        <f t="array" ref="U90">IFERROR(SUM(SUMIFS('caseload data'!E:E,'caseload data'!$C:$C,'community %'!$T$85,'caseload data'!$D:$D,"SPO",'caseload data'!$B:$B,{"licence","community"}))/SUM(SUMIFS('caseload data'!E:E,'caseload data'!$B:$B,{"licence","community"},'caseload data'!$C:$C,'community %'!$T$85)),"")</f>
        <v/>
      </c>
      <c r="V90" s="167" t="str" cm="1">
        <f t="array" ref="V90">IFERROR(SUM(SUMIFS('caseload data'!F:F,'caseload data'!$C:$C,'community %'!$T$85,'caseload data'!$D:$D,"SPO",'caseload data'!$B:$B,{"licence","community"}))/SUM(SUMIFS('caseload data'!F:F,'caseload data'!$B:$B,{"licence","community"},'caseload data'!$C:$C,'community %'!$T$85)),"")</f>
        <v/>
      </c>
      <c r="W90" s="167" t="str" cm="1">
        <f t="array" ref="W90">IFERROR(SUM(SUMIFS('caseload data'!G:G,'caseload data'!$C:$C,'community %'!$T$85,'caseload data'!$D:$D,"SPO",'caseload data'!$B:$B,{"licence","community"}))/SUM(SUMIFS('caseload data'!G:G,'caseload data'!$B:$B,{"licence","community"},'caseload data'!$C:$C,'community %'!$T$85)),"")</f>
        <v/>
      </c>
      <c r="X90" s="167" t="str" cm="1">
        <f t="array" ref="X90">IFERROR(SUM(SUMIFS('caseload data'!H:H,'caseload data'!$C:$C,'community %'!$T$85,'caseload data'!$D:$D,"SPO",'caseload data'!$B:$B,{"licence","community"}))/SUM(SUMIFS('caseload data'!H:H,'caseload data'!$B:$B,{"licence","community"},'caseload data'!$C:$C,'community %'!$T$85)),"")</f>
        <v/>
      </c>
      <c r="Y90" s="167" t="str" cm="1">
        <f t="array" ref="Y90">IFERROR(SUM(SUMIFS('caseload data'!I:I,'caseload data'!$C:$C,'community %'!$T$85,'caseload data'!$D:$D,"SPO",'caseload data'!$B:$B,{"licence","community"}))/SUM(SUMIFS('caseload data'!I:I,'caseload data'!$B:$B,{"licence","community"},'caseload data'!$C:$C,'community %'!$T$85)),"")</f>
        <v/>
      </c>
      <c r="Z90" s="167" t="str" cm="1">
        <f t="array" ref="Z90">IFERROR(SUM(SUMIFS('caseload data'!J:J,'caseload data'!$C:$C,'community %'!$T$85,'caseload data'!$D:$D,"SPO",'caseload data'!$B:$B,{"licence","community"}))/SUM(SUMIFS('caseload data'!J:J,'caseload data'!$B:$B,{"licence","community"},'caseload data'!$C:$C,'community %'!$T$85)),"")</f>
        <v/>
      </c>
      <c r="AA90" s="167" t="str" cm="1">
        <f t="array" ref="AA90">IFERROR(SUM(SUMIFS('caseload data'!K:K,'caseload data'!$C:$C,'community %'!$T$85,'caseload data'!$D:$D,"SPO",'caseload data'!$B:$B,{"licence","community"}))/SUM(SUMIFS('caseload data'!K:K,'caseload data'!$B:$B,{"licence","community"},'caseload data'!$C:$C,'community %'!$T$85)),"")</f>
        <v/>
      </c>
      <c r="AB90" s="167" t="str" cm="1">
        <f t="array" ref="AB90">IFERROR(SUM(SUMIFS('caseload data'!L:L,'caseload data'!$C:$C,'community %'!$T$85,'caseload data'!$D:$D,"SPO",'caseload data'!$B:$B,{"licence","community"}))/SUM(SUMIFS('caseload data'!L:L,'caseload data'!$B:$B,{"licence","community"},'caseload data'!$C:$C,'community %'!$T$85)),"")</f>
        <v/>
      </c>
      <c r="AC90" s="167" t="str" cm="1">
        <f t="array" ref="AC90">IFERROR(SUM(SUMIFS('caseload data'!M:M,'caseload data'!$C:$C,'community %'!$T$85,'caseload data'!$D:$D,"SPO",'caseload data'!$B:$B,{"licence","community"}))/SUM(SUMIFS('caseload data'!M:M,'caseload data'!$B:$B,{"licence","community"},'caseload data'!$C:$C,'community %'!$T$85)),"")</f>
        <v/>
      </c>
      <c r="AD90" s="167" t="str" cm="1">
        <f t="array" ref="AD90">IFERROR(SUM(SUMIFS('caseload data'!N:N,'caseload data'!$C:$C,'community %'!$T$85,'caseload data'!$D:$D,"SPO",'caseload data'!$B:$B,{"licence","community"}))/SUM(SUMIFS('caseload data'!N:N,'caseload data'!$B:$B,{"licence","community"},'caseload data'!$C:$C,'community %'!$T$85)),"")</f>
        <v/>
      </c>
      <c r="AE90" s="167" t="str" cm="1">
        <f t="array" ref="AE90">IFERROR(SUM(SUMIFS('caseload data'!O:O,'caseload data'!$C:$C,'community %'!$T$85,'caseload data'!$D:$D,"SPO",'caseload data'!$B:$B,{"licence","community"}))/SUM(SUMIFS('caseload data'!O:O,'caseload data'!$B:$B,{"licence","community"},'caseload data'!$C:$C,'community %'!$T$85)),"")</f>
        <v/>
      </c>
      <c r="AF90" s="167" t="str" cm="1">
        <f t="array" ref="AF90">IFERROR(SUM(SUMIFS('caseload data'!P:P,'caseload data'!$C:$C,'community %'!$T$85,'caseload data'!$D:$D,"SPO",'caseload data'!$B:$B,{"licence","community"}))/SUM(SUMIFS('caseload data'!P:P,'caseload data'!$B:$B,{"licence","community"},'caseload data'!$C:$C,'community %'!$T$85)),"")</f>
        <v/>
      </c>
      <c r="AG90" s="167" t="str" cm="1">
        <f t="array" ref="AG90">IFERROR(SUM(SUMIFS('caseload data'!Q:Q,'caseload data'!$C:$C,'community %'!$T$85,'caseload data'!$D:$D,"SPO",'caseload data'!$B:$B,{"licence","community"}))/SUM(SUMIFS('caseload data'!Q:Q,'caseload data'!$B:$B,{"licence","community"},'caseload data'!$C:$C,'community %'!$T$85)),"")</f>
        <v/>
      </c>
      <c r="AH90" s="167" t="str" cm="1">
        <f t="array" ref="AH90">IFERROR(SUM(SUMIFS('caseload data'!R:R,'caseload data'!$C:$C,'community %'!$T$85,'caseload data'!$D:$D,"SPO",'caseload data'!$B:$B,{"licence","community"}))/SUM(SUMIFS('caseload data'!R:R,'caseload data'!$B:$B,{"licence","community"},'caseload data'!$C:$C,'community %'!$T$85)),"")</f>
        <v/>
      </c>
      <c r="AI90" s="167" t="str" cm="1">
        <f t="array" ref="AI90">IFERROR(SUM(SUMIFS('caseload data'!S:S,'caseload data'!$C:$C,'community %'!$T$85,'caseload data'!$D:$D,"SPO",'caseload data'!$B:$B,{"licence","community"}))/SUM(SUMIFS('caseload data'!S:S,'caseload data'!$B:$B,{"licence","community"},'caseload data'!$C:$C,'community %'!$T$85)),"")</f>
        <v/>
      </c>
      <c r="AJ90" s="167" t="str" cm="1">
        <f t="array" ref="AJ90">IFERROR(SUM(SUMIFS('caseload data'!T:T,'caseload data'!$C:$C,'community %'!$T$85,'caseload data'!$D:$D,"SPO",'caseload data'!$B:$B,{"licence","community"}))/SUM(SUMIFS('caseload data'!T:T,'caseload data'!$B:$B,{"licence","community"},'caseload data'!$C:$C,'community %'!$T$85)),"")</f>
        <v/>
      </c>
    </row>
    <row r="92" spans="2:36" ht="21" customHeight="1" x14ac:dyDescent="0.15">
      <c r="B92" s="289">
        <f>HLOOKUP($B$5,Region_Table,26,0)</f>
        <v>0</v>
      </c>
      <c r="C92" s="509" t="s">
        <v>1134</v>
      </c>
      <c r="D92" s="510"/>
      <c r="E92" s="510"/>
      <c r="F92" s="510"/>
      <c r="G92" s="510"/>
      <c r="H92" s="510"/>
      <c r="I92" s="510"/>
      <c r="J92" s="510"/>
      <c r="K92" s="510"/>
      <c r="L92" s="510"/>
      <c r="M92" s="539"/>
      <c r="N92" s="539"/>
      <c r="O92" s="540"/>
      <c r="P92" s="512" cm="1">
        <f t="array" ref="P92">SUM(SUMIFS('caseload data'!V:V,'caseload data'!B:B,{"licence","community"},'caseload data'!$C:$C,B92))</f>
        <v>0</v>
      </c>
      <c r="Q92" s="529"/>
      <c r="R92" s="530"/>
      <c r="T92" s="289">
        <f>HLOOKUP($B$5,Region_Table,27,0)</f>
        <v>0</v>
      </c>
      <c r="U92" s="509" t="s">
        <v>1134</v>
      </c>
      <c r="V92" s="510"/>
      <c r="W92" s="510"/>
      <c r="X92" s="510"/>
      <c r="Y92" s="510"/>
      <c r="Z92" s="510"/>
      <c r="AA92" s="510"/>
      <c r="AB92" s="510"/>
      <c r="AC92" s="510"/>
      <c r="AD92" s="510"/>
      <c r="AE92" s="539"/>
      <c r="AF92" s="539"/>
      <c r="AG92" s="540"/>
      <c r="AH92" s="512" cm="1">
        <f t="array" ref="AH92">SUM(SUMIFS('caseload data'!V:V,'caseload data'!B:B,{"licence","community"},'caseload data'!$C:$C,T92))</f>
        <v>0</v>
      </c>
      <c r="AI92" s="529"/>
      <c r="AJ92" s="530"/>
    </row>
    <row r="93" spans="2:36" x14ac:dyDescent="0.15">
      <c r="B93" s="95" t="s">
        <v>1000</v>
      </c>
      <c r="C93" s="38" t="s">
        <v>864</v>
      </c>
      <c r="D93" s="38" t="s">
        <v>865</v>
      </c>
      <c r="E93" s="38" t="s">
        <v>866</v>
      </c>
      <c r="F93" s="38" t="s">
        <v>867</v>
      </c>
      <c r="G93" s="38" t="s">
        <v>868</v>
      </c>
      <c r="H93" s="38" t="s">
        <v>869</v>
      </c>
      <c r="I93" s="38" t="s">
        <v>870</v>
      </c>
      <c r="J93" s="38" t="s">
        <v>871</v>
      </c>
      <c r="K93" s="38" t="s">
        <v>872</v>
      </c>
      <c r="L93" s="38" t="s">
        <v>873</v>
      </c>
      <c r="M93" s="38" t="s">
        <v>874</v>
      </c>
      <c r="N93" s="38" t="s">
        <v>875</v>
      </c>
      <c r="O93" s="38" t="s">
        <v>876</v>
      </c>
      <c r="P93" s="38" t="s">
        <v>877</v>
      </c>
      <c r="Q93" s="38" t="s">
        <v>878</v>
      </c>
      <c r="R93" s="38" t="s">
        <v>879</v>
      </c>
      <c r="T93" s="95" t="s">
        <v>1000</v>
      </c>
      <c r="U93" s="38" t="s">
        <v>864</v>
      </c>
      <c r="V93" s="38" t="s">
        <v>865</v>
      </c>
      <c r="W93" s="38" t="s">
        <v>866</v>
      </c>
      <c r="X93" s="38" t="s">
        <v>867</v>
      </c>
      <c r="Y93" s="38" t="s">
        <v>868</v>
      </c>
      <c r="Z93" s="38" t="s">
        <v>869</v>
      </c>
      <c r="AA93" s="38" t="s">
        <v>870</v>
      </c>
      <c r="AB93" s="38" t="s">
        <v>871</v>
      </c>
      <c r="AC93" s="38" t="s">
        <v>872</v>
      </c>
      <c r="AD93" s="38" t="s">
        <v>873</v>
      </c>
      <c r="AE93" s="38" t="s">
        <v>874</v>
      </c>
      <c r="AF93" s="38" t="s">
        <v>875</v>
      </c>
      <c r="AG93" s="38" t="s">
        <v>876</v>
      </c>
      <c r="AH93" s="38" t="s">
        <v>877</v>
      </c>
      <c r="AI93" s="38" t="s">
        <v>878</v>
      </c>
      <c r="AJ93" s="38" t="s">
        <v>879</v>
      </c>
    </row>
    <row r="94" spans="2:36" x14ac:dyDescent="0.15">
      <c r="B94" s="96" t="s">
        <v>997</v>
      </c>
      <c r="C94" s="167" t="str" cm="1">
        <f t="array" ref="C94">IFERROR(SUM(SUMIFS('caseload data'!E:E,'caseload data'!$C:$C,'community %'!$B$92,'caseload data'!$D:$D,"PO",'caseload data'!$B:$B,{"licence","community"}))/SUM(SUMIFS('caseload data'!E:E,'caseload data'!$B:$B,{"licence","community"},'caseload data'!$C:$C,'community %'!$B$92)),"")</f>
        <v/>
      </c>
      <c r="D94" s="167" t="str" cm="1">
        <f t="array" ref="D94">IFERROR(SUM(SUMIFS('caseload data'!F:F,'caseload data'!$C:$C,'community %'!$B$92,'caseload data'!$D:$D,"PO",'caseload data'!$B:$B,{"licence","community"}))/SUM(SUMIFS('caseload data'!F:F,'caseload data'!$B:$B,{"licence","community"},'caseload data'!$C:$C,'community %'!$B$92)),"")</f>
        <v/>
      </c>
      <c r="E94" s="167" t="str" cm="1">
        <f t="array" ref="E94">IFERROR(SUM(SUMIFS('caseload data'!G:G,'caseload data'!$C:$C,'community %'!$B$92,'caseload data'!$D:$D,"PO",'caseload data'!$B:$B,{"licence","community"}))/SUM(SUMIFS('caseload data'!G:G,'caseload data'!$B:$B,{"licence","community"},'caseload data'!$C:$C,'community %'!$B$92)),"")</f>
        <v/>
      </c>
      <c r="F94" s="167" t="str" cm="1">
        <f t="array" ref="F94">IFERROR(SUM(SUMIFS('caseload data'!H:H,'caseload data'!$C:$C,'community %'!$B$92,'caseload data'!$D:$D,"PO",'caseload data'!$B:$B,{"licence","community"}))/SUM(SUMIFS('caseload data'!H:H,'caseload data'!$B:$B,{"licence","community"},'caseload data'!$C:$C,'community %'!$B$92)),"")</f>
        <v/>
      </c>
      <c r="G94" s="167" t="str" cm="1">
        <f t="array" ref="G94">IFERROR(SUM(SUMIFS('caseload data'!I:I,'caseload data'!$C:$C,'community %'!$B$92,'caseload data'!$D:$D,"PO",'caseload data'!$B:$B,{"licence","community"}))/SUM(SUMIFS('caseload data'!I:I,'caseload data'!$B:$B,{"licence","community"},'caseload data'!$C:$C,'community %'!$B$92)),"")</f>
        <v/>
      </c>
      <c r="H94" s="167" t="str" cm="1">
        <f t="array" ref="H94">IFERROR(SUM(SUMIFS('caseload data'!J:J,'caseload data'!$C:$C,'community %'!$B$92,'caseload data'!$D:$D,"PO",'caseload data'!$B:$B,{"licence","community"}))/SUM(SUMIFS('caseload data'!J:J,'caseload data'!$B:$B,{"licence","community"},'caseload data'!$C:$C,'community %'!$B$92)),"")</f>
        <v/>
      </c>
      <c r="I94" s="167" t="str" cm="1">
        <f t="array" ref="I94">IFERROR(SUM(SUMIFS('caseload data'!K:K,'caseload data'!$C:$C,'community %'!$B$92,'caseload data'!$D:$D,"PO",'caseload data'!$B:$B,{"licence","community"}))/SUM(SUMIFS('caseload data'!K:K,'caseload data'!$B:$B,{"licence","community"},'caseload data'!$C:$C,'community %'!$B$92)),"")</f>
        <v/>
      </c>
      <c r="J94" s="167" t="str" cm="1">
        <f t="array" ref="J94">IFERROR(SUM(SUMIFS('caseload data'!L:L,'caseload data'!$C:$C,'community %'!$B$92,'caseload data'!$D:$D,"PO",'caseload data'!$B:$B,{"licence","community"}))/SUM(SUMIFS('caseload data'!L:L,'caseload data'!$B:$B,{"licence","community"},'caseload data'!$C:$C,'community %'!$B$92)),"")</f>
        <v/>
      </c>
      <c r="K94" s="167" t="str" cm="1">
        <f t="array" ref="K94">IFERROR(SUM(SUMIFS('caseload data'!M:M,'caseload data'!$C:$C,'community %'!$B$92,'caseload data'!$D:$D,"PO",'caseload data'!$B:$B,{"licence","community"}))/SUM(SUMIFS('caseload data'!M:M,'caseload data'!$B:$B,{"licence","community"},'caseload data'!$C:$C,'community %'!$B$92)),"")</f>
        <v/>
      </c>
      <c r="L94" s="167" t="str" cm="1">
        <f t="array" ref="L94">IFERROR(SUM(SUMIFS('caseload data'!N:N,'caseload data'!$C:$C,'community %'!$B$92,'caseload data'!$D:$D,"PO",'caseload data'!$B:$B,{"licence","community"}))/SUM(SUMIFS('caseload data'!N:N,'caseload data'!$B:$B,{"licence","community"},'caseload data'!$C:$C,'community %'!$B$92)),"")</f>
        <v/>
      </c>
      <c r="M94" s="167" t="str" cm="1">
        <f t="array" ref="M94">IFERROR(SUM(SUMIFS('caseload data'!O:O,'caseload data'!$C:$C,'community %'!$B$92,'caseload data'!$D:$D,"PO",'caseload data'!$B:$B,{"licence","community"}))/SUM(SUMIFS('caseload data'!O:O,'caseload data'!$B:$B,{"licence","community"},'caseload data'!$C:$C,'community %'!$B$92)),"")</f>
        <v/>
      </c>
      <c r="N94" s="167" t="str" cm="1">
        <f t="array" ref="N94">IFERROR(SUM(SUMIFS('caseload data'!P:P,'caseload data'!$C:$C,'community %'!$B$92,'caseload data'!$D:$D,"PO",'caseload data'!$B:$B,{"licence","community"}))/SUM(SUMIFS('caseload data'!P:P,'caseload data'!$B:$B,{"licence","community"},'caseload data'!$C:$C,'community %'!$B$92)),"")</f>
        <v/>
      </c>
      <c r="O94" s="167" t="str" cm="1">
        <f t="array" ref="O94">IFERROR(SUM(SUMIFS('caseload data'!Q:Q,'caseload data'!$C:$C,'community %'!$B$92,'caseload data'!$D:$D,"PO",'caseload data'!$B:$B,{"licence","community"}))/SUM(SUMIFS('caseload data'!Q:Q,'caseload data'!$B:$B,{"licence","community"},'caseload data'!$C:$C,'community %'!$B$92)),"")</f>
        <v/>
      </c>
      <c r="P94" s="167" t="str" cm="1">
        <f t="array" ref="P94">IFERROR(SUM(SUMIFS('caseload data'!R:R,'caseload data'!$C:$C,'community %'!$B$92,'caseload data'!$D:$D,"PO",'caseload data'!$B:$B,{"licence","community"}))/SUM(SUMIFS('caseload data'!R:R,'caseload data'!$B:$B,{"licence","community"},'caseload data'!$C:$C,'community %'!$B$92)),"")</f>
        <v/>
      </c>
      <c r="Q94" s="167" t="str" cm="1">
        <f t="array" ref="Q94">IFERROR(SUM(SUMIFS('caseload data'!S:S,'caseload data'!$C:$C,'community %'!$B$92,'caseload data'!$D:$D,"PO",'caseload data'!$B:$B,{"licence","community"}))/SUM(SUMIFS('caseload data'!S:S,'caseload data'!$B:$B,{"licence","community"},'caseload data'!$C:$C,'community %'!$B$92)),"")</f>
        <v/>
      </c>
      <c r="R94" s="167" t="str" cm="1">
        <f t="array" ref="R94">IFERROR(SUM(SUMIFS('caseload data'!T:T,'caseload data'!$C:$C,'community %'!$B$92,'caseload data'!$D:$D,"PO",'caseload data'!$B:$B,{"licence","community"}))/SUM(SUMIFS('caseload data'!T:T,'caseload data'!$B:$B,{"licence","community"},'caseload data'!$C:$C,'community %'!$B$92)),"")</f>
        <v/>
      </c>
      <c r="T94" s="96" t="s">
        <v>997</v>
      </c>
      <c r="U94" s="167" t="str" cm="1">
        <f t="array" ref="U94">IFERROR(SUM(SUMIFS('caseload data'!E:E,'caseload data'!$C:$C,'community %'!$T$92,'caseload data'!$D:$D,"PO",'caseload data'!$B:$B,{"licence","community"}))/SUM(SUMIFS('caseload data'!E:E,'caseload data'!$B:$B,{"licence","community"},'caseload data'!$C:$C,'community %'!$T$92)),"")</f>
        <v/>
      </c>
      <c r="V94" s="167" t="str" cm="1">
        <f t="array" ref="V94">IFERROR(SUM(SUMIFS('caseload data'!F:F,'caseload data'!$C:$C,'community %'!$T$92,'caseload data'!$D:$D,"PO",'caseload data'!$B:$B,{"licence","community"}))/SUM(SUMIFS('caseload data'!F:F,'caseload data'!$B:$B,{"licence","community"},'caseload data'!$C:$C,'community %'!$T$92)),"")</f>
        <v/>
      </c>
      <c r="W94" s="167" t="str" cm="1">
        <f t="array" ref="W94">IFERROR(SUM(SUMIFS('caseload data'!G:G,'caseload data'!$C:$C,'community %'!$T$92,'caseload data'!$D:$D,"PO",'caseload data'!$B:$B,{"licence","community"}))/SUM(SUMIFS('caseload data'!G:G,'caseload data'!$B:$B,{"licence","community"},'caseload data'!$C:$C,'community %'!$T$92)),"")</f>
        <v/>
      </c>
      <c r="X94" s="167" t="str" cm="1">
        <f t="array" ref="X94">IFERROR(SUM(SUMIFS('caseload data'!H:H,'caseload data'!$C:$C,'community %'!$T$92,'caseload data'!$D:$D,"PO",'caseload data'!$B:$B,{"licence","community"}))/SUM(SUMIFS('caseload data'!H:H,'caseload data'!$B:$B,{"licence","community"},'caseload data'!$C:$C,'community %'!$T$92)),"")</f>
        <v/>
      </c>
      <c r="Y94" s="167" t="str" cm="1">
        <f t="array" ref="Y94">IFERROR(SUM(SUMIFS('caseload data'!I:I,'caseload data'!$C:$C,'community %'!$T$92,'caseload data'!$D:$D,"PO",'caseload data'!$B:$B,{"licence","community"}))/SUM(SUMIFS('caseload data'!I:I,'caseload data'!$B:$B,{"licence","community"},'caseload data'!$C:$C,'community %'!$T$92)),"")</f>
        <v/>
      </c>
      <c r="Z94" s="167" t="str" cm="1">
        <f t="array" ref="Z94">IFERROR(SUM(SUMIFS('caseload data'!J:J,'caseload data'!$C:$C,'community %'!$T$92,'caseload data'!$D:$D,"PO",'caseload data'!$B:$B,{"licence","community"}))/SUM(SUMIFS('caseload data'!J:J,'caseload data'!$B:$B,{"licence","community"},'caseload data'!$C:$C,'community %'!$T$92)),"")</f>
        <v/>
      </c>
      <c r="AA94" s="167" t="str" cm="1">
        <f t="array" ref="AA94">IFERROR(SUM(SUMIFS('caseload data'!K:K,'caseload data'!$C:$C,'community %'!$T$92,'caseload data'!$D:$D,"PO",'caseload data'!$B:$B,{"licence","community"}))/SUM(SUMIFS('caseload data'!K:K,'caseload data'!$B:$B,{"licence","community"},'caseload data'!$C:$C,'community %'!$T$92)),"")</f>
        <v/>
      </c>
      <c r="AB94" s="167" t="str" cm="1">
        <f t="array" ref="AB94">IFERROR(SUM(SUMIFS('caseload data'!L:L,'caseload data'!$C:$C,'community %'!$T$92,'caseload data'!$D:$D,"PO",'caseload data'!$B:$B,{"licence","community"}))/SUM(SUMIFS('caseload data'!L:L,'caseload data'!$B:$B,{"licence","community"},'caseload data'!$C:$C,'community %'!$T$92)),"")</f>
        <v/>
      </c>
      <c r="AC94" s="167" t="str" cm="1">
        <f t="array" ref="AC94">IFERROR(SUM(SUMIFS('caseload data'!M:M,'caseload data'!$C:$C,'community %'!$T$92,'caseload data'!$D:$D,"PO",'caseload data'!$B:$B,{"licence","community"}))/SUM(SUMIFS('caseload data'!M:M,'caseload data'!$B:$B,{"licence","community"},'caseload data'!$C:$C,'community %'!$T$92)),"")</f>
        <v/>
      </c>
      <c r="AD94" s="167" t="str" cm="1">
        <f t="array" ref="AD94">IFERROR(SUM(SUMIFS('caseload data'!N:N,'caseload data'!$C:$C,'community %'!$T$92,'caseload data'!$D:$D,"PO",'caseload data'!$B:$B,{"licence","community"}))/SUM(SUMIFS('caseload data'!N:N,'caseload data'!$B:$B,{"licence","community"},'caseload data'!$C:$C,'community %'!$T$92)),"")</f>
        <v/>
      </c>
      <c r="AE94" s="167" t="str" cm="1">
        <f t="array" ref="AE94">IFERROR(SUM(SUMIFS('caseload data'!O:O,'caseload data'!$C:$C,'community %'!$T$92,'caseload data'!$D:$D,"PO",'caseload data'!$B:$B,{"licence","community"}))/SUM(SUMIFS('caseload data'!O:O,'caseload data'!$B:$B,{"licence","community"},'caseload data'!$C:$C,'community %'!$T$92)),"")</f>
        <v/>
      </c>
      <c r="AF94" s="167" t="str" cm="1">
        <f t="array" ref="AF94">IFERROR(SUM(SUMIFS('caseload data'!P:P,'caseload data'!$C:$C,'community %'!$T$92,'caseload data'!$D:$D,"PO",'caseload data'!$B:$B,{"licence","community"}))/SUM(SUMIFS('caseload data'!P:P,'caseload data'!$B:$B,{"licence","community"},'caseload data'!$C:$C,'community %'!$T$92)),"")</f>
        <v/>
      </c>
      <c r="AG94" s="167" t="str" cm="1">
        <f t="array" ref="AG94">IFERROR(SUM(SUMIFS('caseload data'!Q:Q,'caseload data'!$C:$C,'community %'!$T$92,'caseload data'!$D:$D,"PO",'caseload data'!$B:$B,{"licence","community"}))/SUM(SUMIFS('caseload data'!Q:Q,'caseload data'!$B:$B,{"licence","community"},'caseload data'!$C:$C,'community %'!$T$92)),"")</f>
        <v/>
      </c>
      <c r="AH94" s="167" t="str" cm="1">
        <f t="array" ref="AH94">IFERROR(SUM(SUMIFS('caseload data'!R:R,'caseload data'!$C:$C,'community %'!$T$92,'caseload data'!$D:$D,"PO",'caseload data'!$B:$B,{"licence","community"}))/SUM(SUMIFS('caseload data'!R:R,'caseload data'!$B:$B,{"licence","community"},'caseload data'!$C:$C,'community %'!$T$92)),"")</f>
        <v/>
      </c>
      <c r="AI94" s="167" t="str" cm="1">
        <f t="array" ref="AI94">IFERROR(SUM(SUMIFS('caseload data'!S:S,'caseload data'!$C:$C,'community %'!$T$92,'caseload data'!$D:$D,"PO",'caseload data'!$B:$B,{"licence","community"}))/SUM(SUMIFS('caseload data'!S:S,'caseload data'!$B:$B,{"licence","community"},'caseload data'!$C:$C,'community %'!$T$92)),"")</f>
        <v/>
      </c>
      <c r="AJ94" s="167" t="str" cm="1">
        <f t="array" ref="AJ94">IFERROR(SUM(SUMIFS('caseload data'!T:T,'caseload data'!$C:$C,'community %'!$T$92,'caseload data'!$D:$D,"PO",'caseload data'!$B:$B,{"licence","community"}))/SUM(SUMIFS('caseload data'!T:T,'caseload data'!$B:$B,{"licence","community"},'caseload data'!$C:$C,'community %'!$T$92)),"")</f>
        <v/>
      </c>
    </row>
    <row r="95" spans="2:36" x14ac:dyDescent="0.15">
      <c r="B95" s="97" t="s">
        <v>1002</v>
      </c>
      <c r="C95" s="167" t="str" cm="1">
        <f t="array" ref="C95">IFERROR(SUM(SUMIFS('caseload data'!E:E,'caseload data'!$C:$C,'community %'!$B$92,'caseload data'!$D:$D,"PSO",'caseload data'!$B:$B,{"licence","community"}))/SUM(SUMIFS('caseload data'!E:E,'caseload data'!$B:$B,{"licence","community"},'caseload data'!$C:$C,'community %'!$B$92)),"")</f>
        <v/>
      </c>
      <c r="D95" s="167" t="str" cm="1">
        <f t="array" ref="D95">IFERROR(SUM(SUMIFS('caseload data'!F:F,'caseload data'!$C:$C,'community %'!$B$92,'caseload data'!$D:$D,"PSO",'caseload data'!$B:$B,{"licence","community"}))/SUM(SUMIFS('caseload data'!F:F,'caseload data'!$B:$B,{"licence","community"},'caseload data'!$C:$C,'community %'!$B$92)),"")</f>
        <v/>
      </c>
      <c r="E95" s="167" t="str" cm="1">
        <f t="array" ref="E95">IFERROR(SUM(SUMIFS('caseload data'!G:G,'caseload data'!$C:$C,'community %'!$B$92,'caseload data'!$D:$D,"PSO",'caseload data'!$B:$B,{"licence","community"}))/SUM(SUMIFS('caseload data'!G:G,'caseload data'!$B:$B,{"licence","community"},'caseload data'!$C:$C,'community %'!$B$92)),"")</f>
        <v/>
      </c>
      <c r="F95" s="167" t="str" cm="1">
        <f t="array" ref="F95">IFERROR(SUM(SUMIFS('caseload data'!H:H,'caseload data'!$C:$C,'community %'!$B$92,'caseload data'!$D:$D,"PSO",'caseload data'!$B:$B,{"licence","community"}))/SUM(SUMIFS('caseload data'!H:H,'caseload data'!$B:$B,{"licence","community"},'caseload data'!$C:$C,'community %'!$B$92)),"")</f>
        <v/>
      </c>
      <c r="G95" s="167" t="str" cm="1">
        <f t="array" ref="G95">IFERROR(SUM(SUMIFS('caseload data'!I:I,'caseload data'!$C:$C,'community %'!$B$92,'caseload data'!$D:$D,"PSO",'caseload data'!$B:$B,{"licence","community"}))/SUM(SUMIFS('caseload data'!I:I,'caseload data'!$B:$B,{"licence","community"},'caseload data'!$C:$C,'community %'!$B$92)),"")</f>
        <v/>
      </c>
      <c r="H95" s="167" t="str" cm="1">
        <f t="array" ref="H95">IFERROR(SUM(SUMIFS('caseload data'!J:J,'caseload data'!$C:$C,'community %'!$B$92,'caseload data'!$D:$D,"PSO",'caseload data'!$B:$B,{"licence","community"}))/SUM(SUMIFS('caseload data'!J:J,'caseload data'!$B:$B,{"licence","community"},'caseload data'!$C:$C,'community %'!$B$92)),"")</f>
        <v/>
      </c>
      <c r="I95" s="167" t="str" cm="1">
        <f t="array" ref="I95">IFERROR(SUM(SUMIFS('caseload data'!K:K,'caseload data'!$C:$C,'community %'!$B$92,'caseload data'!$D:$D,"PSO",'caseload data'!$B:$B,{"licence","community"}))/SUM(SUMIFS('caseload data'!K:K,'caseload data'!$B:$B,{"licence","community"},'caseload data'!$C:$C,'community %'!$B$92)),"")</f>
        <v/>
      </c>
      <c r="J95" s="167" t="str" cm="1">
        <f t="array" ref="J95">IFERROR(SUM(SUMIFS('caseload data'!L:L,'caseload data'!$C:$C,'community %'!$B$92,'caseload data'!$D:$D,"PSO",'caseload data'!$B:$B,{"licence","community"}))/SUM(SUMIFS('caseload data'!L:L,'caseload data'!$B:$B,{"licence","community"},'caseload data'!$C:$C,'community %'!$B$92)),"")</f>
        <v/>
      </c>
      <c r="K95" s="167" t="str" cm="1">
        <f t="array" ref="K95">IFERROR(SUM(SUMIFS('caseload data'!M:M,'caseload data'!$C:$C,'community %'!$B$92,'caseload data'!$D:$D,"PSO",'caseload data'!$B:$B,{"licence","community"}))/SUM(SUMIFS('caseload data'!M:M,'caseload data'!$B:$B,{"licence","community"},'caseload data'!$C:$C,'community %'!$B$92)),"")</f>
        <v/>
      </c>
      <c r="L95" s="167" t="str" cm="1">
        <f t="array" ref="L95">IFERROR(SUM(SUMIFS('caseload data'!N:N,'caseload data'!$C:$C,'community %'!$B$92,'caseload data'!$D:$D,"PSO",'caseload data'!$B:$B,{"licence","community"}))/SUM(SUMIFS('caseload data'!N:N,'caseload data'!$B:$B,{"licence","community"},'caseload data'!$C:$C,'community %'!$B$92)),"")</f>
        <v/>
      </c>
      <c r="M95" s="167" t="str" cm="1">
        <f t="array" ref="M95">IFERROR(SUM(SUMIFS('caseload data'!O:O,'caseload data'!$C:$C,'community %'!$B$92,'caseload data'!$D:$D,"PSO",'caseload data'!$B:$B,{"licence","community"}))/SUM(SUMIFS('caseload data'!O:O,'caseload data'!$B:$B,{"licence","community"},'caseload data'!$C:$C,'community %'!$B$92)),"")</f>
        <v/>
      </c>
      <c r="N95" s="167" t="str" cm="1">
        <f t="array" ref="N95">IFERROR(SUM(SUMIFS('caseload data'!P:P,'caseload data'!$C:$C,'community %'!$B$92,'caseload data'!$D:$D,"PSO",'caseload data'!$B:$B,{"licence","community"}))/SUM(SUMIFS('caseload data'!P:P,'caseload data'!$B:$B,{"licence","community"},'caseload data'!$C:$C,'community %'!$B$92)),"")</f>
        <v/>
      </c>
      <c r="O95" s="167" t="str" cm="1">
        <f t="array" ref="O95">IFERROR(SUM(SUMIFS('caseload data'!Q:Q,'caseload data'!$C:$C,'community %'!$B$92,'caseload data'!$D:$D,"PSO",'caseload data'!$B:$B,{"licence","community"}))/SUM(SUMIFS('caseload data'!Q:Q,'caseload data'!$B:$B,{"licence","community"},'caseload data'!$C:$C,'community %'!$B$92)),"")</f>
        <v/>
      </c>
      <c r="P95" s="167" t="str" cm="1">
        <f t="array" ref="P95">IFERROR(SUM(SUMIFS('caseload data'!R:R,'caseload data'!$C:$C,'community %'!$B$92,'caseload data'!$D:$D,"PSO",'caseload data'!$B:$B,{"licence","community"}))/SUM(SUMIFS('caseload data'!R:R,'caseload data'!$B:$B,{"licence","community"},'caseload data'!$C:$C,'community %'!$B$92)),"")</f>
        <v/>
      </c>
      <c r="Q95" s="167" t="str" cm="1">
        <f t="array" ref="Q95">IFERROR(SUM(SUMIFS('caseload data'!S:S,'caseload data'!$C:$C,'community %'!$B$92,'caseload data'!$D:$D,"PSO",'caseload data'!$B:$B,{"licence","community"}))/SUM(SUMIFS('caseload data'!S:S,'caseload data'!$B:$B,{"licence","community"},'caseload data'!$C:$C,'community %'!$B$92)),"")</f>
        <v/>
      </c>
      <c r="R95" s="167" t="str" cm="1">
        <f t="array" ref="R95">IFERROR(SUM(SUMIFS('caseload data'!T:T,'caseload data'!$C:$C,'community %'!$B$92,'caseload data'!$D:$D,"PSO",'caseload data'!$B:$B,{"licence","community"}))/SUM(SUMIFS('caseload data'!T:T,'caseload data'!$B:$B,{"licence","community"},'caseload data'!$C:$C,'community %'!$B$92)),"")</f>
        <v/>
      </c>
      <c r="T95" s="97" t="s">
        <v>1002</v>
      </c>
      <c r="U95" s="167" t="str" cm="1">
        <f t="array" ref="U95">IFERROR(SUM(SUMIFS('caseload data'!E:E,'caseload data'!$C:$C,'community %'!$T$92,'caseload data'!$D:$D,"PSO",'caseload data'!$B:$B,{"licence","community"}))/SUM(SUMIFS('caseload data'!E:E,'caseload data'!$B:$B,{"licence","community"},'caseload data'!$C:$C,'community %'!$T$92)),"")</f>
        <v/>
      </c>
      <c r="V95" s="167" t="str" cm="1">
        <f t="array" ref="V95">IFERROR(SUM(SUMIFS('caseload data'!F:F,'caseload data'!$C:$C,'community %'!$T$92,'caseload data'!$D:$D,"PSO",'caseload data'!$B:$B,{"licence","community"}))/SUM(SUMIFS('caseload data'!F:F,'caseload data'!$B:$B,{"licence","community"},'caseload data'!$C:$C,'community %'!$T$92)),"")</f>
        <v/>
      </c>
      <c r="W95" s="167" t="str" cm="1">
        <f t="array" ref="W95">IFERROR(SUM(SUMIFS('caseload data'!G:G,'caseload data'!$C:$C,'community %'!$T$92,'caseload data'!$D:$D,"PSO",'caseload data'!$B:$B,{"licence","community"}))/SUM(SUMIFS('caseload data'!G:G,'caseload data'!$B:$B,{"licence","community"},'caseload data'!$C:$C,'community %'!$T$92)),"")</f>
        <v/>
      </c>
      <c r="X95" s="167" t="str" cm="1">
        <f t="array" ref="X95">IFERROR(SUM(SUMIFS('caseload data'!H:H,'caseload data'!$C:$C,'community %'!$T$92,'caseload data'!$D:$D,"PSO",'caseload data'!$B:$B,{"licence","community"}))/SUM(SUMIFS('caseload data'!H:H,'caseload data'!$B:$B,{"licence","community"},'caseload data'!$C:$C,'community %'!$T$92)),"")</f>
        <v/>
      </c>
      <c r="Y95" s="167" t="str" cm="1">
        <f t="array" ref="Y95">IFERROR(SUM(SUMIFS('caseload data'!I:I,'caseload data'!$C:$C,'community %'!$T$92,'caseload data'!$D:$D,"PSO",'caseload data'!$B:$B,{"licence","community"}))/SUM(SUMIFS('caseload data'!I:I,'caseload data'!$B:$B,{"licence","community"},'caseload data'!$C:$C,'community %'!$T$92)),"")</f>
        <v/>
      </c>
      <c r="Z95" s="167" t="str" cm="1">
        <f t="array" ref="Z95">IFERROR(SUM(SUMIFS('caseload data'!J:J,'caseload data'!$C:$C,'community %'!$T$92,'caseload data'!$D:$D,"PSO",'caseload data'!$B:$B,{"licence","community"}))/SUM(SUMIFS('caseload data'!J:J,'caseload data'!$B:$B,{"licence","community"},'caseload data'!$C:$C,'community %'!$T$92)),"")</f>
        <v/>
      </c>
      <c r="AA95" s="167" t="str" cm="1">
        <f t="array" ref="AA95">IFERROR(SUM(SUMIFS('caseload data'!K:K,'caseload data'!$C:$C,'community %'!$T$92,'caseload data'!$D:$D,"PSO",'caseload data'!$B:$B,{"licence","community"}))/SUM(SUMIFS('caseload data'!K:K,'caseload data'!$B:$B,{"licence","community"},'caseload data'!$C:$C,'community %'!$T$92)),"")</f>
        <v/>
      </c>
      <c r="AB95" s="167" t="str" cm="1">
        <f t="array" ref="AB95">IFERROR(SUM(SUMIFS('caseload data'!L:L,'caseload data'!$C:$C,'community %'!$T$92,'caseload data'!$D:$D,"PSO",'caseload data'!$B:$B,{"licence","community"}))/SUM(SUMIFS('caseload data'!L:L,'caseload data'!$B:$B,{"licence","community"},'caseload data'!$C:$C,'community %'!$T$92)),"")</f>
        <v/>
      </c>
      <c r="AC95" s="167" t="str" cm="1">
        <f t="array" ref="AC95">IFERROR(SUM(SUMIFS('caseload data'!M:M,'caseload data'!$C:$C,'community %'!$T$92,'caseload data'!$D:$D,"PSO",'caseload data'!$B:$B,{"licence","community"}))/SUM(SUMIFS('caseload data'!M:M,'caseload data'!$B:$B,{"licence","community"},'caseload data'!$C:$C,'community %'!$T$92)),"")</f>
        <v/>
      </c>
      <c r="AD95" s="167" t="str" cm="1">
        <f t="array" ref="AD95">IFERROR(SUM(SUMIFS('caseload data'!N:N,'caseload data'!$C:$C,'community %'!$T$92,'caseload data'!$D:$D,"PSO",'caseload data'!$B:$B,{"licence","community"}))/SUM(SUMIFS('caseload data'!N:N,'caseload data'!$B:$B,{"licence","community"},'caseload data'!$C:$C,'community %'!$T$92)),"")</f>
        <v/>
      </c>
      <c r="AE95" s="167" t="str" cm="1">
        <f t="array" ref="AE95">IFERROR(SUM(SUMIFS('caseload data'!O:O,'caseload data'!$C:$C,'community %'!$T$92,'caseload data'!$D:$D,"PSO",'caseload data'!$B:$B,{"licence","community"}))/SUM(SUMIFS('caseload data'!O:O,'caseload data'!$B:$B,{"licence","community"},'caseload data'!$C:$C,'community %'!$T$92)),"")</f>
        <v/>
      </c>
      <c r="AF95" s="167" t="str" cm="1">
        <f t="array" ref="AF95">IFERROR(SUM(SUMIFS('caseload data'!P:P,'caseload data'!$C:$C,'community %'!$T$92,'caseload data'!$D:$D,"PSO",'caseload data'!$B:$B,{"licence","community"}))/SUM(SUMIFS('caseload data'!P:P,'caseload data'!$B:$B,{"licence","community"},'caseload data'!$C:$C,'community %'!$T$92)),"")</f>
        <v/>
      </c>
      <c r="AG95" s="167" t="str" cm="1">
        <f t="array" ref="AG95">IFERROR(SUM(SUMIFS('caseload data'!Q:Q,'caseload data'!$C:$C,'community %'!$T$92,'caseload data'!$D:$D,"PSO",'caseload data'!$B:$B,{"licence","community"}))/SUM(SUMIFS('caseload data'!Q:Q,'caseload data'!$B:$B,{"licence","community"},'caseload data'!$C:$C,'community %'!$T$92)),"")</f>
        <v/>
      </c>
      <c r="AH95" s="167" t="str" cm="1">
        <f t="array" ref="AH95">IFERROR(SUM(SUMIFS('caseload data'!R:R,'caseload data'!$C:$C,'community %'!$T$92,'caseload data'!$D:$D,"PSO",'caseload data'!$B:$B,{"licence","community"}))/SUM(SUMIFS('caseload data'!R:R,'caseload data'!$B:$B,{"licence","community"},'caseload data'!$C:$C,'community %'!$T$92)),"")</f>
        <v/>
      </c>
      <c r="AI95" s="167" t="str" cm="1">
        <f t="array" ref="AI95">IFERROR(SUM(SUMIFS('caseload data'!S:S,'caseload data'!$C:$C,'community %'!$T$92,'caseload data'!$D:$D,"PSO",'caseload data'!$B:$B,{"licence","community"}))/SUM(SUMIFS('caseload data'!S:S,'caseload data'!$B:$B,{"licence","community"},'caseload data'!$C:$C,'community %'!$T$92)),"")</f>
        <v/>
      </c>
      <c r="AJ95" s="167" t="str" cm="1">
        <f t="array" ref="AJ95">IFERROR(SUM(SUMIFS('caseload data'!T:T,'caseload data'!$C:$C,'community %'!$T$92,'caseload data'!$D:$D,"PSO",'caseload data'!$B:$B,{"licence","community"}))/SUM(SUMIFS('caseload data'!T:T,'caseload data'!$B:$B,{"licence","community"},'caseload data'!$C:$C,'community %'!$T$92)),"")</f>
        <v/>
      </c>
    </row>
    <row r="96" spans="2:36" x14ac:dyDescent="0.15">
      <c r="B96" s="97" t="s">
        <v>1003</v>
      </c>
      <c r="C96" s="167" t="str" cm="1">
        <f t="array" ref="C96">IFERROR(SUM(SUMIFS('caseload data'!E:E,'caseload data'!$C:$C,'community %'!$B$92,'caseload data'!$D:$D,"TPO",'caseload data'!$B:$B,{"licence","community"}))/SUM(SUMIFS('caseload data'!E:E,'caseload data'!$B:$B,{"licence","community"},'caseload data'!$C:$C,'community %'!$B$92)),"")</f>
        <v/>
      </c>
      <c r="D96" s="167" t="str" cm="1">
        <f t="array" ref="D96">IFERROR(SUM(SUMIFS('caseload data'!F:F,'caseload data'!$C:$C,'community %'!$B$92,'caseload data'!$D:$D,"TPO",'caseload data'!$B:$B,{"licence","community"}))/SUM(SUMIFS('caseload data'!F:F,'caseload data'!$B:$B,{"licence","community"},'caseload data'!$C:$C,'community %'!$B$92)),"")</f>
        <v/>
      </c>
      <c r="E96" s="167" t="str" cm="1">
        <f t="array" ref="E96">IFERROR(SUM(SUMIFS('caseload data'!G:G,'caseload data'!$C:$C,'community %'!$B$92,'caseload data'!$D:$D,"TPO",'caseload data'!$B:$B,{"licence","community"}))/SUM(SUMIFS('caseload data'!G:G,'caseload data'!$B:$B,{"licence","community"},'caseload data'!$C:$C,'community %'!$B$92)),"")</f>
        <v/>
      </c>
      <c r="F96" s="167" t="str" cm="1">
        <f t="array" ref="F96">IFERROR(SUM(SUMIFS('caseload data'!H:H,'caseload data'!$C:$C,'community %'!$B$92,'caseload data'!$D:$D,"TPO",'caseload data'!$B:$B,{"licence","community"}))/SUM(SUMIFS('caseload data'!H:H,'caseload data'!$B:$B,{"licence","community"},'caseload data'!$C:$C,'community %'!$B$92)),"")</f>
        <v/>
      </c>
      <c r="G96" s="167" t="str" cm="1">
        <f t="array" ref="G96">IFERROR(SUM(SUMIFS('caseload data'!I:I,'caseload data'!$C:$C,'community %'!$B$92,'caseload data'!$D:$D,"TPO",'caseload data'!$B:$B,{"licence","community"}))/SUM(SUMIFS('caseload data'!I:I,'caseload data'!$B:$B,{"licence","community"},'caseload data'!$C:$C,'community %'!$B$92)),"")</f>
        <v/>
      </c>
      <c r="H96" s="167" t="str" cm="1">
        <f t="array" ref="H96">IFERROR(SUM(SUMIFS('caseload data'!J:J,'caseload data'!$C:$C,'community %'!$B$92,'caseload data'!$D:$D,"TPO",'caseload data'!$B:$B,{"licence","community"}))/SUM(SUMIFS('caseload data'!J:J,'caseload data'!$B:$B,{"licence","community"},'caseload data'!$C:$C,'community %'!$B$92)),"")</f>
        <v/>
      </c>
      <c r="I96" s="167" t="str" cm="1">
        <f t="array" ref="I96">IFERROR(SUM(SUMIFS('caseload data'!K:K,'caseload data'!$C:$C,'community %'!$B$92,'caseload data'!$D:$D,"TPO",'caseload data'!$B:$B,{"licence","community"}))/SUM(SUMIFS('caseload data'!K:K,'caseload data'!$B:$B,{"licence","community"},'caseload data'!$C:$C,'community %'!$B$92)),"")</f>
        <v/>
      </c>
      <c r="J96" s="167" t="str" cm="1">
        <f t="array" ref="J96">IFERROR(SUM(SUMIFS('caseload data'!L:L,'caseload data'!$C:$C,'community %'!$B$92,'caseload data'!$D:$D,"TPO",'caseload data'!$B:$B,{"licence","community"}))/SUM(SUMIFS('caseload data'!L:L,'caseload data'!$B:$B,{"licence","community"},'caseload data'!$C:$C,'community %'!$B$92)),"")</f>
        <v/>
      </c>
      <c r="K96" s="167" t="str" cm="1">
        <f t="array" ref="K96">IFERROR(SUM(SUMIFS('caseload data'!M:M,'caseload data'!$C:$C,'community %'!$B$92,'caseload data'!$D:$D,"TPO",'caseload data'!$B:$B,{"licence","community"}))/SUM(SUMIFS('caseload data'!M:M,'caseload data'!$B:$B,{"licence","community"},'caseload data'!$C:$C,'community %'!$B$92)),"")</f>
        <v/>
      </c>
      <c r="L96" s="167" t="str" cm="1">
        <f t="array" ref="L96">IFERROR(SUM(SUMIFS('caseload data'!N:N,'caseload data'!$C:$C,'community %'!$B$92,'caseload data'!$D:$D,"TPO",'caseload data'!$B:$B,{"licence","community"}))/SUM(SUMIFS('caseload data'!N:N,'caseload data'!$B:$B,{"licence","community"},'caseload data'!$C:$C,'community %'!$B$92)),"")</f>
        <v/>
      </c>
      <c r="M96" s="167" t="str" cm="1">
        <f t="array" ref="M96">IFERROR(SUM(SUMIFS('caseload data'!O:O,'caseload data'!$C:$C,'community %'!$B$92,'caseload data'!$D:$D,"TPO",'caseload data'!$B:$B,{"licence","community"}))/SUM(SUMIFS('caseload data'!O:O,'caseload data'!$B:$B,{"licence","community"},'caseload data'!$C:$C,'community %'!$B$92)),"")</f>
        <v/>
      </c>
      <c r="N96" s="167" t="str" cm="1">
        <f t="array" ref="N96">IFERROR(SUM(SUMIFS('caseload data'!P:P,'caseload data'!$C:$C,'community %'!$B$92,'caseload data'!$D:$D,"TPO",'caseload data'!$B:$B,{"licence","community"}))/SUM(SUMIFS('caseload data'!P:P,'caseload data'!$B:$B,{"licence","community"},'caseload data'!$C:$C,'community %'!$B$92)),"")</f>
        <v/>
      </c>
      <c r="O96" s="167" t="str" cm="1">
        <f t="array" ref="O96">IFERROR(SUM(SUMIFS('caseload data'!Q:Q,'caseload data'!$C:$C,'community %'!$B$92,'caseload data'!$D:$D,"TPO",'caseload data'!$B:$B,{"licence","community"}))/SUM(SUMIFS('caseload data'!Q:Q,'caseload data'!$B:$B,{"licence","community"},'caseload data'!$C:$C,'community %'!$B$92)),"")</f>
        <v/>
      </c>
      <c r="P96" s="167" t="str" cm="1">
        <f t="array" ref="P96">IFERROR(SUM(SUMIFS('caseload data'!R:R,'caseload data'!$C:$C,'community %'!$B$92,'caseload data'!$D:$D,"TPO",'caseload data'!$B:$B,{"licence","community"}))/SUM(SUMIFS('caseload data'!R:R,'caseload data'!$B:$B,{"licence","community"},'caseload data'!$C:$C,'community %'!$B$92)),"")</f>
        <v/>
      </c>
      <c r="Q96" s="167" t="str" cm="1">
        <f t="array" ref="Q96">IFERROR(SUM(SUMIFS('caseload data'!S:S,'caseload data'!$C:$C,'community %'!$B$92,'caseload data'!$D:$D,"TPO",'caseload data'!$B:$B,{"licence","community"}))/SUM(SUMIFS('caseload data'!S:S,'caseload data'!$B:$B,{"licence","community"},'caseload data'!$C:$C,'community %'!$B$92)),"")</f>
        <v/>
      </c>
      <c r="R96" s="167" t="str" cm="1">
        <f t="array" ref="R96">IFERROR(SUM(SUMIFS('caseload data'!T:T,'caseload data'!$C:$C,'community %'!$B$92,'caseload data'!$D:$D,"TPO",'caseload data'!$B:$B,{"licence","community"}))/SUM(SUMIFS('caseload data'!T:T,'caseload data'!$B:$B,{"licence","community"},'caseload data'!$C:$C,'community %'!$B$92)),"")</f>
        <v/>
      </c>
      <c r="T96" s="97" t="s">
        <v>1003</v>
      </c>
      <c r="U96" s="167" t="str" cm="1">
        <f t="array" ref="U96">IFERROR(SUM(SUMIFS('caseload data'!E:E,'caseload data'!$C:$C,'community %'!$T$92,'caseload data'!$D:$D,"TPO",'caseload data'!$B:$B,{"licence","community"}))/SUM(SUMIFS('caseload data'!E:E,'caseload data'!$B:$B,{"licence","community"},'caseload data'!$C:$C,'community %'!$T$92)),"")</f>
        <v/>
      </c>
      <c r="V96" s="167" t="str" cm="1">
        <f t="array" ref="V96">IFERROR(SUM(SUMIFS('caseload data'!F:F,'caseload data'!$C:$C,'community %'!$T$92,'caseload data'!$D:$D,"TPO",'caseload data'!$B:$B,{"licence","community"}))/SUM(SUMIFS('caseload data'!F:F,'caseload data'!$B:$B,{"licence","community"},'caseload data'!$C:$C,'community %'!$T$92)),"")</f>
        <v/>
      </c>
      <c r="W96" s="167" t="str" cm="1">
        <f t="array" ref="W96">IFERROR(SUM(SUMIFS('caseload data'!G:G,'caseload data'!$C:$C,'community %'!$T$92,'caseload data'!$D:$D,"TPO",'caseload data'!$B:$B,{"licence","community"}))/SUM(SUMIFS('caseload data'!G:G,'caseload data'!$B:$B,{"licence","community"},'caseload data'!$C:$C,'community %'!$T$92)),"")</f>
        <v/>
      </c>
      <c r="X96" s="167" t="str" cm="1">
        <f t="array" ref="X96">IFERROR(SUM(SUMIFS('caseload data'!H:H,'caseload data'!$C:$C,'community %'!$T$92,'caseload data'!$D:$D,"TPO",'caseload data'!$B:$B,{"licence","community"}))/SUM(SUMIFS('caseload data'!H:H,'caseload data'!$B:$B,{"licence","community"},'caseload data'!$C:$C,'community %'!$T$92)),"")</f>
        <v/>
      </c>
      <c r="Y96" s="167" t="str" cm="1">
        <f t="array" ref="Y96">IFERROR(SUM(SUMIFS('caseload data'!I:I,'caseload data'!$C:$C,'community %'!$T$92,'caseload data'!$D:$D,"TPO",'caseload data'!$B:$B,{"licence","community"}))/SUM(SUMIFS('caseload data'!I:I,'caseload data'!$B:$B,{"licence","community"},'caseload data'!$C:$C,'community %'!$T$92)),"")</f>
        <v/>
      </c>
      <c r="Z96" s="167" t="str" cm="1">
        <f t="array" ref="Z96">IFERROR(SUM(SUMIFS('caseload data'!J:J,'caseload data'!$C:$C,'community %'!$T$92,'caseload data'!$D:$D,"TPO",'caseload data'!$B:$B,{"licence","community"}))/SUM(SUMIFS('caseload data'!J:J,'caseload data'!$B:$B,{"licence","community"},'caseload data'!$C:$C,'community %'!$T$92)),"")</f>
        <v/>
      </c>
      <c r="AA96" s="167" t="str" cm="1">
        <f t="array" ref="AA96">IFERROR(SUM(SUMIFS('caseload data'!K:K,'caseload data'!$C:$C,'community %'!$T$92,'caseload data'!$D:$D,"TPO",'caseload data'!$B:$B,{"licence","community"}))/SUM(SUMIFS('caseload data'!K:K,'caseload data'!$B:$B,{"licence","community"},'caseload data'!$C:$C,'community %'!$T$92)),"")</f>
        <v/>
      </c>
      <c r="AB96" s="167" t="str" cm="1">
        <f t="array" ref="AB96">IFERROR(SUM(SUMIFS('caseload data'!L:L,'caseload data'!$C:$C,'community %'!$T$92,'caseload data'!$D:$D,"TPO",'caseload data'!$B:$B,{"licence","community"}))/SUM(SUMIFS('caseload data'!L:L,'caseload data'!$B:$B,{"licence","community"},'caseload data'!$C:$C,'community %'!$T$92)),"")</f>
        <v/>
      </c>
      <c r="AC96" s="167" t="str" cm="1">
        <f t="array" ref="AC96">IFERROR(SUM(SUMIFS('caseload data'!M:M,'caseload data'!$C:$C,'community %'!$T$92,'caseload data'!$D:$D,"TPO",'caseload data'!$B:$B,{"licence","community"}))/SUM(SUMIFS('caseload data'!M:M,'caseload data'!$B:$B,{"licence","community"},'caseload data'!$C:$C,'community %'!$T$92)),"")</f>
        <v/>
      </c>
      <c r="AD96" s="167" t="str" cm="1">
        <f t="array" ref="AD96">IFERROR(SUM(SUMIFS('caseload data'!N:N,'caseload data'!$C:$C,'community %'!$T$92,'caseload data'!$D:$D,"TPO",'caseload data'!$B:$B,{"licence","community"}))/SUM(SUMIFS('caseload data'!N:N,'caseload data'!$B:$B,{"licence","community"},'caseload data'!$C:$C,'community %'!$T$92)),"")</f>
        <v/>
      </c>
      <c r="AE96" s="167" t="str" cm="1">
        <f t="array" ref="AE96">IFERROR(SUM(SUMIFS('caseload data'!O:O,'caseload data'!$C:$C,'community %'!$T$92,'caseload data'!$D:$D,"TPO",'caseload data'!$B:$B,{"licence","community"}))/SUM(SUMIFS('caseload data'!O:O,'caseload data'!$B:$B,{"licence","community"},'caseload data'!$C:$C,'community %'!$T$92)),"")</f>
        <v/>
      </c>
      <c r="AF96" s="167" t="str" cm="1">
        <f t="array" ref="AF96">IFERROR(SUM(SUMIFS('caseload data'!P:P,'caseload data'!$C:$C,'community %'!$T$92,'caseload data'!$D:$D,"TPO",'caseload data'!$B:$B,{"licence","community"}))/SUM(SUMIFS('caseload data'!P:P,'caseload data'!$B:$B,{"licence","community"},'caseload data'!$C:$C,'community %'!$T$92)),"")</f>
        <v/>
      </c>
      <c r="AG96" s="167" t="str" cm="1">
        <f t="array" ref="AG96">IFERROR(SUM(SUMIFS('caseload data'!Q:Q,'caseload data'!$C:$C,'community %'!$T$92,'caseload data'!$D:$D,"TPO",'caseload data'!$B:$B,{"licence","community"}))/SUM(SUMIFS('caseload data'!Q:Q,'caseload data'!$B:$B,{"licence","community"},'caseload data'!$C:$C,'community %'!$T$92)),"")</f>
        <v/>
      </c>
      <c r="AH96" s="167" t="str" cm="1">
        <f t="array" ref="AH96">IFERROR(SUM(SUMIFS('caseload data'!R:R,'caseload data'!$C:$C,'community %'!$T$92,'caseload data'!$D:$D,"TPO",'caseload data'!$B:$B,{"licence","community"}))/SUM(SUMIFS('caseload data'!R:R,'caseload data'!$B:$B,{"licence","community"},'caseload data'!$C:$C,'community %'!$T$92)),"")</f>
        <v/>
      </c>
      <c r="AI96" s="167" t="str" cm="1">
        <f t="array" ref="AI96">IFERROR(SUM(SUMIFS('caseload data'!S:S,'caseload data'!$C:$C,'community %'!$T$92,'caseload data'!$D:$D,"TPO",'caseload data'!$B:$B,{"licence","community"}))/SUM(SUMIFS('caseload data'!S:S,'caseload data'!$B:$B,{"licence","community"},'caseload data'!$C:$C,'community %'!$T$92)),"")</f>
        <v/>
      </c>
      <c r="AJ96" s="167" t="str" cm="1">
        <f t="array" ref="AJ96">IFERROR(SUM(SUMIFS('caseload data'!T:T,'caseload data'!$C:$C,'community %'!$T$92,'caseload data'!$D:$D,"TPO",'caseload data'!$B:$B,{"licence","community"}))/SUM(SUMIFS('caseload data'!T:T,'caseload data'!$B:$B,{"licence","community"},'caseload data'!$C:$C,'community %'!$T$92)),"")</f>
        <v/>
      </c>
    </row>
    <row r="97" spans="2:36" x14ac:dyDescent="0.15">
      <c r="B97" s="98" t="s">
        <v>1004</v>
      </c>
      <c r="C97" s="167" t="str" cm="1">
        <f t="array" ref="C97">IFERROR(SUM(SUMIFS('caseload data'!E:E,'caseload data'!$C:$C,'community %'!$B$92,'caseload data'!$D:$D,"SPO",'caseload data'!$B:$B,{"licence","community"}))/SUM(SUMIFS('caseload data'!E:E,'caseload data'!$B:$B,{"licence","community"},'caseload data'!$C:$C,'community %'!$B$92)),"")</f>
        <v/>
      </c>
      <c r="D97" s="167" t="str" cm="1">
        <f t="array" ref="D97">IFERROR(SUM(SUMIFS('caseload data'!F:F,'caseload data'!$C:$C,'community %'!$B$92,'caseload data'!$D:$D,"SPO",'caseload data'!$B:$B,{"licence","community"}))/SUM(SUMIFS('caseload data'!F:F,'caseload data'!$B:$B,{"licence","community"},'caseload data'!$C:$C,'community %'!$B$92)),"")</f>
        <v/>
      </c>
      <c r="E97" s="167" t="str" cm="1">
        <f t="array" ref="E97">IFERROR(SUM(SUMIFS('caseload data'!G:G,'caseload data'!$C:$C,'community %'!$B$92,'caseload data'!$D:$D,"SPO",'caseload data'!$B:$B,{"licence","community"}))/SUM(SUMIFS('caseload data'!G:G,'caseload data'!$B:$B,{"licence","community"},'caseload data'!$C:$C,'community %'!$B$92)),"")</f>
        <v/>
      </c>
      <c r="F97" s="167" t="str" cm="1">
        <f t="array" ref="F97">IFERROR(SUM(SUMIFS('caseload data'!H:H,'caseload data'!$C:$C,'community %'!$B$92,'caseload data'!$D:$D,"SPO",'caseload data'!$B:$B,{"licence","community"}))/SUM(SUMIFS('caseload data'!H:H,'caseload data'!$B:$B,{"licence","community"},'caseload data'!$C:$C,'community %'!$B$92)),"")</f>
        <v/>
      </c>
      <c r="G97" s="167" t="str" cm="1">
        <f t="array" ref="G97">IFERROR(SUM(SUMIFS('caseload data'!I:I,'caseload data'!$C:$C,'community %'!$B$92,'caseload data'!$D:$D,"SPO",'caseload data'!$B:$B,{"licence","community"}))/SUM(SUMIFS('caseload data'!I:I,'caseload data'!$B:$B,{"licence","community"},'caseload data'!$C:$C,'community %'!$B$92)),"")</f>
        <v/>
      </c>
      <c r="H97" s="167" t="str" cm="1">
        <f t="array" ref="H97">IFERROR(SUM(SUMIFS('caseload data'!J:J,'caseload data'!$C:$C,'community %'!$B$92,'caseload data'!$D:$D,"SPO",'caseload data'!$B:$B,{"licence","community"}))/SUM(SUMIFS('caseload data'!J:J,'caseload data'!$B:$B,{"licence","community"},'caseload data'!$C:$C,'community %'!$B$92)),"")</f>
        <v/>
      </c>
      <c r="I97" s="167" t="str" cm="1">
        <f t="array" ref="I97">IFERROR(SUM(SUMIFS('caseload data'!K:K,'caseload data'!$C:$C,'community %'!$B$92,'caseload data'!$D:$D,"SPO",'caseload data'!$B:$B,{"licence","community"}))/SUM(SUMIFS('caseload data'!K:K,'caseload data'!$B:$B,{"licence","community"},'caseload data'!$C:$C,'community %'!$B$92)),"")</f>
        <v/>
      </c>
      <c r="J97" s="167" t="str" cm="1">
        <f t="array" ref="J97">IFERROR(SUM(SUMIFS('caseload data'!L:L,'caseload data'!$C:$C,'community %'!$B$92,'caseload data'!$D:$D,"SPO",'caseload data'!$B:$B,{"licence","community"}))/SUM(SUMIFS('caseload data'!L:L,'caseload data'!$B:$B,{"licence","community"},'caseload data'!$C:$C,'community %'!$B$92)),"")</f>
        <v/>
      </c>
      <c r="K97" s="167" t="str" cm="1">
        <f t="array" ref="K97">IFERROR(SUM(SUMIFS('caseload data'!M:M,'caseload data'!$C:$C,'community %'!$B$92,'caseload data'!$D:$D,"SPO",'caseload data'!$B:$B,{"licence","community"}))/SUM(SUMIFS('caseload data'!M:M,'caseload data'!$B:$B,{"licence","community"},'caseload data'!$C:$C,'community %'!$B$92)),"")</f>
        <v/>
      </c>
      <c r="L97" s="167" t="str" cm="1">
        <f t="array" ref="L97">IFERROR(SUM(SUMIFS('caseload data'!N:N,'caseload data'!$C:$C,'community %'!$B$92,'caseload data'!$D:$D,"SPO",'caseload data'!$B:$B,{"licence","community"}))/SUM(SUMIFS('caseload data'!N:N,'caseload data'!$B:$B,{"licence","community"},'caseload data'!$C:$C,'community %'!$B$92)),"")</f>
        <v/>
      </c>
      <c r="M97" s="167" t="str" cm="1">
        <f t="array" ref="M97">IFERROR(SUM(SUMIFS('caseload data'!O:O,'caseload data'!$C:$C,'community %'!$B$92,'caseload data'!$D:$D,"SPO",'caseload data'!$B:$B,{"licence","community"}))/SUM(SUMIFS('caseload data'!O:O,'caseload data'!$B:$B,{"licence","community"},'caseload data'!$C:$C,'community %'!$B$92)),"")</f>
        <v/>
      </c>
      <c r="N97" s="167" t="str" cm="1">
        <f t="array" ref="N97">IFERROR(SUM(SUMIFS('caseload data'!P:P,'caseload data'!$C:$C,'community %'!$B$92,'caseload data'!$D:$D,"SPO",'caseload data'!$B:$B,{"licence","community"}))/SUM(SUMIFS('caseload data'!P:P,'caseload data'!$B:$B,{"licence","community"},'caseload data'!$C:$C,'community %'!$B$92)),"")</f>
        <v/>
      </c>
      <c r="O97" s="167" t="str" cm="1">
        <f t="array" ref="O97">IFERROR(SUM(SUMIFS('caseload data'!Q:Q,'caseload data'!$C:$C,'community %'!$B$92,'caseload data'!$D:$D,"SPO",'caseload data'!$B:$B,{"licence","community"}))/SUM(SUMIFS('caseload data'!Q:Q,'caseload data'!$B:$B,{"licence","community"},'caseload data'!$C:$C,'community %'!$B$92)),"")</f>
        <v/>
      </c>
      <c r="P97" s="167" t="str" cm="1">
        <f t="array" ref="P97">IFERROR(SUM(SUMIFS('caseload data'!R:R,'caseload data'!$C:$C,'community %'!$B$92,'caseload data'!$D:$D,"SPO",'caseload data'!$B:$B,{"licence","community"}))/SUM(SUMIFS('caseload data'!R:R,'caseload data'!$B:$B,{"licence","community"},'caseload data'!$C:$C,'community %'!$B$92)),"")</f>
        <v/>
      </c>
      <c r="Q97" s="167" t="str" cm="1">
        <f t="array" ref="Q97">IFERROR(SUM(SUMIFS('caseload data'!S:S,'caseload data'!$C:$C,'community %'!$B$92,'caseload data'!$D:$D,"SPO",'caseload data'!$B:$B,{"licence","community"}))/SUM(SUMIFS('caseload data'!S:S,'caseload data'!$B:$B,{"licence","community"},'caseload data'!$C:$C,'community %'!$B$92)),"")</f>
        <v/>
      </c>
      <c r="R97" s="167" t="str" cm="1">
        <f t="array" ref="R97">IFERROR(SUM(SUMIFS('caseload data'!T:T,'caseload data'!$C:$C,'community %'!$B$92,'caseload data'!$D:$D,"SPO",'caseload data'!$B:$B,{"licence","community"}))/SUM(SUMIFS('caseload data'!T:T,'caseload data'!$B:$B,{"licence","community"},'caseload data'!$C:$C,'community %'!$B$92)),"")</f>
        <v/>
      </c>
      <c r="T97" s="98" t="s">
        <v>1004</v>
      </c>
      <c r="U97" s="167" t="str" cm="1">
        <f t="array" ref="U97">IFERROR(SUM(SUMIFS('caseload data'!E:E,'caseload data'!$C:$C,'community %'!$T$92,'caseload data'!$D:$D,"SPO",'caseload data'!$B:$B,{"licence","community"}))/SUM(SUMIFS('caseload data'!E:E,'caseload data'!$B:$B,{"licence","community"},'caseload data'!$C:$C,'community %'!$T$92)),"")</f>
        <v/>
      </c>
      <c r="V97" s="167" t="str" cm="1">
        <f t="array" ref="V97">IFERROR(SUM(SUMIFS('caseload data'!F:F,'caseload data'!$C:$C,'community %'!$T$92,'caseload data'!$D:$D,"SPO",'caseload data'!$B:$B,{"licence","community"}))/SUM(SUMIFS('caseload data'!F:F,'caseload data'!$B:$B,{"licence","community"},'caseload data'!$C:$C,'community %'!$T$92)),"")</f>
        <v/>
      </c>
      <c r="W97" s="167" t="str" cm="1">
        <f t="array" ref="W97">IFERROR(SUM(SUMIFS('caseload data'!G:G,'caseload data'!$C:$C,'community %'!$T$92,'caseload data'!$D:$D,"SPO",'caseload data'!$B:$B,{"licence","community"}))/SUM(SUMIFS('caseload data'!G:G,'caseload data'!$B:$B,{"licence","community"},'caseload data'!$C:$C,'community %'!$T$92)),"")</f>
        <v/>
      </c>
      <c r="X97" s="167" t="str" cm="1">
        <f t="array" ref="X97">IFERROR(SUM(SUMIFS('caseload data'!H:H,'caseload data'!$C:$C,'community %'!$T$92,'caseload data'!$D:$D,"SPO",'caseload data'!$B:$B,{"licence","community"}))/SUM(SUMIFS('caseload data'!H:H,'caseload data'!$B:$B,{"licence","community"},'caseload data'!$C:$C,'community %'!$T$92)),"")</f>
        <v/>
      </c>
      <c r="Y97" s="167" t="str" cm="1">
        <f t="array" ref="Y97">IFERROR(SUM(SUMIFS('caseload data'!I:I,'caseload data'!$C:$C,'community %'!$T$92,'caseload data'!$D:$D,"SPO",'caseload data'!$B:$B,{"licence","community"}))/SUM(SUMIFS('caseload data'!I:I,'caseload data'!$B:$B,{"licence","community"},'caseload data'!$C:$C,'community %'!$T$92)),"")</f>
        <v/>
      </c>
      <c r="Z97" s="167" t="str" cm="1">
        <f t="array" ref="Z97">IFERROR(SUM(SUMIFS('caseload data'!J:J,'caseload data'!$C:$C,'community %'!$T$92,'caseload data'!$D:$D,"SPO",'caseload data'!$B:$B,{"licence","community"}))/SUM(SUMIFS('caseload data'!J:J,'caseload data'!$B:$B,{"licence","community"},'caseload data'!$C:$C,'community %'!$T$92)),"")</f>
        <v/>
      </c>
      <c r="AA97" s="167" t="str" cm="1">
        <f t="array" ref="AA97">IFERROR(SUM(SUMIFS('caseload data'!K:K,'caseload data'!$C:$C,'community %'!$T$92,'caseload data'!$D:$D,"SPO",'caseload data'!$B:$B,{"licence","community"}))/SUM(SUMIFS('caseload data'!K:K,'caseload data'!$B:$B,{"licence","community"},'caseload data'!$C:$C,'community %'!$T$92)),"")</f>
        <v/>
      </c>
      <c r="AB97" s="167" t="str" cm="1">
        <f t="array" ref="AB97">IFERROR(SUM(SUMIFS('caseload data'!L:L,'caseload data'!$C:$C,'community %'!$T$92,'caseload data'!$D:$D,"SPO",'caseload data'!$B:$B,{"licence","community"}))/SUM(SUMIFS('caseload data'!L:L,'caseload data'!$B:$B,{"licence","community"},'caseload data'!$C:$C,'community %'!$T$92)),"")</f>
        <v/>
      </c>
      <c r="AC97" s="167" t="str" cm="1">
        <f t="array" ref="AC97">IFERROR(SUM(SUMIFS('caseload data'!M:M,'caseload data'!$C:$C,'community %'!$T$92,'caseload data'!$D:$D,"SPO",'caseload data'!$B:$B,{"licence","community"}))/SUM(SUMIFS('caseload data'!M:M,'caseload data'!$B:$B,{"licence","community"},'caseload data'!$C:$C,'community %'!$T$92)),"")</f>
        <v/>
      </c>
      <c r="AD97" s="167" t="str" cm="1">
        <f t="array" ref="AD97">IFERROR(SUM(SUMIFS('caseload data'!N:N,'caseload data'!$C:$C,'community %'!$T$92,'caseload data'!$D:$D,"SPO",'caseload data'!$B:$B,{"licence","community"}))/SUM(SUMIFS('caseload data'!N:N,'caseload data'!$B:$B,{"licence","community"},'caseload data'!$C:$C,'community %'!$T$92)),"")</f>
        <v/>
      </c>
      <c r="AE97" s="167" t="str" cm="1">
        <f t="array" ref="AE97">IFERROR(SUM(SUMIFS('caseload data'!O:O,'caseload data'!$C:$C,'community %'!$T$92,'caseload data'!$D:$D,"SPO",'caseload data'!$B:$B,{"licence","community"}))/SUM(SUMIFS('caseload data'!O:O,'caseload data'!$B:$B,{"licence","community"},'caseload data'!$C:$C,'community %'!$T$92)),"")</f>
        <v/>
      </c>
      <c r="AF97" s="167" t="str" cm="1">
        <f t="array" ref="AF97">IFERROR(SUM(SUMIFS('caseload data'!P:P,'caseload data'!$C:$C,'community %'!$T$92,'caseload data'!$D:$D,"SPO",'caseload data'!$B:$B,{"licence","community"}))/SUM(SUMIFS('caseload data'!P:P,'caseload data'!$B:$B,{"licence","community"},'caseload data'!$C:$C,'community %'!$T$92)),"")</f>
        <v/>
      </c>
      <c r="AG97" s="167" t="str" cm="1">
        <f t="array" ref="AG97">IFERROR(SUM(SUMIFS('caseload data'!Q:Q,'caseload data'!$C:$C,'community %'!$T$92,'caseload data'!$D:$D,"SPO",'caseload data'!$B:$B,{"licence","community"}))/SUM(SUMIFS('caseload data'!Q:Q,'caseload data'!$B:$B,{"licence","community"},'caseload data'!$C:$C,'community %'!$T$92)),"")</f>
        <v/>
      </c>
      <c r="AH97" s="167" t="str" cm="1">
        <f t="array" ref="AH97">IFERROR(SUM(SUMIFS('caseload data'!R:R,'caseload data'!$C:$C,'community %'!$T$92,'caseload data'!$D:$D,"SPO",'caseload data'!$B:$B,{"licence","community"}))/SUM(SUMIFS('caseload data'!R:R,'caseload data'!$B:$B,{"licence","community"},'caseload data'!$C:$C,'community %'!$T$92)),"")</f>
        <v/>
      </c>
      <c r="AI97" s="167" t="str" cm="1">
        <f t="array" ref="AI97">IFERROR(SUM(SUMIFS('caseload data'!S:S,'caseload data'!$C:$C,'community %'!$T$92,'caseload data'!$D:$D,"SPO",'caseload data'!$B:$B,{"licence","community"}))/SUM(SUMIFS('caseload data'!S:S,'caseload data'!$B:$B,{"licence","community"},'caseload data'!$C:$C,'community %'!$T$92)),"")</f>
        <v/>
      </c>
      <c r="AJ97" s="167" t="str" cm="1">
        <f t="array" ref="AJ97">IFERROR(SUM(SUMIFS('caseload data'!T:T,'caseload data'!$C:$C,'community %'!$T$92,'caseload data'!$D:$D,"SPO",'caseload data'!$B:$B,{"licence","community"}))/SUM(SUMIFS('caseload data'!T:T,'caseload data'!$B:$B,{"licence","community"},'caseload data'!$C:$C,'community %'!$T$92)),"")</f>
        <v/>
      </c>
    </row>
    <row r="99" spans="2:36" ht="22.5" customHeight="1" x14ac:dyDescent="0.15">
      <c r="B99" s="289">
        <f>HLOOKUP($B$5,Region_Table,28,0)</f>
        <v>0</v>
      </c>
      <c r="C99" s="509" t="s">
        <v>1134</v>
      </c>
      <c r="D99" s="510"/>
      <c r="E99" s="510"/>
      <c r="F99" s="510"/>
      <c r="G99" s="510"/>
      <c r="H99" s="510"/>
      <c r="I99" s="510"/>
      <c r="J99" s="510"/>
      <c r="K99" s="510"/>
      <c r="L99" s="510"/>
      <c r="M99" s="539"/>
      <c r="N99" s="539"/>
      <c r="O99" s="540"/>
      <c r="P99" s="512" cm="1">
        <f t="array" ref="P99">SUM(SUMIFS('caseload data'!V:V,'caseload data'!B:B,{"licence","community"},'caseload data'!$C:$C,B99))</f>
        <v>0</v>
      </c>
      <c r="Q99" s="529"/>
      <c r="R99" s="530"/>
      <c r="T99" s="289">
        <f>HLOOKUP($B$5,Region_Table,29,0)</f>
        <v>0</v>
      </c>
      <c r="U99" s="509" t="s">
        <v>1134</v>
      </c>
      <c r="V99" s="510"/>
      <c r="W99" s="510"/>
      <c r="X99" s="510"/>
      <c r="Y99" s="510"/>
      <c r="Z99" s="510"/>
      <c r="AA99" s="510"/>
      <c r="AB99" s="510"/>
      <c r="AC99" s="510"/>
      <c r="AD99" s="510"/>
      <c r="AE99" s="539"/>
      <c r="AF99" s="539"/>
      <c r="AG99" s="540"/>
      <c r="AH99" s="512" cm="1">
        <f t="array" ref="AH99">SUM(SUMIFS('caseload data'!V:V,'caseload data'!B:B,{"licence","community"},'caseload data'!$C:$C,T99))</f>
        <v>0</v>
      </c>
      <c r="AI99" s="529"/>
      <c r="AJ99" s="530"/>
    </row>
    <row r="100" spans="2:36" x14ac:dyDescent="0.15">
      <c r="B100" s="95" t="s">
        <v>1000</v>
      </c>
      <c r="C100" s="38" t="s">
        <v>864</v>
      </c>
      <c r="D100" s="38" t="s">
        <v>865</v>
      </c>
      <c r="E100" s="38" t="s">
        <v>866</v>
      </c>
      <c r="F100" s="38" t="s">
        <v>867</v>
      </c>
      <c r="G100" s="38" t="s">
        <v>868</v>
      </c>
      <c r="H100" s="38" t="s">
        <v>869</v>
      </c>
      <c r="I100" s="38" t="s">
        <v>870</v>
      </c>
      <c r="J100" s="38" t="s">
        <v>871</v>
      </c>
      <c r="K100" s="38" t="s">
        <v>872</v>
      </c>
      <c r="L100" s="38" t="s">
        <v>873</v>
      </c>
      <c r="M100" s="38" t="s">
        <v>874</v>
      </c>
      <c r="N100" s="38" t="s">
        <v>875</v>
      </c>
      <c r="O100" s="38" t="s">
        <v>876</v>
      </c>
      <c r="P100" s="38" t="s">
        <v>877</v>
      </c>
      <c r="Q100" s="38" t="s">
        <v>878</v>
      </c>
      <c r="R100" s="38" t="s">
        <v>879</v>
      </c>
      <c r="T100" s="290" t="s">
        <v>1000</v>
      </c>
      <c r="U100" s="38" t="s">
        <v>864</v>
      </c>
      <c r="V100" s="38" t="s">
        <v>865</v>
      </c>
      <c r="W100" s="38" t="s">
        <v>866</v>
      </c>
      <c r="X100" s="38" t="s">
        <v>867</v>
      </c>
      <c r="Y100" s="38" t="s">
        <v>868</v>
      </c>
      <c r="Z100" s="38" t="s">
        <v>869</v>
      </c>
      <c r="AA100" s="38" t="s">
        <v>870</v>
      </c>
      <c r="AB100" s="38" t="s">
        <v>871</v>
      </c>
      <c r="AC100" s="38" t="s">
        <v>872</v>
      </c>
      <c r="AD100" s="38" t="s">
        <v>873</v>
      </c>
      <c r="AE100" s="38" t="s">
        <v>874</v>
      </c>
      <c r="AF100" s="38" t="s">
        <v>875</v>
      </c>
      <c r="AG100" s="38" t="s">
        <v>876</v>
      </c>
      <c r="AH100" s="38" t="s">
        <v>877</v>
      </c>
      <c r="AI100" s="38" t="s">
        <v>878</v>
      </c>
      <c r="AJ100" s="38" t="s">
        <v>879</v>
      </c>
    </row>
    <row r="101" spans="2:36" x14ac:dyDescent="0.15">
      <c r="B101" s="96" t="s">
        <v>997</v>
      </c>
      <c r="C101" s="167" t="str" cm="1">
        <f t="array" ref="C101">IFERROR(SUM(SUMIFS('caseload data'!E:E,'caseload data'!$C:$C,'community %'!$B$99,'caseload data'!$D:$D,"PO",'caseload data'!$B:$B,{"licence","community"}))/SUM(SUMIFS('caseload data'!E:E,'caseload data'!$B:$B,{"licence","community"},'caseload data'!$C:$C,'community %'!$B$99)),"")</f>
        <v/>
      </c>
      <c r="D101" s="167" t="str" cm="1">
        <f t="array" ref="D101">IFERROR(SUM(SUMIFS('caseload data'!F:F,'caseload data'!$C:$C,'community %'!$B$99,'caseload data'!$D:$D,"PO",'caseload data'!$B:$B,{"licence","community"}))/SUM(SUMIFS('caseload data'!F:F,'caseload data'!$B:$B,{"licence","community"},'caseload data'!$C:$C,'community %'!$B$99)),"")</f>
        <v/>
      </c>
      <c r="E101" s="167" t="str" cm="1">
        <f t="array" ref="E101">IFERROR(SUM(SUMIFS('caseload data'!G:G,'caseload data'!$C:$C,'community %'!$B$99,'caseload data'!$D:$D,"PO",'caseload data'!$B:$B,{"licence","community"}))/SUM(SUMIFS('caseload data'!G:G,'caseload data'!$B:$B,{"licence","community"},'caseload data'!$C:$C,'community %'!$B$99)),"")</f>
        <v/>
      </c>
      <c r="F101" s="167" t="str" cm="1">
        <f t="array" ref="F101">IFERROR(SUM(SUMIFS('caseload data'!H:H,'caseload data'!$C:$C,'community %'!$B$99,'caseload data'!$D:$D,"PO",'caseload data'!$B:$B,{"licence","community"}))/SUM(SUMIFS('caseload data'!H:H,'caseload data'!$B:$B,{"licence","community"},'caseload data'!$C:$C,'community %'!$B$99)),"")</f>
        <v/>
      </c>
      <c r="G101" s="167" t="str" cm="1">
        <f t="array" ref="G101">IFERROR(SUM(SUMIFS('caseload data'!I:I,'caseload data'!$C:$C,'community %'!$B$99,'caseload data'!$D:$D,"PO",'caseload data'!$B:$B,{"licence","community"}))/SUM(SUMIFS('caseload data'!I:I,'caseload data'!$B:$B,{"licence","community"},'caseload data'!$C:$C,'community %'!$B$99)),"")</f>
        <v/>
      </c>
      <c r="H101" s="167" t="str" cm="1">
        <f t="array" ref="H101">IFERROR(SUM(SUMIFS('caseload data'!J:J,'caseload data'!$C:$C,'community %'!$B$99,'caseload data'!$D:$D,"PO",'caseload data'!$B:$B,{"licence","community"}))/SUM(SUMIFS('caseload data'!J:J,'caseload data'!$B:$B,{"licence","community"},'caseload data'!$C:$C,'community %'!$B$99)),"")</f>
        <v/>
      </c>
      <c r="I101" s="167" t="str" cm="1">
        <f t="array" ref="I101">IFERROR(SUM(SUMIFS('caseload data'!K:K,'caseload data'!$C:$C,'community %'!$B$99,'caseload data'!$D:$D,"PO",'caseload data'!$B:$B,{"licence","community"}))/SUM(SUMIFS('caseload data'!K:K,'caseload data'!$B:$B,{"licence","community"},'caseload data'!$C:$C,'community %'!$B$99)),"")</f>
        <v/>
      </c>
      <c r="J101" s="167" t="str" cm="1">
        <f t="array" ref="J101">IFERROR(SUM(SUMIFS('caseload data'!L:L,'caseload data'!$C:$C,'community %'!$B$99,'caseload data'!$D:$D,"PO",'caseload data'!$B:$B,{"licence","community"}))/SUM(SUMIFS('caseload data'!L:L,'caseload data'!$B:$B,{"licence","community"},'caseload data'!$C:$C,'community %'!$B$99)),"")</f>
        <v/>
      </c>
      <c r="K101" s="167" t="str" cm="1">
        <f t="array" ref="K101">IFERROR(SUM(SUMIFS('caseload data'!M:M,'caseload data'!$C:$C,'community %'!$B$99,'caseload data'!$D:$D,"PO",'caseload data'!$B:$B,{"licence","community"}))/SUM(SUMIFS('caseload data'!M:M,'caseload data'!$B:$B,{"licence","community"},'caseload data'!$C:$C,'community %'!$B$99)),"")</f>
        <v/>
      </c>
      <c r="L101" s="167" t="str" cm="1">
        <f t="array" ref="L101">IFERROR(SUM(SUMIFS('caseload data'!N:N,'caseload data'!$C:$C,'community %'!$B$99,'caseload data'!$D:$D,"PO",'caseload data'!$B:$B,{"licence","community"}))/SUM(SUMIFS('caseload data'!N:N,'caseload data'!$B:$B,{"licence","community"},'caseload data'!$C:$C,'community %'!$B$99)),"")</f>
        <v/>
      </c>
      <c r="M101" s="167" t="str" cm="1">
        <f t="array" ref="M101">IFERROR(SUM(SUMIFS('caseload data'!O:O,'caseload data'!$C:$C,'community %'!$B$99,'caseload data'!$D:$D,"PO",'caseload data'!$B:$B,{"licence","community"}))/SUM(SUMIFS('caseload data'!O:O,'caseload data'!$B:$B,{"licence","community"},'caseload data'!$C:$C,'community %'!$B$99)),"")</f>
        <v/>
      </c>
      <c r="N101" s="167" t="str" cm="1">
        <f t="array" ref="N101">IFERROR(SUM(SUMIFS('caseload data'!P:P,'caseload data'!$C:$C,'community %'!$B$99,'caseload data'!$D:$D,"PO",'caseload data'!$B:$B,{"licence","community"}))/SUM(SUMIFS('caseload data'!P:P,'caseload data'!$B:$B,{"licence","community"},'caseload data'!$C:$C,'community %'!$B$99)),"")</f>
        <v/>
      </c>
      <c r="O101" s="167" t="str" cm="1">
        <f t="array" ref="O101">IFERROR(SUM(SUMIFS('caseload data'!Q:Q,'caseload data'!$C:$C,'community %'!$B$99,'caseload data'!$D:$D,"PO",'caseload data'!$B:$B,{"licence","community"}))/SUM(SUMIFS('caseload data'!Q:Q,'caseload data'!$B:$B,{"licence","community"},'caseload data'!$C:$C,'community %'!$B$99)),"")</f>
        <v/>
      </c>
      <c r="P101" s="167" t="str" cm="1">
        <f t="array" ref="P101">IFERROR(SUM(SUMIFS('caseload data'!R:R,'caseload data'!$C:$C,'community %'!$B$99,'caseload data'!$D:$D,"PO",'caseload data'!$B:$B,{"licence","community"}))/SUM(SUMIFS('caseload data'!R:R,'caseload data'!$B:$B,{"licence","community"},'caseload data'!$C:$C,'community %'!$B$99)),"")</f>
        <v/>
      </c>
      <c r="Q101" s="167" t="str" cm="1">
        <f t="array" ref="Q101">IFERROR(SUM(SUMIFS('caseload data'!S:S,'caseload data'!$C:$C,'community %'!$B$99,'caseload data'!$D:$D,"PO",'caseload data'!$B:$B,{"licence","community"}))/SUM(SUMIFS('caseload data'!S:S,'caseload data'!$B:$B,{"licence","community"},'caseload data'!$C:$C,'community %'!$B$99)),"")</f>
        <v/>
      </c>
      <c r="R101" s="167" t="str" cm="1">
        <f t="array" ref="R101">IFERROR(SUM(SUMIFS('caseload data'!T:T,'caseload data'!$C:$C,'community %'!$B$99,'caseload data'!$D:$D,"PO",'caseload data'!$B:$B,{"licence","community"}))/SUM(SUMIFS('caseload data'!T:T,'caseload data'!$B:$B,{"licence","community"},'caseload data'!$C:$C,'community %'!$B$99)),"")</f>
        <v/>
      </c>
      <c r="T101" s="96" t="s">
        <v>997</v>
      </c>
      <c r="U101" s="167" t="str" cm="1">
        <f t="array" ref="U101">IFERROR(SUM(SUMIFS('caseload data'!E:E,'caseload data'!$C:$C,'community %'!$T$99,'caseload data'!$D:$D,"PO",'caseload data'!$B:$B,{"licence","community"}))/SUM(SUMIFS('caseload data'!E:E,'caseload data'!$B:$B,{"licence","community"},'caseload data'!$C:$C,'community %'!$T$99)),"")</f>
        <v/>
      </c>
      <c r="V101" s="167" t="str" cm="1">
        <f t="array" ref="V101">IFERROR(SUM(SUMIFS('caseload data'!F:F,'caseload data'!$C:$C,'community %'!$T$99,'caseload data'!$D:$D,"PO",'caseload data'!$B:$B,{"licence","community"}))/SUM(SUMIFS('caseload data'!F:F,'caseload data'!$B:$B,{"licence","community"},'caseload data'!$C:$C,'community %'!$T$99)),"")</f>
        <v/>
      </c>
      <c r="W101" s="167" t="str" cm="1">
        <f t="array" ref="W101">IFERROR(SUM(SUMIFS('caseload data'!G:G,'caseload data'!$C:$C,'community %'!$T$99,'caseload data'!$D:$D,"PO",'caseload data'!$B:$B,{"licence","community"}))/SUM(SUMIFS('caseload data'!G:G,'caseload data'!$B:$B,{"licence","community"},'caseload data'!$C:$C,'community %'!$T$99)),"")</f>
        <v/>
      </c>
      <c r="X101" s="167" t="str" cm="1">
        <f t="array" ref="X101">IFERROR(SUM(SUMIFS('caseload data'!H:H,'caseload data'!$C:$C,'community %'!$T$99,'caseload data'!$D:$D,"PO",'caseload data'!$B:$B,{"licence","community"}))/SUM(SUMIFS('caseload data'!H:H,'caseload data'!$B:$B,{"licence","community"},'caseload data'!$C:$C,'community %'!$T$99)),"")</f>
        <v/>
      </c>
      <c r="Y101" s="167" t="str" cm="1">
        <f t="array" ref="Y101">IFERROR(SUM(SUMIFS('caseload data'!I:I,'caseload data'!$C:$C,'community %'!$T$99,'caseload data'!$D:$D,"PO",'caseload data'!$B:$B,{"licence","community"}))/SUM(SUMIFS('caseload data'!I:I,'caseload data'!$B:$B,{"licence","community"},'caseload data'!$C:$C,'community %'!$T$99)),"")</f>
        <v/>
      </c>
      <c r="Z101" s="167" t="str" cm="1">
        <f t="array" ref="Z101">IFERROR(SUM(SUMIFS('caseload data'!J:J,'caseload data'!$C:$C,'community %'!$T$99,'caseload data'!$D:$D,"PO",'caseload data'!$B:$B,{"licence","community"}))/SUM(SUMIFS('caseload data'!J:J,'caseload data'!$B:$B,{"licence","community"},'caseload data'!$C:$C,'community %'!$T$99)),"")</f>
        <v/>
      </c>
      <c r="AA101" s="167" t="str" cm="1">
        <f t="array" ref="AA101">IFERROR(SUM(SUMIFS('caseload data'!K:K,'caseload data'!$C:$C,'community %'!$T$99,'caseload data'!$D:$D,"PO",'caseload data'!$B:$B,{"licence","community"}))/SUM(SUMIFS('caseload data'!K:K,'caseload data'!$B:$B,{"licence","community"},'caseload data'!$C:$C,'community %'!$T$99)),"")</f>
        <v/>
      </c>
      <c r="AB101" s="167" t="str" cm="1">
        <f t="array" ref="AB101">IFERROR(SUM(SUMIFS('caseload data'!L:L,'caseload data'!$C:$C,'community %'!$T$99,'caseload data'!$D:$D,"PO",'caseload data'!$B:$B,{"licence","community"}))/SUM(SUMIFS('caseload data'!L:L,'caseload data'!$B:$B,{"licence","community"},'caseload data'!$C:$C,'community %'!$T$99)),"")</f>
        <v/>
      </c>
      <c r="AC101" s="167" t="str" cm="1">
        <f t="array" ref="AC101">IFERROR(SUM(SUMIFS('caseload data'!M:M,'caseload data'!$C:$C,'community %'!$T$99,'caseload data'!$D:$D,"PO",'caseload data'!$B:$B,{"licence","community"}))/SUM(SUMIFS('caseload data'!M:M,'caseload data'!$B:$B,{"licence","community"},'caseload data'!$C:$C,'community %'!$T$99)),"")</f>
        <v/>
      </c>
      <c r="AD101" s="167" t="str" cm="1">
        <f t="array" ref="AD101">IFERROR(SUM(SUMIFS('caseload data'!N:N,'caseload data'!$C:$C,'community %'!$T$99,'caseload data'!$D:$D,"PO",'caseload data'!$B:$B,{"licence","community"}))/SUM(SUMIFS('caseload data'!N:N,'caseload data'!$B:$B,{"licence","community"},'caseload data'!$C:$C,'community %'!$T$99)),"")</f>
        <v/>
      </c>
      <c r="AE101" s="167" t="str" cm="1">
        <f t="array" ref="AE101">IFERROR(SUM(SUMIFS('caseload data'!O:O,'caseload data'!$C:$C,'community %'!$T$99,'caseload data'!$D:$D,"PO",'caseload data'!$B:$B,{"licence","community"}))/SUM(SUMIFS('caseload data'!O:O,'caseload data'!$B:$B,{"licence","community"},'caseload data'!$C:$C,'community %'!$T$99)),"")</f>
        <v/>
      </c>
      <c r="AF101" s="167" t="str" cm="1">
        <f t="array" ref="AF101">IFERROR(SUM(SUMIFS('caseload data'!P:P,'caseload data'!$C:$C,'community %'!$T$99,'caseload data'!$D:$D,"PO",'caseload data'!$B:$B,{"licence","community"}))/SUM(SUMIFS('caseload data'!P:P,'caseload data'!$B:$B,{"licence","community"},'caseload data'!$C:$C,'community %'!$T$99)),"")</f>
        <v/>
      </c>
      <c r="AG101" s="167" t="str" cm="1">
        <f t="array" ref="AG101">IFERROR(SUM(SUMIFS('caseload data'!Q:Q,'caseload data'!$C:$C,'community %'!$T$99,'caseload data'!$D:$D,"PO",'caseload data'!$B:$B,{"licence","community"}))/SUM(SUMIFS('caseload data'!Q:Q,'caseload data'!$B:$B,{"licence","community"},'caseload data'!$C:$C,'community %'!$T$99)),"")</f>
        <v/>
      </c>
      <c r="AH101" s="167" t="str" cm="1">
        <f t="array" ref="AH101">IFERROR(SUM(SUMIFS('caseload data'!R:R,'caseload data'!$C:$C,'community %'!$T$99,'caseload data'!$D:$D,"PO",'caseload data'!$B:$B,{"licence","community"}))/SUM(SUMIFS('caseload data'!R:R,'caseload data'!$B:$B,{"licence","community"},'caseload data'!$C:$C,'community %'!$T$99)),"")</f>
        <v/>
      </c>
      <c r="AI101" s="167" t="str" cm="1">
        <f t="array" ref="AI101">IFERROR(SUM(SUMIFS('caseload data'!S:S,'caseload data'!$C:$C,'community %'!$T$99,'caseload data'!$D:$D,"PO",'caseload data'!$B:$B,{"licence","community"}))/SUM(SUMIFS('caseload data'!S:S,'caseload data'!$B:$B,{"licence","community"},'caseload data'!$C:$C,'community %'!$T$99)),"")</f>
        <v/>
      </c>
      <c r="AJ101" s="167" t="str" cm="1">
        <f t="array" ref="AJ101">IFERROR(SUM(SUMIFS('caseload data'!T:T,'caseload data'!$C:$C,'community %'!$T$99,'caseload data'!$D:$D,"PO",'caseload data'!$B:$B,{"licence","community"}))/SUM(SUMIFS('caseload data'!T:T,'caseload data'!$B:$B,{"licence","community"},'caseload data'!$C:$C,'community %'!$T$99)),"")</f>
        <v/>
      </c>
    </row>
    <row r="102" spans="2:36" x14ac:dyDescent="0.15">
      <c r="B102" s="97" t="s">
        <v>1002</v>
      </c>
      <c r="C102" s="167" t="str" cm="1">
        <f t="array" ref="C102">IFERROR(SUM(SUMIFS('caseload data'!E:E,'caseload data'!$C:$C,'community %'!$B$99,'caseload data'!$D:$D,"PSO",'caseload data'!$B:$B,{"licence","community"}))/SUM(SUMIFS('caseload data'!E:E,'caseload data'!$B:$B,{"licence","community"},'caseload data'!$C:$C,'community %'!$B$99)),"")</f>
        <v/>
      </c>
      <c r="D102" s="167" t="str" cm="1">
        <f t="array" ref="D102">IFERROR(SUM(SUMIFS('caseload data'!F:F,'caseload data'!$C:$C,'community %'!$B$99,'caseload data'!$D:$D,"PSO",'caseload data'!$B:$B,{"licence","community"}))/SUM(SUMIFS('caseload data'!F:F,'caseload data'!$B:$B,{"licence","community"},'caseload data'!$C:$C,'community %'!$B$99)),"")</f>
        <v/>
      </c>
      <c r="E102" s="167" t="str" cm="1">
        <f t="array" ref="E102">IFERROR(SUM(SUMIFS('caseload data'!G:G,'caseload data'!$C:$C,'community %'!$B$99,'caseload data'!$D:$D,"PSO",'caseload data'!$B:$B,{"licence","community"}))/SUM(SUMIFS('caseload data'!G:G,'caseload data'!$B:$B,{"licence","community"},'caseload data'!$C:$C,'community %'!$B$99)),"")</f>
        <v/>
      </c>
      <c r="F102" s="167" t="str" cm="1">
        <f t="array" ref="F102">IFERROR(SUM(SUMIFS('caseload data'!H:H,'caseload data'!$C:$C,'community %'!$B$99,'caseload data'!$D:$D,"PSO",'caseload data'!$B:$B,{"licence","community"}))/SUM(SUMIFS('caseload data'!H:H,'caseload data'!$B:$B,{"licence","community"},'caseload data'!$C:$C,'community %'!$B$99)),"")</f>
        <v/>
      </c>
      <c r="G102" s="167" t="str" cm="1">
        <f t="array" ref="G102">IFERROR(SUM(SUMIFS('caseload data'!I:I,'caseload data'!$C:$C,'community %'!$B$99,'caseload data'!$D:$D,"PSO",'caseload data'!$B:$B,{"licence","community"}))/SUM(SUMIFS('caseload data'!I:I,'caseload data'!$B:$B,{"licence","community"},'caseload data'!$C:$C,'community %'!$B$99)),"")</f>
        <v/>
      </c>
      <c r="H102" s="167" t="str" cm="1">
        <f t="array" ref="H102">IFERROR(SUM(SUMIFS('caseload data'!J:J,'caseload data'!$C:$C,'community %'!$B$99,'caseload data'!$D:$D,"PSO",'caseload data'!$B:$B,{"licence","community"}))/SUM(SUMIFS('caseload data'!J:J,'caseload data'!$B:$B,{"licence","community"},'caseload data'!$C:$C,'community %'!$B$99)),"")</f>
        <v/>
      </c>
      <c r="I102" s="167" t="str" cm="1">
        <f t="array" ref="I102">IFERROR(SUM(SUMIFS('caseload data'!K:K,'caseload data'!$C:$C,'community %'!$B$99,'caseload data'!$D:$D,"PSO",'caseload data'!$B:$B,{"licence","community"}))/SUM(SUMIFS('caseload data'!K:K,'caseload data'!$B:$B,{"licence","community"},'caseload data'!$C:$C,'community %'!$B$99)),"")</f>
        <v/>
      </c>
      <c r="J102" s="167" t="str" cm="1">
        <f t="array" ref="J102">IFERROR(SUM(SUMIFS('caseload data'!L:L,'caseload data'!$C:$C,'community %'!$B$99,'caseload data'!$D:$D,"PSO",'caseload data'!$B:$B,{"licence","community"}))/SUM(SUMIFS('caseload data'!L:L,'caseload data'!$B:$B,{"licence","community"},'caseload data'!$C:$C,'community %'!$B$99)),"")</f>
        <v/>
      </c>
      <c r="K102" s="167" t="str" cm="1">
        <f t="array" ref="K102">IFERROR(SUM(SUMIFS('caseload data'!M:M,'caseload data'!$C:$C,'community %'!$B$99,'caseload data'!$D:$D,"PSO",'caseload data'!$B:$B,{"licence","community"}))/SUM(SUMIFS('caseload data'!M:M,'caseload data'!$B:$B,{"licence","community"},'caseload data'!$C:$C,'community %'!$B$99)),"")</f>
        <v/>
      </c>
      <c r="L102" s="167" t="str" cm="1">
        <f t="array" ref="L102">IFERROR(SUM(SUMIFS('caseload data'!N:N,'caseload data'!$C:$C,'community %'!$B$99,'caseload data'!$D:$D,"PSO",'caseload data'!$B:$B,{"licence","community"}))/SUM(SUMIFS('caseload data'!N:N,'caseload data'!$B:$B,{"licence","community"},'caseload data'!$C:$C,'community %'!$B$99)),"")</f>
        <v/>
      </c>
      <c r="M102" s="167" t="str" cm="1">
        <f t="array" ref="M102">IFERROR(SUM(SUMIFS('caseload data'!O:O,'caseload data'!$C:$C,'community %'!$B$99,'caseload data'!$D:$D,"PSO",'caseload data'!$B:$B,{"licence","community"}))/SUM(SUMIFS('caseload data'!O:O,'caseload data'!$B:$B,{"licence","community"},'caseload data'!$C:$C,'community %'!$B$99)),"")</f>
        <v/>
      </c>
      <c r="N102" s="167" t="str" cm="1">
        <f t="array" ref="N102">IFERROR(SUM(SUMIFS('caseload data'!P:P,'caseload data'!$C:$C,'community %'!$B$99,'caseload data'!$D:$D,"PSO",'caseload data'!$B:$B,{"licence","community"}))/SUM(SUMIFS('caseload data'!P:P,'caseload data'!$B:$B,{"licence","community"},'caseload data'!$C:$C,'community %'!$B$99)),"")</f>
        <v/>
      </c>
      <c r="O102" s="167" t="str" cm="1">
        <f t="array" ref="O102">IFERROR(SUM(SUMIFS('caseload data'!Q:Q,'caseload data'!$C:$C,'community %'!$B$99,'caseload data'!$D:$D,"PSO",'caseload data'!$B:$B,{"licence","community"}))/SUM(SUMIFS('caseload data'!Q:Q,'caseload data'!$B:$B,{"licence","community"},'caseload data'!$C:$C,'community %'!$B$99)),"")</f>
        <v/>
      </c>
      <c r="P102" s="167" t="str" cm="1">
        <f t="array" ref="P102">IFERROR(SUM(SUMIFS('caseload data'!R:R,'caseload data'!$C:$C,'community %'!$B$99,'caseload data'!$D:$D,"PSO",'caseload data'!$B:$B,{"licence","community"}))/SUM(SUMIFS('caseload data'!R:R,'caseload data'!$B:$B,{"licence","community"},'caseload data'!$C:$C,'community %'!$B$99)),"")</f>
        <v/>
      </c>
      <c r="Q102" s="167" t="str" cm="1">
        <f t="array" ref="Q102">IFERROR(SUM(SUMIFS('caseload data'!S:S,'caseload data'!$C:$C,'community %'!$B$99,'caseload data'!$D:$D,"PSO",'caseload data'!$B:$B,{"licence","community"}))/SUM(SUMIFS('caseload data'!S:S,'caseload data'!$B:$B,{"licence","community"},'caseload data'!$C:$C,'community %'!$B$99)),"")</f>
        <v/>
      </c>
      <c r="R102" s="167" t="str" cm="1">
        <f t="array" ref="R102">IFERROR(SUM(SUMIFS('caseload data'!T:T,'caseload data'!$C:$C,'community %'!$B$99,'caseload data'!$D:$D,"PSO",'caseload data'!$B:$B,{"licence","community"}))/SUM(SUMIFS('caseload data'!T:T,'caseload data'!$B:$B,{"licence","community"},'caseload data'!$C:$C,'community %'!$B$99)),"")</f>
        <v/>
      </c>
      <c r="T102" s="97" t="s">
        <v>1002</v>
      </c>
      <c r="U102" s="167" t="str" cm="1">
        <f t="array" ref="U102">IFERROR(SUM(SUMIFS('caseload data'!E:E,'caseload data'!$C:$C,'community %'!$T$99,'caseload data'!$D:$D,"PSO",'caseload data'!$B:$B,{"licence","community"}))/SUM(SUMIFS('caseload data'!E:E,'caseload data'!$B:$B,{"licence","community"},'caseload data'!$C:$C,'community %'!$T$99)),"")</f>
        <v/>
      </c>
      <c r="V102" s="167" t="str" cm="1">
        <f t="array" ref="V102">IFERROR(SUM(SUMIFS('caseload data'!F:F,'caseload data'!$C:$C,'community %'!$T$99,'caseload data'!$D:$D,"PSO",'caseload data'!$B:$B,{"licence","community"}))/SUM(SUMIFS('caseload data'!F:F,'caseload data'!$B:$B,{"licence","community"},'caseload data'!$C:$C,'community %'!$T$99)),"")</f>
        <v/>
      </c>
      <c r="W102" s="167" t="str" cm="1">
        <f t="array" ref="W102">IFERROR(SUM(SUMIFS('caseload data'!G:G,'caseload data'!$C:$C,'community %'!$T$99,'caseload data'!$D:$D,"PSO",'caseload data'!$B:$B,{"licence","community"}))/SUM(SUMIFS('caseload data'!G:G,'caseload data'!$B:$B,{"licence","community"},'caseload data'!$C:$C,'community %'!$T$99)),"")</f>
        <v/>
      </c>
      <c r="X102" s="167" t="str" cm="1">
        <f t="array" ref="X102">IFERROR(SUM(SUMIFS('caseload data'!H:H,'caseload data'!$C:$C,'community %'!$T$99,'caseload data'!$D:$D,"PSO",'caseload data'!$B:$B,{"licence","community"}))/SUM(SUMIFS('caseload data'!H:H,'caseload data'!$B:$B,{"licence","community"},'caseload data'!$C:$C,'community %'!$T$99)),"")</f>
        <v/>
      </c>
      <c r="Y102" s="167" t="str" cm="1">
        <f t="array" ref="Y102">IFERROR(SUM(SUMIFS('caseload data'!I:I,'caseload data'!$C:$C,'community %'!$T$99,'caseload data'!$D:$D,"PSO",'caseload data'!$B:$B,{"licence","community"}))/SUM(SUMIFS('caseload data'!I:I,'caseload data'!$B:$B,{"licence","community"},'caseload data'!$C:$C,'community %'!$T$99)),"")</f>
        <v/>
      </c>
      <c r="Z102" s="167" t="str" cm="1">
        <f t="array" ref="Z102">IFERROR(SUM(SUMIFS('caseload data'!J:J,'caseload data'!$C:$C,'community %'!$T$99,'caseload data'!$D:$D,"PSO",'caseload data'!$B:$B,{"licence","community"}))/SUM(SUMIFS('caseload data'!J:J,'caseload data'!$B:$B,{"licence","community"},'caseload data'!$C:$C,'community %'!$T$99)),"")</f>
        <v/>
      </c>
      <c r="AA102" s="167" t="str" cm="1">
        <f t="array" ref="AA102">IFERROR(SUM(SUMIFS('caseload data'!K:K,'caseload data'!$C:$C,'community %'!$T$99,'caseload data'!$D:$D,"PSO",'caseload data'!$B:$B,{"licence","community"}))/SUM(SUMIFS('caseload data'!K:K,'caseload data'!$B:$B,{"licence","community"},'caseload data'!$C:$C,'community %'!$T$99)),"")</f>
        <v/>
      </c>
      <c r="AB102" s="167" t="str" cm="1">
        <f t="array" ref="AB102">IFERROR(SUM(SUMIFS('caseload data'!L:L,'caseload data'!$C:$C,'community %'!$T$99,'caseload data'!$D:$D,"PSO",'caseload data'!$B:$B,{"licence","community"}))/SUM(SUMIFS('caseload data'!L:L,'caseload data'!$B:$B,{"licence","community"},'caseload data'!$C:$C,'community %'!$T$99)),"")</f>
        <v/>
      </c>
      <c r="AC102" s="167" t="str" cm="1">
        <f t="array" ref="AC102">IFERROR(SUM(SUMIFS('caseload data'!M:M,'caseload data'!$C:$C,'community %'!$T$99,'caseload data'!$D:$D,"PSO",'caseload data'!$B:$B,{"licence","community"}))/SUM(SUMIFS('caseload data'!M:M,'caseload data'!$B:$B,{"licence","community"},'caseload data'!$C:$C,'community %'!$T$99)),"")</f>
        <v/>
      </c>
      <c r="AD102" s="167" t="str" cm="1">
        <f t="array" ref="AD102">IFERROR(SUM(SUMIFS('caseload data'!N:N,'caseload data'!$C:$C,'community %'!$T$99,'caseload data'!$D:$D,"PSO",'caseload data'!$B:$B,{"licence","community"}))/SUM(SUMIFS('caseload data'!N:N,'caseload data'!$B:$B,{"licence","community"},'caseload data'!$C:$C,'community %'!$T$99)),"")</f>
        <v/>
      </c>
      <c r="AE102" s="167" t="str" cm="1">
        <f t="array" ref="AE102">IFERROR(SUM(SUMIFS('caseload data'!O:O,'caseload data'!$C:$C,'community %'!$T$99,'caseload data'!$D:$D,"PSO",'caseload data'!$B:$B,{"licence","community"}))/SUM(SUMIFS('caseload data'!O:O,'caseload data'!$B:$B,{"licence","community"},'caseload data'!$C:$C,'community %'!$T$99)),"")</f>
        <v/>
      </c>
      <c r="AF102" s="167" t="str" cm="1">
        <f t="array" ref="AF102">IFERROR(SUM(SUMIFS('caseload data'!P:P,'caseload data'!$C:$C,'community %'!$T$99,'caseload data'!$D:$D,"PSO",'caseload data'!$B:$B,{"licence","community"}))/SUM(SUMIFS('caseload data'!P:P,'caseload data'!$B:$B,{"licence","community"},'caseload data'!$C:$C,'community %'!$T$99)),"")</f>
        <v/>
      </c>
      <c r="AG102" s="167" t="str" cm="1">
        <f t="array" ref="AG102">IFERROR(SUM(SUMIFS('caseload data'!Q:Q,'caseload data'!$C:$C,'community %'!$T$99,'caseload data'!$D:$D,"PSO",'caseload data'!$B:$B,{"licence","community"}))/SUM(SUMIFS('caseload data'!Q:Q,'caseload data'!$B:$B,{"licence","community"},'caseload data'!$C:$C,'community %'!$T$99)),"")</f>
        <v/>
      </c>
      <c r="AH102" s="167" t="str" cm="1">
        <f t="array" ref="AH102">IFERROR(SUM(SUMIFS('caseload data'!R:R,'caseload data'!$C:$C,'community %'!$T$99,'caseload data'!$D:$D,"PSO",'caseload data'!$B:$B,{"licence","community"}))/SUM(SUMIFS('caseload data'!R:R,'caseload data'!$B:$B,{"licence","community"},'caseload data'!$C:$C,'community %'!$T$99)),"")</f>
        <v/>
      </c>
      <c r="AI102" s="167" t="str" cm="1">
        <f t="array" ref="AI102">IFERROR(SUM(SUMIFS('caseload data'!S:S,'caseload data'!$C:$C,'community %'!$T$99,'caseload data'!$D:$D,"PSO",'caseload data'!$B:$B,{"licence","community"}))/SUM(SUMIFS('caseload data'!S:S,'caseload data'!$B:$B,{"licence","community"},'caseload data'!$C:$C,'community %'!$T$99)),"")</f>
        <v/>
      </c>
      <c r="AJ102" s="167" t="str" cm="1">
        <f t="array" ref="AJ102">IFERROR(SUM(SUMIFS('caseload data'!T:T,'caseload data'!$C:$C,'community %'!$T$99,'caseload data'!$D:$D,"PSO",'caseload data'!$B:$B,{"licence","community"}))/SUM(SUMIFS('caseload data'!T:T,'caseload data'!$B:$B,{"licence","community"},'caseload data'!$C:$C,'community %'!$T$99)),"")</f>
        <v/>
      </c>
    </row>
    <row r="103" spans="2:36" x14ac:dyDescent="0.15">
      <c r="B103" s="97" t="s">
        <v>1003</v>
      </c>
      <c r="C103" s="167" t="str" cm="1">
        <f t="array" ref="C103">IFERROR(SUM(SUMIFS('caseload data'!E:E,'caseload data'!$C:$C,'community %'!$B$99,'caseload data'!$D:$D,"TPO",'caseload data'!$B:$B,{"licence","community"}))/SUM(SUMIFS('caseload data'!E:E,'caseload data'!$B:$B,{"licence","community"},'caseload data'!$C:$C,'community %'!$B$99)),"")</f>
        <v/>
      </c>
      <c r="D103" s="167" t="str" cm="1">
        <f t="array" ref="D103">IFERROR(SUM(SUMIFS('caseload data'!F:F,'caseload data'!$C:$C,'community %'!$B$99,'caseload data'!$D:$D,"TPO",'caseload data'!$B:$B,{"licence","community"}))/SUM(SUMIFS('caseload data'!F:F,'caseload data'!$B:$B,{"licence","community"},'caseload data'!$C:$C,'community %'!$B$99)),"")</f>
        <v/>
      </c>
      <c r="E103" s="167" t="str" cm="1">
        <f t="array" ref="E103">IFERROR(SUM(SUMIFS('caseload data'!G:G,'caseload data'!$C:$C,'community %'!$B$99,'caseload data'!$D:$D,"TPO",'caseload data'!$B:$B,{"licence","community"}))/SUM(SUMIFS('caseload data'!G:G,'caseload data'!$B:$B,{"licence","community"},'caseload data'!$C:$C,'community %'!$B$99)),"")</f>
        <v/>
      </c>
      <c r="F103" s="167" t="str" cm="1">
        <f t="array" ref="F103">IFERROR(SUM(SUMIFS('caseload data'!H:H,'caseload data'!$C:$C,'community %'!$B$99,'caseload data'!$D:$D,"TPO",'caseload data'!$B:$B,{"licence","community"}))/SUM(SUMIFS('caseload data'!H:H,'caseload data'!$B:$B,{"licence","community"},'caseload data'!$C:$C,'community %'!$B$99)),"")</f>
        <v/>
      </c>
      <c r="G103" s="167" t="str" cm="1">
        <f t="array" ref="G103">IFERROR(SUM(SUMIFS('caseload data'!I:I,'caseload data'!$C:$C,'community %'!$B$99,'caseload data'!$D:$D,"TPO",'caseload data'!$B:$B,{"licence","community"}))/SUM(SUMIFS('caseload data'!I:I,'caseload data'!$B:$B,{"licence","community"},'caseload data'!$C:$C,'community %'!$B$99)),"")</f>
        <v/>
      </c>
      <c r="H103" s="167" t="str" cm="1">
        <f t="array" ref="H103">IFERROR(SUM(SUMIFS('caseload data'!J:J,'caseload data'!$C:$C,'community %'!$B$99,'caseload data'!$D:$D,"TPO",'caseload data'!$B:$B,{"licence","community"}))/SUM(SUMIFS('caseload data'!J:J,'caseload data'!$B:$B,{"licence","community"},'caseload data'!$C:$C,'community %'!$B$99)),"")</f>
        <v/>
      </c>
      <c r="I103" s="167" t="str" cm="1">
        <f t="array" ref="I103">IFERROR(SUM(SUMIFS('caseload data'!K:K,'caseload data'!$C:$C,'community %'!$B$99,'caseload data'!$D:$D,"TPO",'caseload data'!$B:$B,{"licence","community"}))/SUM(SUMIFS('caseload data'!K:K,'caseload data'!$B:$B,{"licence","community"},'caseload data'!$C:$C,'community %'!$B$99)),"")</f>
        <v/>
      </c>
      <c r="J103" s="167" t="str" cm="1">
        <f t="array" ref="J103">IFERROR(SUM(SUMIFS('caseload data'!L:L,'caseload data'!$C:$C,'community %'!$B$99,'caseload data'!$D:$D,"TPO",'caseload data'!$B:$B,{"licence","community"}))/SUM(SUMIFS('caseload data'!L:L,'caseload data'!$B:$B,{"licence","community"},'caseload data'!$C:$C,'community %'!$B$99)),"")</f>
        <v/>
      </c>
      <c r="K103" s="167" t="str" cm="1">
        <f t="array" ref="K103">IFERROR(SUM(SUMIFS('caseload data'!M:M,'caseload data'!$C:$C,'community %'!$B$99,'caseload data'!$D:$D,"TPO",'caseload data'!$B:$B,{"licence","community"}))/SUM(SUMIFS('caseload data'!M:M,'caseload data'!$B:$B,{"licence","community"},'caseload data'!$C:$C,'community %'!$B$99)),"")</f>
        <v/>
      </c>
      <c r="L103" s="167" t="str" cm="1">
        <f t="array" ref="L103">IFERROR(SUM(SUMIFS('caseload data'!N:N,'caseload data'!$C:$C,'community %'!$B$99,'caseload data'!$D:$D,"TPO",'caseload data'!$B:$B,{"licence","community"}))/SUM(SUMIFS('caseload data'!N:N,'caseload data'!$B:$B,{"licence","community"},'caseload data'!$C:$C,'community %'!$B$99)),"")</f>
        <v/>
      </c>
      <c r="M103" s="167" t="str" cm="1">
        <f t="array" ref="M103">IFERROR(SUM(SUMIFS('caseload data'!O:O,'caseload data'!$C:$C,'community %'!$B$99,'caseload data'!$D:$D,"TPO",'caseload data'!$B:$B,{"licence","community"}))/SUM(SUMIFS('caseload data'!O:O,'caseload data'!$B:$B,{"licence","community"},'caseload data'!$C:$C,'community %'!$B$99)),"")</f>
        <v/>
      </c>
      <c r="N103" s="167" t="str" cm="1">
        <f t="array" ref="N103">IFERROR(SUM(SUMIFS('caseload data'!P:P,'caseload data'!$C:$C,'community %'!$B$99,'caseload data'!$D:$D,"TPO",'caseload data'!$B:$B,{"licence","community"}))/SUM(SUMIFS('caseload data'!P:P,'caseload data'!$B:$B,{"licence","community"},'caseload data'!$C:$C,'community %'!$B$99)),"")</f>
        <v/>
      </c>
      <c r="O103" s="167" t="str" cm="1">
        <f t="array" ref="O103">IFERROR(SUM(SUMIFS('caseload data'!Q:Q,'caseload data'!$C:$C,'community %'!$B$99,'caseload data'!$D:$D,"TPO",'caseload data'!$B:$B,{"licence","community"}))/SUM(SUMIFS('caseload data'!Q:Q,'caseload data'!$B:$B,{"licence","community"},'caseload data'!$C:$C,'community %'!$B$99)),"")</f>
        <v/>
      </c>
      <c r="P103" s="167" t="str" cm="1">
        <f t="array" ref="P103">IFERROR(SUM(SUMIFS('caseload data'!R:R,'caseload data'!$C:$C,'community %'!$B$99,'caseload data'!$D:$D,"TPO",'caseload data'!$B:$B,{"licence","community"}))/SUM(SUMIFS('caseload data'!R:R,'caseload data'!$B:$B,{"licence","community"},'caseload data'!$C:$C,'community %'!$B$99)),"")</f>
        <v/>
      </c>
      <c r="Q103" s="167" t="str" cm="1">
        <f t="array" ref="Q103">IFERROR(SUM(SUMIFS('caseload data'!S:S,'caseload data'!$C:$C,'community %'!$B$99,'caseload data'!$D:$D,"TPO",'caseload data'!$B:$B,{"licence","community"}))/SUM(SUMIFS('caseload data'!S:S,'caseload data'!$B:$B,{"licence","community"},'caseload data'!$C:$C,'community %'!$B$99)),"")</f>
        <v/>
      </c>
      <c r="R103" s="167" t="str" cm="1">
        <f t="array" ref="R103">IFERROR(SUM(SUMIFS('caseload data'!T:T,'caseload data'!$C:$C,'community %'!$B$99,'caseload data'!$D:$D,"TPO",'caseload data'!$B:$B,{"licence","community"}))/SUM(SUMIFS('caseload data'!T:T,'caseload data'!$B:$B,{"licence","community"},'caseload data'!$C:$C,'community %'!$B$99)),"")</f>
        <v/>
      </c>
      <c r="T103" s="97" t="s">
        <v>1003</v>
      </c>
      <c r="U103" s="167" t="str" cm="1">
        <f t="array" ref="U103">IFERROR(SUM(SUMIFS('caseload data'!E:E,'caseload data'!$C:$C,'community %'!$T$99,'caseload data'!$D:$D,"TPO",'caseload data'!$B:$B,{"licence","community"}))/SUM(SUMIFS('caseload data'!E:E,'caseload data'!$B:$B,{"licence","community"},'caseload data'!$C:$C,'community %'!$T$99)),"")</f>
        <v/>
      </c>
      <c r="V103" s="167" t="str" cm="1">
        <f t="array" ref="V103">IFERROR(SUM(SUMIFS('caseload data'!F:F,'caseload data'!$C:$C,'community %'!$T$99,'caseload data'!$D:$D,"TPO",'caseload data'!$B:$B,{"licence","community"}))/SUM(SUMIFS('caseload data'!F:F,'caseload data'!$B:$B,{"licence","community"},'caseload data'!$C:$C,'community %'!$T$99)),"")</f>
        <v/>
      </c>
      <c r="W103" s="167" t="str" cm="1">
        <f t="array" ref="W103">IFERROR(SUM(SUMIFS('caseload data'!G:G,'caseload data'!$C:$C,'community %'!$T$99,'caseload data'!$D:$D,"TPO",'caseload data'!$B:$B,{"licence","community"}))/SUM(SUMIFS('caseload data'!G:G,'caseload data'!$B:$B,{"licence","community"},'caseload data'!$C:$C,'community %'!$T$99)),"")</f>
        <v/>
      </c>
      <c r="X103" s="167" t="str" cm="1">
        <f t="array" ref="X103">IFERROR(SUM(SUMIFS('caseload data'!H:H,'caseload data'!$C:$C,'community %'!$T$99,'caseload data'!$D:$D,"TPO",'caseload data'!$B:$B,{"licence","community"}))/SUM(SUMIFS('caseload data'!H:H,'caseload data'!$B:$B,{"licence","community"},'caseload data'!$C:$C,'community %'!$T$99)),"")</f>
        <v/>
      </c>
      <c r="Y103" s="167" t="str" cm="1">
        <f t="array" ref="Y103">IFERROR(SUM(SUMIFS('caseload data'!I:I,'caseload data'!$C:$C,'community %'!$T$99,'caseload data'!$D:$D,"TPO",'caseload data'!$B:$B,{"licence","community"}))/SUM(SUMIFS('caseload data'!I:I,'caseload data'!$B:$B,{"licence","community"},'caseload data'!$C:$C,'community %'!$T$99)),"")</f>
        <v/>
      </c>
      <c r="Z103" s="167" t="str" cm="1">
        <f t="array" ref="Z103">IFERROR(SUM(SUMIFS('caseload data'!J:J,'caseload data'!$C:$C,'community %'!$T$99,'caseload data'!$D:$D,"TPO",'caseload data'!$B:$B,{"licence","community"}))/SUM(SUMIFS('caseload data'!J:J,'caseload data'!$B:$B,{"licence","community"},'caseload data'!$C:$C,'community %'!$T$99)),"")</f>
        <v/>
      </c>
      <c r="AA103" s="167" t="str" cm="1">
        <f t="array" ref="AA103">IFERROR(SUM(SUMIFS('caseload data'!K:K,'caseload data'!$C:$C,'community %'!$T$99,'caseload data'!$D:$D,"TPO",'caseload data'!$B:$B,{"licence","community"}))/SUM(SUMIFS('caseload data'!K:K,'caseload data'!$B:$B,{"licence","community"},'caseload data'!$C:$C,'community %'!$T$99)),"")</f>
        <v/>
      </c>
      <c r="AB103" s="167" t="str" cm="1">
        <f t="array" ref="AB103">IFERROR(SUM(SUMIFS('caseload data'!L:L,'caseload data'!$C:$C,'community %'!$T$99,'caseload data'!$D:$D,"TPO",'caseload data'!$B:$B,{"licence","community"}))/SUM(SUMIFS('caseload data'!L:L,'caseload data'!$B:$B,{"licence","community"},'caseload data'!$C:$C,'community %'!$T$99)),"")</f>
        <v/>
      </c>
      <c r="AC103" s="167" t="str" cm="1">
        <f t="array" ref="AC103">IFERROR(SUM(SUMIFS('caseload data'!M:M,'caseload data'!$C:$C,'community %'!$T$99,'caseload data'!$D:$D,"TPO",'caseload data'!$B:$B,{"licence","community"}))/SUM(SUMIFS('caseload data'!M:M,'caseload data'!$B:$B,{"licence","community"},'caseload data'!$C:$C,'community %'!$T$99)),"")</f>
        <v/>
      </c>
      <c r="AD103" s="167" t="str" cm="1">
        <f t="array" ref="AD103">IFERROR(SUM(SUMIFS('caseload data'!N:N,'caseload data'!$C:$C,'community %'!$T$99,'caseload data'!$D:$D,"TPO",'caseload data'!$B:$B,{"licence","community"}))/SUM(SUMIFS('caseload data'!N:N,'caseload data'!$B:$B,{"licence","community"},'caseload data'!$C:$C,'community %'!$T$99)),"")</f>
        <v/>
      </c>
      <c r="AE103" s="167" t="str" cm="1">
        <f t="array" ref="AE103">IFERROR(SUM(SUMIFS('caseload data'!O:O,'caseload data'!$C:$C,'community %'!$T$99,'caseload data'!$D:$D,"TPO",'caseload data'!$B:$B,{"licence","community"}))/SUM(SUMIFS('caseload data'!O:O,'caseload data'!$B:$B,{"licence","community"},'caseload data'!$C:$C,'community %'!$T$99)),"")</f>
        <v/>
      </c>
      <c r="AF103" s="167" t="str" cm="1">
        <f t="array" ref="AF103">IFERROR(SUM(SUMIFS('caseload data'!P:P,'caseload data'!$C:$C,'community %'!$T$99,'caseload data'!$D:$D,"TPO",'caseload data'!$B:$B,{"licence","community"}))/SUM(SUMIFS('caseload data'!P:P,'caseload data'!$B:$B,{"licence","community"},'caseload data'!$C:$C,'community %'!$T$99)),"")</f>
        <v/>
      </c>
      <c r="AG103" s="167" t="str" cm="1">
        <f t="array" ref="AG103">IFERROR(SUM(SUMIFS('caseload data'!Q:Q,'caseload data'!$C:$C,'community %'!$T$99,'caseload data'!$D:$D,"TPO",'caseload data'!$B:$B,{"licence","community"}))/SUM(SUMIFS('caseload data'!Q:Q,'caseload data'!$B:$B,{"licence","community"},'caseload data'!$C:$C,'community %'!$T$99)),"")</f>
        <v/>
      </c>
      <c r="AH103" s="167" t="str" cm="1">
        <f t="array" ref="AH103">IFERROR(SUM(SUMIFS('caseload data'!R:R,'caseload data'!$C:$C,'community %'!$T$99,'caseload data'!$D:$D,"TPO",'caseload data'!$B:$B,{"licence","community"}))/SUM(SUMIFS('caseload data'!R:R,'caseload data'!$B:$B,{"licence","community"},'caseload data'!$C:$C,'community %'!$T$99)),"")</f>
        <v/>
      </c>
      <c r="AI103" s="167" t="str" cm="1">
        <f t="array" ref="AI103">IFERROR(SUM(SUMIFS('caseload data'!S:S,'caseload data'!$C:$C,'community %'!$T$99,'caseload data'!$D:$D,"TPO",'caseload data'!$B:$B,{"licence","community"}))/SUM(SUMIFS('caseload data'!S:S,'caseload data'!$B:$B,{"licence","community"},'caseload data'!$C:$C,'community %'!$T$99)),"")</f>
        <v/>
      </c>
      <c r="AJ103" s="167" t="str" cm="1">
        <f t="array" ref="AJ103">IFERROR(SUM(SUMIFS('caseload data'!T:T,'caseload data'!$C:$C,'community %'!$T$99,'caseload data'!$D:$D,"TPO",'caseload data'!$B:$B,{"licence","community"}))/SUM(SUMIFS('caseload data'!T:T,'caseload data'!$B:$B,{"licence","community"},'caseload data'!$C:$C,'community %'!$T$99)),"")</f>
        <v/>
      </c>
    </row>
    <row r="104" spans="2:36" x14ac:dyDescent="0.15">
      <c r="B104" s="98" t="s">
        <v>1004</v>
      </c>
      <c r="C104" s="167" t="str" cm="1">
        <f t="array" ref="C104">IFERROR(SUM(SUMIFS('caseload data'!E:E,'caseload data'!$C:$C,'community %'!$B$99,'caseload data'!$D:$D,"SPO",'caseload data'!$B:$B,{"licence","community"}))/SUM(SUMIFS('caseload data'!E:E,'caseload data'!$B:$B,{"licence","community"},'caseload data'!$C:$C,'community %'!$B$99)),"")</f>
        <v/>
      </c>
      <c r="D104" s="167" t="str" cm="1">
        <f t="array" ref="D104">IFERROR(SUM(SUMIFS('caseload data'!F:F,'caseload data'!$C:$C,'community %'!$B$99,'caseload data'!$D:$D,"SPO",'caseload data'!$B:$B,{"licence","community"}))/SUM(SUMIFS('caseload data'!F:F,'caseload data'!$B:$B,{"licence","community"},'caseload data'!$C:$C,'community %'!$B$99)),"")</f>
        <v/>
      </c>
      <c r="E104" s="167" t="str" cm="1">
        <f t="array" ref="E104">IFERROR(SUM(SUMIFS('caseload data'!G:G,'caseload data'!$C:$C,'community %'!$B$99,'caseload data'!$D:$D,"SPO",'caseload data'!$B:$B,{"licence","community"}))/SUM(SUMIFS('caseload data'!G:G,'caseload data'!$B:$B,{"licence","community"},'caseload data'!$C:$C,'community %'!$B$99)),"")</f>
        <v/>
      </c>
      <c r="F104" s="167" t="str" cm="1">
        <f t="array" ref="F104">IFERROR(SUM(SUMIFS('caseload data'!H:H,'caseload data'!$C:$C,'community %'!$B$99,'caseload data'!$D:$D,"SPO",'caseload data'!$B:$B,{"licence","community"}))/SUM(SUMIFS('caseload data'!H:H,'caseload data'!$B:$B,{"licence","community"},'caseload data'!$C:$C,'community %'!$B$99)),"")</f>
        <v/>
      </c>
      <c r="G104" s="167" t="str" cm="1">
        <f t="array" ref="G104">IFERROR(SUM(SUMIFS('caseload data'!I:I,'caseload data'!$C:$C,'community %'!$B$99,'caseload data'!$D:$D,"SPO",'caseload data'!$B:$B,{"licence","community"}))/SUM(SUMIFS('caseload data'!I:I,'caseload data'!$B:$B,{"licence","community"},'caseload data'!$C:$C,'community %'!$B$99)),"")</f>
        <v/>
      </c>
      <c r="H104" s="167" t="str" cm="1">
        <f t="array" ref="H104">IFERROR(SUM(SUMIFS('caseload data'!J:J,'caseload data'!$C:$C,'community %'!$B$99,'caseload data'!$D:$D,"SPO",'caseload data'!$B:$B,{"licence","community"}))/SUM(SUMIFS('caseload data'!J:J,'caseload data'!$B:$B,{"licence","community"},'caseload data'!$C:$C,'community %'!$B$99)),"")</f>
        <v/>
      </c>
      <c r="I104" s="167" t="str" cm="1">
        <f t="array" ref="I104">IFERROR(SUM(SUMIFS('caseload data'!K:K,'caseload data'!$C:$C,'community %'!$B$99,'caseload data'!$D:$D,"SPO",'caseload data'!$B:$B,{"licence","community"}))/SUM(SUMIFS('caseload data'!K:K,'caseload data'!$B:$B,{"licence","community"},'caseload data'!$C:$C,'community %'!$B$99)),"")</f>
        <v/>
      </c>
      <c r="J104" s="167" t="str" cm="1">
        <f t="array" ref="J104">IFERROR(SUM(SUMIFS('caseload data'!L:L,'caseload data'!$C:$C,'community %'!$B$99,'caseload data'!$D:$D,"SPO",'caseload data'!$B:$B,{"licence","community"}))/SUM(SUMIFS('caseload data'!L:L,'caseload data'!$B:$B,{"licence","community"},'caseload data'!$C:$C,'community %'!$B$99)),"")</f>
        <v/>
      </c>
      <c r="K104" s="167" t="str" cm="1">
        <f t="array" ref="K104">IFERROR(SUM(SUMIFS('caseload data'!M:M,'caseload data'!$C:$C,'community %'!$B$99,'caseload data'!$D:$D,"SPO",'caseload data'!$B:$B,{"licence","community"}))/SUM(SUMIFS('caseload data'!M:M,'caseload data'!$B:$B,{"licence","community"},'caseload data'!$C:$C,'community %'!$B$99)),"")</f>
        <v/>
      </c>
      <c r="L104" s="167" t="str" cm="1">
        <f t="array" ref="L104">IFERROR(SUM(SUMIFS('caseload data'!N:N,'caseload data'!$C:$C,'community %'!$B$99,'caseload data'!$D:$D,"SPO",'caseload data'!$B:$B,{"licence","community"}))/SUM(SUMIFS('caseload data'!N:N,'caseload data'!$B:$B,{"licence","community"},'caseload data'!$C:$C,'community %'!$B$99)),"")</f>
        <v/>
      </c>
      <c r="M104" s="167" t="str" cm="1">
        <f t="array" ref="M104">IFERROR(SUM(SUMIFS('caseload data'!O:O,'caseload data'!$C:$C,'community %'!$B$99,'caseload data'!$D:$D,"SPO",'caseload data'!$B:$B,{"licence","community"}))/SUM(SUMIFS('caseload data'!O:O,'caseload data'!$B:$B,{"licence","community"},'caseload data'!$C:$C,'community %'!$B$99)),"")</f>
        <v/>
      </c>
      <c r="N104" s="167" t="str" cm="1">
        <f t="array" ref="N104">IFERROR(SUM(SUMIFS('caseload data'!P:P,'caseload data'!$C:$C,'community %'!$B$99,'caseload data'!$D:$D,"SPO",'caseload data'!$B:$B,{"licence","community"}))/SUM(SUMIFS('caseload data'!P:P,'caseload data'!$B:$B,{"licence","community"},'caseload data'!$C:$C,'community %'!$B$99)),"")</f>
        <v/>
      </c>
      <c r="O104" s="167" t="str" cm="1">
        <f t="array" ref="O104">IFERROR(SUM(SUMIFS('caseload data'!Q:Q,'caseload data'!$C:$C,'community %'!$B$99,'caseload data'!$D:$D,"SPO",'caseload data'!$B:$B,{"licence","community"}))/SUM(SUMIFS('caseload data'!Q:Q,'caseload data'!$B:$B,{"licence","community"},'caseload data'!$C:$C,'community %'!$B$99)),"")</f>
        <v/>
      </c>
      <c r="P104" s="167" t="str" cm="1">
        <f t="array" ref="P104">IFERROR(SUM(SUMIFS('caseload data'!R:R,'caseload data'!$C:$C,'community %'!$B$99,'caseload data'!$D:$D,"SPO",'caseload data'!$B:$B,{"licence","community"}))/SUM(SUMIFS('caseload data'!R:R,'caseload data'!$B:$B,{"licence","community"},'caseload data'!$C:$C,'community %'!$B$99)),"")</f>
        <v/>
      </c>
      <c r="Q104" s="167" t="str" cm="1">
        <f t="array" ref="Q104">IFERROR(SUM(SUMIFS('caseload data'!S:S,'caseload data'!$C:$C,'community %'!$B$99,'caseload data'!$D:$D,"SPO",'caseload data'!$B:$B,{"licence","community"}))/SUM(SUMIFS('caseload data'!S:S,'caseload data'!$B:$B,{"licence","community"},'caseload data'!$C:$C,'community %'!$B$99)),"")</f>
        <v/>
      </c>
      <c r="R104" s="167" t="str" cm="1">
        <f t="array" ref="R104">IFERROR(SUM(SUMIFS('caseload data'!T:T,'caseload data'!$C:$C,'community %'!$B$99,'caseload data'!$D:$D,"SPO",'caseload data'!$B:$B,{"licence","community"}))/SUM(SUMIFS('caseload data'!T:T,'caseload data'!$B:$B,{"licence","community"},'caseload data'!$C:$C,'community %'!$B$99)),"")</f>
        <v/>
      </c>
      <c r="T104" s="98" t="s">
        <v>1004</v>
      </c>
      <c r="U104" s="167" t="str" cm="1">
        <f t="array" ref="U104">IFERROR(SUM(SUMIFS('caseload data'!E:E,'caseload data'!$C:$C,'community %'!$T$99,'caseload data'!$D:$D,"SPO",'caseload data'!$B:$B,{"licence","community"}))/SUM(SUMIFS('caseload data'!E:E,'caseload data'!$B:$B,{"licence","community"},'caseload data'!$C:$C,'community %'!$T$99)),"")</f>
        <v/>
      </c>
      <c r="V104" s="167" t="str" cm="1">
        <f t="array" ref="V104">IFERROR(SUM(SUMIFS('caseload data'!F:F,'caseload data'!$C:$C,'community %'!$T$99,'caseload data'!$D:$D,"SPO",'caseload data'!$B:$B,{"licence","community"}))/SUM(SUMIFS('caseload data'!F:F,'caseload data'!$B:$B,{"licence","community"},'caseload data'!$C:$C,'community %'!$T$99)),"")</f>
        <v/>
      </c>
      <c r="W104" s="167" t="str" cm="1">
        <f t="array" ref="W104">IFERROR(SUM(SUMIFS('caseload data'!G:G,'caseload data'!$C:$C,'community %'!$T$99,'caseload data'!$D:$D,"SPO",'caseload data'!$B:$B,{"licence","community"}))/SUM(SUMIFS('caseload data'!G:G,'caseload data'!$B:$B,{"licence","community"},'caseload data'!$C:$C,'community %'!$T$99)),"")</f>
        <v/>
      </c>
      <c r="X104" s="167" t="str" cm="1">
        <f t="array" ref="X104">IFERROR(SUM(SUMIFS('caseload data'!H:H,'caseload data'!$C:$C,'community %'!$T$99,'caseload data'!$D:$D,"SPO",'caseload data'!$B:$B,{"licence","community"}))/SUM(SUMIFS('caseload data'!H:H,'caseload data'!$B:$B,{"licence","community"},'caseload data'!$C:$C,'community %'!$T$99)),"")</f>
        <v/>
      </c>
      <c r="Y104" s="167" t="str" cm="1">
        <f t="array" ref="Y104">IFERROR(SUM(SUMIFS('caseload data'!I:I,'caseload data'!$C:$C,'community %'!$T$99,'caseload data'!$D:$D,"SPO",'caseload data'!$B:$B,{"licence","community"}))/SUM(SUMIFS('caseload data'!I:I,'caseload data'!$B:$B,{"licence","community"},'caseload data'!$C:$C,'community %'!$T$99)),"")</f>
        <v/>
      </c>
      <c r="Z104" s="167" t="str" cm="1">
        <f t="array" ref="Z104">IFERROR(SUM(SUMIFS('caseload data'!J:J,'caseload data'!$C:$C,'community %'!$T$99,'caseload data'!$D:$D,"SPO",'caseload data'!$B:$B,{"licence","community"}))/SUM(SUMIFS('caseload data'!J:J,'caseload data'!$B:$B,{"licence","community"},'caseload data'!$C:$C,'community %'!$T$99)),"")</f>
        <v/>
      </c>
      <c r="AA104" s="167" t="str" cm="1">
        <f t="array" ref="AA104">IFERROR(SUM(SUMIFS('caseload data'!K:K,'caseload data'!$C:$C,'community %'!$T$99,'caseload data'!$D:$D,"SPO",'caseload data'!$B:$B,{"licence","community"}))/SUM(SUMIFS('caseload data'!K:K,'caseload data'!$B:$B,{"licence","community"},'caseload data'!$C:$C,'community %'!$T$99)),"")</f>
        <v/>
      </c>
      <c r="AB104" s="167" t="str" cm="1">
        <f t="array" ref="AB104">IFERROR(SUM(SUMIFS('caseload data'!L:L,'caseload data'!$C:$C,'community %'!$T$99,'caseload data'!$D:$D,"SPO",'caseload data'!$B:$B,{"licence","community"}))/SUM(SUMIFS('caseload data'!L:L,'caseload data'!$B:$B,{"licence","community"},'caseload data'!$C:$C,'community %'!$T$99)),"")</f>
        <v/>
      </c>
      <c r="AC104" s="167" t="str" cm="1">
        <f t="array" ref="AC104">IFERROR(SUM(SUMIFS('caseload data'!M:M,'caseload data'!$C:$C,'community %'!$T$99,'caseload data'!$D:$D,"SPO",'caseload data'!$B:$B,{"licence","community"}))/SUM(SUMIFS('caseload data'!M:M,'caseload data'!$B:$B,{"licence","community"},'caseload data'!$C:$C,'community %'!$T$99)),"")</f>
        <v/>
      </c>
      <c r="AD104" s="167" t="str" cm="1">
        <f t="array" ref="AD104">IFERROR(SUM(SUMIFS('caseload data'!N:N,'caseload data'!$C:$C,'community %'!$T$99,'caseload data'!$D:$D,"SPO",'caseload data'!$B:$B,{"licence","community"}))/SUM(SUMIFS('caseload data'!N:N,'caseload data'!$B:$B,{"licence","community"},'caseload data'!$C:$C,'community %'!$T$99)),"")</f>
        <v/>
      </c>
      <c r="AE104" s="167" t="str" cm="1">
        <f t="array" ref="AE104">IFERROR(SUM(SUMIFS('caseload data'!O:O,'caseload data'!$C:$C,'community %'!$T$99,'caseload data'!$D:$D,"SPO",'caseload data'!$B:$B,{"licence","community"}))/SUM(SUMIFS('caseload data'!O:O,'caseload data'!$B:$B,{"licence","community"},'caseload data'!$C:$C,'community %'!$T$99)),"")</f>
        <v/>
      </c>
      <c r="AF104" s="167" t="str" cm="1">
        <f t="array" ref="AF104">IFERROR(SUM(SUMIFS('caseload data'!P:P,'caseload data'!$C:$C,'community %'!$T$99,'caseload data'!$D:$D,"SPO",'caseload data'!$B:$B,{"licence","community"}))/SUM(SUMIFS('caseload data'!P:P,'caseload data'!$B:$B,{"licence","community"},'caseload data'!$C:$C,'community %'!$T$99)),"")</f>
        <v/>
      </c>
      <c r="AG104" s="167" t="str" cm="1">
        <f t="array" ref="AG104">IFERROR(SUM(SUMIFS('caseload data'!Q:Q,'caseload data'!$C:$C,'community %'!$T$99,'caseload data'!$D:$D,"SPO",'caseload data'!$B:$B,{"licence","community"}))/SUM(SUMIFS('caseload data'!Q:Q,'caseload data'!$B:$B,{"licence","community"},'caseload data'!$C:$C,'community %'!$T$99)),"")</f>
        <v/>
      </c>
      <c r="AH104" s="167" t="str" cm="1">
        <f t="array" ref="AH104">IFERROR(SUM(SUMIFS('caseload data'!R:R,'caseload data'!$C:$C,'community %'!$T$99,'caseload data'!$D:$D,"SPO",'caseload data'!$B:$B,{"licence","community"}))/SUM(SUMIFS('caseload data'!R:R,'caseload data'!$B:$B,{"licence","community"},'caseload data'!$C:$C,'community %'!$T$99)),"")</f>
        <v/>
      </c>
      <c r="AI104" s="167" t="str" cm="1">
        <f t="array" ref="AI104">IFERROR(SUM(SUMIFS('caseload data'!S:S,'caseload data'!$C:$C,'community %'!$T$99,'caseload data'!$D:$D,"SPO",'caseload data'!$B:$B,{"licence","community"}))/SUM(SUMIFS('caseload data'!S:S,'caseload data'!$B:$B,{"licence","community"},'caseload data'!$C:$C,'community %'!$T$99)),"")</f>
        <v/>
      </c>
      <c r="AJ104" s="167" t="str" cm="1">
        <f t="array" ref="AJ104">IFERROR(SUM(SUMIFS('caseload data'!T:T,'caseload data'!$C:$C,'community %'!$T$99,'caseload data'!$D:$D,"SPO",'caseload data'!$B:$B,{"licence","community"}))/SUM(SUMIFS('caseload data'!T:T,'caseload data'!$B:$B,{"licence","community"},'caseload data'!$C:$C,'community %'!$T$99)),"")</f>
        <v/>
      </c>
    </row>
  </sheetData>
  <mergeCells count="58">
    <mergeCell ref="C99:O99"/>
    <mergeCell ref="P99:R99"/>
    <mergeCell ref="U71:AG71"/>
    <mergeCell ref="AH71:AJ71"/>
    <mergeCell ref="U78:AG78"/>
    <mergeCell ref="AH78:AJ78"/>
    <mergeCell ref="U85:AG85"/>
    <mergeCell ref="AH85:AJ85"/>
    <mergeCell ref="U92:AG92"/>
    <mergeCell ref="AH92:AJ92"/>
    <mergeCell ref="U99:AG99"/>
    <mergeCell ref="AH99:AJ99"/>
    <mergeCell ref="C78:O78"/>
    <mergeCell ref="P78:R78"/>
    <mergeCell ref="C85:O85"/>
    <mergeCell ref="P85:R85"/>
    <mergeCell ref="C92:O92"/>
    <mergeCell ref="P92:R92"/>
    <mergeCell ref="C64:O64"/>
    <mergeCell ref="P64:R64"/>
    <mergeCell ref="U64:AG64"/>
    <mergeCell ref="A1:AJ1"/>
    <mergeCell ref="AH64:AJ64"/>
    <mergeCell ref="C71:O71"/>
    <mergeCell ref="P71:R71"/>
    <mergeCell ref="C8:O8"/>
    <mergeCell ref="P8:R8"/>
    <mergeCell ref="U8:AG8"/>
    <mergeCell ref="AH8:AJ8"/>
    <mergeCell ref="C22:O22"/>
    <mergeCell ref="P22:R22"/>
    <mergeCell ref="U22:AG22"/>
    <mergeCell ref="AH22:AJ22"/>
    <mergeCell ref="C29:O29"/>
    <mergeCell ref="P29:R29"/>
    <mergeCell ref="U29:AG29"/>
    <mergeCell ref="AH29:AJ29"/>
    <mergeCell ref="A2:AX2"/>
    <mergeCell ref="C15:O15"/>
    <mergeCell ref="P15:R15"/>
    <mergeCell ref="U15:AG15"/>
    <mergeCell ref="AH15:AJ15"/>
    <mergeCell ref="P36:R36"/>
    <mergeCell ref="U36:AG36"/>
    <mergeCell ref="AH36:AJ36"/>
    <mergeCell ref="C57:O57"/>
    <mergeCell ref="P57:R57"/>
    <mergeCell ref="U57:AG57"/>
    <mergeCell ref="AH57:AJ57"/>
    <mergeCell ref="C43:O43"/>
    <mergeCell ref="P43:R43"/>
    <mergeCell ref="U43:AG43"/>
    <mergeCell ref="AH43:AJ43"/>
    <mergeCell ref="C50:O50"/>
    <mergeCell ref="P50:R50"/>
    <mergeCell ref="U50:AG50"/>
    <mergeCell ref="AH50:AJ50"/>
    <mergeCell ref="C36:O36"/>
  </mergeCells>
  <conditionalFormatting sqref="C11:C12">
    <cfRule type="cellIs" dxfId="673" priority="671" operator="equal">
      <formula>0</formula>
    </cfRule>
    <cfRule type="cellIs" dxfId="672" priority="672" operator="notEqual">
      <formula>0</formula>
    </cfRule>
  </conditionalFormatting>
  <conditionalFormatting sqref="D11:D12">
    <cfRule type="cellIs" dxfId="671" priority="669" operator="equal">
      <formula>0</formula>
    </cfRule>
    <cfRule type="cellIs" dxfId="670" priority="670" operator="notEqual">
      <formula>0</formula>
    </cfRule>
  </conditionalFormatting>
  <conditionalFormatting sqref="E11:E12">
    <cfRule type="cellIs" dxfId="669" priority="667" operator="equal">
      <formula>0</formula>
    </cfRule>
    <cfRule type="cellIs" dxfId="668" priority="668" operator="notEqual">
      <formula>0</formula>
    </cfRule>
  </conditionalFormatting>
  <conditionalFormatting sqref="F11:F12">
    <cfRule type="cellIs" dxfId="667" priority="665" operator="equal">
      <formula>0</formula>
    </cfRule>
    <cfRule type="cellIs" dxfId="666" priority="666" operator="notEqual">
      <formula>0</formula>
    </cfRule>
  </conditionalFormatting>
  <conditionalFormatting sqref="G11:G12">
    <cfRule type="cellIs" dxfId="665" priority="663" operator="equal">
      <formula>0</formula>
    </cfRule>
    <cfRule type="cellIs" dxfId="664" priority="664" operator="notEqual">
      <formula>0</formula>
    </cfRule>
  </conditionalFormatting>
  <conditionalFormatting sqref="H11:H12">
    <cfRule type="cellIs" dxfId="663" priority="661" operator="equal">
      <formula>0</formula>
    </cfRule>
    <cfRule type="cellIs" dxfId="662" priority="662" operator="notEqual">
      <formula>0</formula>
    </cfRule>
  </conditionalFormatting>
  <conditionalFormatting sqref="I11:I12">
    <cfRule type="cellIs" dxfId="661" priority="659" operator="equal">
      <formula>0</formula>
    </cfRule>
    <cfRule type="cellIs" dxfId="660" priority="660" operator="notEqual">
      <formula>0</formula>
    </cfRule>
  </conditionalFormatting>
  <conditionalFormatting sqref="J11:J12">
    <cfRule type="cellIs" dxfId="659" priority="657" operator="equal">
      <formula>0</formula>
    </cfRule>
    <cfRule type="cellIs" dxfId="658" priority="658" operator="notEqual">
      <formula>0</formula>
    </cfRule>
  </conditionalFormatting>
  <conditionalFormatting sqref="O10">
    <cfRule type="cellIs" dxfId="657" priority="655" operator="equal">
      <formula>0</formula>
    </cfRule>
    <cfRule type="cellIs" dxfId="656" priority="656" operator="greaterThan">
      <formula>0</formula>
    </cfRule>
  </conditionalFormatting>
  <conditionalFormatting sqref="P10">
    <cfRule type="cellIs" dxfId="655" priority="653" operator="equal">
      <formula>0</formula>
    </cfRule>
    <cfRule type="cellIs" dxfId="654" priority="654" operator="greaterThan">
      <formula>0</formula>
    </cfRule>
  </conditionalFormatting>
  <conditionalFormatting sqref="Q10">
    <cfRule type="cellIs" dxfId="653" priority="651" operator="equal">
      <formula>0</formula>
    </cfRule>
    <cfRule type="cellIs" dxfId="652" priority="652" operator="greaterThan">
      <formula>0</formula>
    </cfRule>
  </conditionalFormatting>
  <conditionalFormatting sqref="R10">
    <cfRule type="cellIs" dxfId="651" priority="649" operator="equal">
      <formula>0</formula>
    </cfRule>
    <cfRule type="cellIs" dxfId="650" priority="650" operator="greaterThan">
      <formula>0</formula>
    </cfRule>
  </conditionalFormatting>
  <conditionalFormatting sqref="C18:C19">
    <cfRule type="cellIs" dxfId="649" priority="647" operator="equal">
      <formula>0</formula>
    </cfRule>
    <cfRule type="cellIs" dxfId="648" priority="648" operator="notEqual">
      <formula>0</formula>
    </cfRule>
  </conditionalFormatting>
  <conditionalFormatting sqref="D18:D19">
    <cfRule type="cellIs" dxfId="647" priority="645" operator="equal">
      <formula>0</formula>
    </cfRule>
    <cfRule type="cellIs" dxfId="646" priority="646" operator="notEqual">
      <formula>0</formula>
    </cfRule>
  </conditionalFormatting>
  <conditionalFormatting sqref="E18:E19">
    <cfRule type="cellIs" dxfId="645" priority="643" operator="equal">
      <formula>0</formula>
    </cfRule>
    <cfRule type="cellIs" dxfId="644" priority="644" operator="notEqual">
      <formula>0</formula>
    </cfRule>
  </conditionalFormatting>
  <conditionalFormatting sqref="F18:F19">
    <cfRule type="cellIs" dxfId="643" priority="641" operator="equal">
      <formula>0</formula>
    </cfRule>
    <cfRule type="cellIs" dxfId="642" priority="642" operator="notEqual">
      <formula>0</formula>
    </cfRule>
  </conditionalFormatting>
  <conditionalFormatting sqref="G18:G19">
    <cfRule type="cellIs" dxfId="641" priority="639" operator="equal">
      <formula>0</formula>
    </cfRule>
    <cfRule type="cellIs" dxfId="640" priority="640" operator="notEqual">
      <formula>0</formula>
    </cfRule>
  </conditionalFormatting>
  <conditionalFormatting sqref="H18:H19">
    <cfRule type="cellIs" dxfId="639" priority="637" operator="equal">
      <formula>0</formula>
    </cfRule>
    <cfRule type="cellIs" dxfId="638" priority="638" operator="notEqual">
      <formula>0</formula>
    </cfRule>
  </conditionalFormatting>
  <conditionalFormatting sqref="I18:I19">
    <cfRule type="cellIs" dxfId="637" priority="635" operator="equal">
      <formula>0</formula>
    </cfRule>
    <cfRule type="cellIs" dxfId="636" priority="636" operator="notEqual">
      <formula>0</formula>
    </cfRule>
  </conditionalFormatting>
  <conditionalFormatting sqref="J18:J19">
    <cfRule type="cellIs" dxfId="635" priority="633" operator="equal">
      <formula>0</formula>
    </cfRule>
    <cfRule type="cellIs" dxfId="634" priority="634" operator="notEqual">
      <formula>0</formula>
    </cfRule>
  </conditionalFormatting>
  <conditionalFormatting sqref="O17">
    <cfRule type="cellIs" dxfId="633" priority="631" operator="equal">
      <formula>0</formula>
    </cfRule>
    <cfRule type="cellIs" dxfId="632" priority="632" operator="greaterThan">
      <formula>0</formula>
    </cfRule>
  </conditionalFormatting>
  <conditionalFormatting sqref="P17">
    <cfRule type="cellIs" dxfId="631" priority="629" operator="equal">
      <formula>0</formula>
    </cfRule>
    <cfRule type="cellIs" dxfId="630" priority="630" operator="greaterThan">
      <formula>0</formula>
    </cfRule>
  </conditionalFormatting>
  <conditionalFormatting sqref="Q17">
    <cfRule type="cellIs" dxfId="629" priority="627" operator="equal">
      <formula>0</formula>
    </cfRule>
    <cfRule type="cellIs" dxfId="628" priority="628" operator="greaterThan">
      <formula>0</formula>
    </cfRule>
  </conditionalFormatting>
  <conditionalFormatting sqref="R17">
    <cfRule type="cellIs" dxfId="627" priority="625" operator="equal">
      <formula>0</formula>
    </cfRule>
    <cfRule type="cellIs" dxfId="626" priority="626" operator="greaterThan">
      <formula>0</formula>
    </cfRule>
  </conditionalFormatting>
  <conditionalFormatting sqref="C25:C26">
    <cfRule type="cellIs" dxfId="625" priority="623" operator="equal">
      <formula>0</formula>
    </cfRule>
    <cfRule type="cellIs" dxfId="624" priority="624" operator="notEqual">
      <formula>0</formula>
    </cfRule>
  </conditionalFormatting>
  <conditionalFormatting sqref="D25:D26">
    <cfRule type="cellIs" dxfId="623" priority="621" operator="equal">
      <formula>0</formula>
    </cfRule>
    <cfRule type="cellIs" dxfId="622" priority="622" operator="notEqual">
      <formula>0</formula>
    </cfRule>
  </conditionalFormatting>
  <conditionalFormatting sqref="E25:E26">
    <cfRule type="cellIs" dxfId="621" priority="619" operator="equal">
      <formula>0</formula>
    </cfRule>
    <cfRule type="cellIs" dxfId="620" priority="620" operator="notEqual">
      <formula>0</formula>
    </cfRule>
  </conditionalFormatting>
  <conditionalFormatting sqref="F25:F26">
    <cfRule type="cellIs" dxfId="619" priority="617" operator="equal">
      <formula>0</formula>
    </cfRule>
    <cfRule type="cellIs" dxfId="618" priority="618" operator="notEqual">
      <formula>0</formula>
    </cfRule>
  </conditionalFormatting>
  <conditionalFormatting sqref="G25:G26">
    <cfRule type="cellIs" dxfId="617" priority="615" operator="equal">
      <formula>0</formula>
    </cfRule>
    <cfRule type="cellIs" dxfId="616" priority="616" operator="notEqual">
      <formula>0</formula>
    </cfRule>
  </conditionalFormatting>
  <conditionalFormatting sqref="H25:H26">
    <cfRule type="cellIs" dxfId="615" priority="613" operator="equal">
      <formula>0</formula>
    </cfRule>
    <cfRule type="cellIs" dxfId="614" priority="614" operator="notEqual">
      <formula>0</formula>
    </cfRule>
  </conditionalFormatting>
  <conditionalFormatting sqref="I25:I26">
    <cfRule type="cellIs" dxfId="613" priority="611" operator="equal">
      <formula>0</formula>
    </cfRule>
    <cfRule type="cellIs" dxfId="612" priority="612" operator="notEqual">
      <formula>0</formula>
    </cfRule>
  </conditionalFormatting>
  <conditionalFormatting sqref="J25:J26">
    <cfRule type="cellIs" dxfId="611" priority="609" operator="equal">
      <formula>0</formula>
    </cfRule>
    <cfRule type="cellIs" dxfId="610" priority="610" operator="notEqual">
      <formula>0</formula>
    </cfRule>
  </conditionalFormatting>
  <conditionalFormatting sqref="O24">
    <cfRule type="cellIs" dxfId="609" priority="607" operator="equal">
      <formula>0</formula>
    </cfRule>
    <cfRule type="cellIs" dxfId="608" priority="608" operator="greaterThan">
      <formula>0</formula>
    </cfRule>
  </conditionalFormatting>
  <conditionalFormatting sqref="P24">
    <cfRule type="cellIs" dxfId="607" priority="605" operator="equal">
      <formula>0</formula>
    </cfRule>
    <cfRule type="cellIs" dxfId="606" priority="606" operator="greaterThan">
      <formula>0</formula>
    </cfRule>
  </conditionalFormatting>
  <conditionalFormatting sqref="Q24">
    <cfRule type="cellIs" dxfId="605" priority="603" operator="equal">
      <formula>0</formula>
    </cfRule>
    <cfRule type="cellIs" dxfId="604" priority="604" operator="greaterThan">
      <formula>0</formula>
    </cfRule>
  </conditionalFormatting>
  <conditionalFormatting sqref="R24">
    <cfRule type="cellIs" dxfId="603" priority="601" operator="equal">
      <formula>0</formula>
    </cfRule>
    <cfRule type="cellIs" dxfId="602" priority="602" operator="greaterThan">
      <formula>0</formula>
    </cfRule>
  </conditionalFormatting>
  <conditionalFormatting sqref="C32:C33">
    <cfRule type="cellIs" dxfId="601" priority="599" operator="equal">
      <formula>0</formula>
    </cfRule>
    <cfRule type="cellIs" dxfId="600" priority="600" operator="notEqual">
      <formula>0</formula>
    </cfRule>
  </conditionalFormatting>
  <conditionalFormatting sqref="D32:D33">
    <cfRule type="cellIs" dxfId="599" priority="597" operator="equal">
      <formula>0</formula>
    </cfRule>
    <cfRule type="cellIs" dxfId="598" priority="598" operator="notEqual">
      <formula>0</formula>
    </cfRule>
  </conditionalFormatting>
  <conditionalFormatting sqref="E32:E33">
    <cfRule type="cellIs" dxfId="597" priority="595" operator="equal">
      <formula>0</formula>
    </cfRule>
    <cfRule type="cellIs" dxfId="596" priority="596" operator="notEqual">
      <formula>0</formula>
    </cfRule>
  </conditionalFormatting>
  <conditionalFormatting sqref="F32:F33">
    <cfRule type="cellIs" dxfId="595" priority="593" operator="equal">
      <formula>0</formula>
    </cfRule>
    <cfRule type="cellIs" dxfId="594" priority="594" operator="notEqual">
      <formula>0</formula>
    </cfRule>
  </conditionalFormatting>
  <conditionalFormatting sqref="G32:G33">
    <cfRule type="cellIs" dxfId="593" priority="591" operator="equal">
      <formula>0</formula>
    </cfRule>
    <cfRule type="cellIs" dxfId="592" priority="592" operator="notEqual">
      <formula>0</formula>
    </cfRule>
  </conditionalFormatting>
  <conditionalFormatting sqref="H32:H33">
    <cfRule type="cellIs" dxfId="591" priority="589" operator="equal">
      <formula>0</formula>
    </cfRule>
    <cfRule type="cellIs" dxfId="590" priority="590" operator="notEqual">
      <formula>0</formula>
    </cfRule>
  </conditionalFormatting>
  <conditionalFormatting sqref="I32:I33">
    <cfRule type="cellIs" dxfId="589" priority="587" operator="equal">
      <formula>0</formula>
    </cfRule>
    <cfRule type="cellIs" dxfId="588" priority="588" operator="notEqual">
      <formula>0</formula>
    </cfRule>
  </conditionalFormatting>
  <conditionalFormatting sqref="J32:J33">
    <cfRule type="cellIs" dxfId="587" priority="585" operator="equal">
      <formula>0</formula>
    </cfRule>
    <cfRule type="cellIs" dxfId="586" priority="586" operator="notEqual">
      <formula>0</formula>
    </cfRule>
  </conditionalFormatting>
  <conditionalFormatting sqref="O31">
    <cfRule type="cellIs" dxfId="585" priority="583" operator="equal">
      <formula>0</formula>
    </cfRule>
    <cfRule type="cellIs" dxfId="584" priority="584" operator="greaterThan">
      <formula>0</formula>
    </cfRule>
  </conditionalFormatting>
  <conditionalFormatting sqref="P31">
    <cfRule type="cellIs" dxfId="583" priority="581" operator="equal">
      <formula>0</formula>
    </cfRule>
    <cfRule type="cellIs" dxfId="582" priority="582" operator="greaterThan">
      <formula>0</formula>
    </cfRule>
  </conditionalFormatting>
  <conditionalFormatting sqref="Q31">
    <cfRule type="cellIs" dxfId="581" priority="579" operator="equal">
      <formula>0</formula>
    </cfRule>
    <cfRule type="cellIs" dxfId="580" priority="580" operator="greaterThan">
      <formula>0</formula>
    </cfRule>
  </conditionalFormatting>
  <conditionalFormatting sqref="R31">
    <cfRule type="cellIs" dxfId="579" priority="577" operator="equal">
      <formula>0</formula>
    </cfRule>
    <cfRule type="cellIs" dxfId="578" priority="578" operator="greaterThan">
      <formula>0</formula>
    </cfRule>
  </conditionalFormatting>
  <conditionalFormatting sqref="C39:C40">
    <cfRule type="cellIs" dxfId="577" priority="575" operator="equal">
      <formula>0</formula>
    </cfRule>
    <cfRule type="cellIs" dxfId="576" priority="576" operator="notEqual">
      <formula>0</formula>
    </cfRule>
  </conditionalFormatting>
  <conditionalFormatting sqref="D39:D40">
    <cfRule type="cellIs" dxfId="575" priority="573" operator="equal">
      <formula>0</formula>
    </cfRule>
    <cfRule type="cellIs" dxfId="574" priority="574" operator="notEqual">
      <formula>0</formula>
    </cfRule>
  </conditionalFormatting>
  <conditionalFormatting sqref="E39:E40">
    <cfRule type="cellIs" dxfId="573" priority="571" operator="equal">
      <formula>0</formula>
    </cfRule>
    <cfRule type="cellIs" dxfId="572" priority="572" operator="notEqual">
      <formula>0</formula>
    </cfRule>
  </conditionalFormatting>
  <conditionalFormatting sqref="F39:F40">
    <cfRule type="cellIs" dxfId="571" priority="569" operator="equal">
      <formula>0</formula>
    </cfRule>
    <cfRule type="cellIs" dxfId="570" priority="570" operator="notEqual">
      <formula>0</formula>
    </cfRule>
  </conditionalFormatting>
  <conditionalFormatting sqref="G39:G40">
    <cfRule type="cellIs" dxfId="569" priority="567" operator="equal">
      <formula>0</formula>
    </cfRule>
    <cfRule type="cellIs" dxfId="568" priority="568" operator="notEqual">
      <formula>0</formula>
    </cfRule>
  </conditionalFormatting>
  <conditionalFormatting sqref="H39:H40">
    <cfRule type="cellIs" dxfId="567" priority="565" operator="equal">
      <formula>0</formula>
    </cfRule>
    <cfRule type="cellIs" dxfId="566" priority="566" operator="notEqual">
      <formula>0</formula>
    </cfRule>
  </conditionalFormatting>
  <conditionalFormatting sqref="I39:I40">
    <cfRule type="cellIs" dxfId="565" priority="563" operator="equal">
      <formula>0</formula>
    </cfRule>
    <cfRule type="cellIs" dxfId="564" priority="564" operator="notEqual">
      <formula>0</formula>
    </cfRule>
  </conditionalFormatting>
  <conditionalFormatting sqref="J39:J40">
    <cfRule type="cellIs" dxfId="563" priority="561" operator="equal">
      <formula>0</formula>
    </cfRule>
    <cfRule type="cellIs" dxfId="562" priority="562" operator="notEqual">
      <formula>0</formula>
    </cfRule>
  </conditionalFormatting>
  <conditionalFormatting sqref="O38">
    <cfRule type="cellIs" dxfId="561" priority="559" operator="equal">
      <formula>0</formula>
    </cfRule>
    <cfRule type="cellIs" dxfId="560" priority="560" operator="greaterThan">
      <formula>0</formula>
    </cfRule>
  </conditionalFormatting>
  <conditionalFormatting sqref="P38">
    <cfRule type="cellIs" dxfId="559" priority="557" operator="equal">
      <formula>0</formula>
    </cfRule>
    <cfRule type="cellIs" dxfId="558" priority="558" operator="greaterThan">
      <formula>0</formula>
    </cfRule>
  </conditionalFormatting>
  <conditionalFormatting sqref="Q38">
    <cfRule type="cellIs" dxfId="557" priority="555" operator="equal">
      <formula>0</formula>
    </cfRule>
    <cfRule type="cellIs" dxfId="556" priority="556" operator="greaterThan">
      <formula>0</formula>
    </cfRule>
  </conditionalFormatting>
  <conditionalFormatting sqref="R38">
    <cfRule type="cellIs" dxfId="555" priority="553" operator="equal">
      <formula>0</formula>
    </cfRule>
    <cfRule type="cellIs" dxfId="554" priority="554" operator="greaterThan">
      <formula>0</formula>
    </cfRule>
  </conditionalFormatting>
  <conditionalFormatting sqref="C46:C47">
    <cfRule type="cellIs" dxfId="553" priority="551" operator="equal">
      <formula>0</formula>
    </cfRule>
    <cfRule type="cellIs" dxfId="552" priority="552" operator="notEqual">
      <formula>0</formula>
    </cfRule>
  </conditionalFormatting>
  <conditionalFormatting sqref="D46:D47">
    <cfRule type="cellIs" dxfId="551" priority="549" operator="equal">
      <formula>0</formula>
    </cfRule>
    <cfRule type="cellIs" dxfId="550" priority="550" operator="notEqual">
      <formula>0</formula>
    </cfRule>
  </conditionalFormatting>
  <conditionalFormatting sqref="E46:E47">
    <cfRule type="cellIs" dxfId="549" priority="547" operator="equal">
      <formula>0</formula>
    </cfRule>
    <cfRule type="cellIs" dxfId="548" priority="548" operator="notEqual">
      <formula>0</formula>
    </cfRule>
  </conditionalFormatting>
  <conditionalFormatting sqref="F46:F47">
    <cfRule type="cellIs" dxfId="547" priority="545" operator="equal">
      <formula>0</formula>
    </cfRule>
    <cfRule type="cellIs" dxfId="546" priority="546" operator="notEqual">
      <formula>0</formula>
    </cfRule>
  </conditionalFormatting>
  <conditionalFormatting sqref="G46:G47">
    <cfRule type="cellIs" dxfId="545" priority="543" operator="equal">
      <formula>0</formula>
    </cfRule>
    <cfRule type="cellIs" dxfId="544" priority="544" operator="notEqual">
      <formula>0</formula>
    </cfRule>
  </conditionalFormatting>
  <conditionalFormatting sqref="H46:H47">
    <cfRule type="cellIs" dxfId="543" priority="541" operator="equal">
      <formula>0</formula>
    </cfRule>
    <cfRule type="cellIs" dxfId="542" priority="542" operator="notEqual">
      <formula>0</formula>
    </cfRule>
  </conditionalFormatting>
  <conditionalFormatting sqref="I46:I47">
    <cfRule type="cellIs" dxfId="541" priority="539" operator="equal">
      <formula>0</formula>
    </cfRule>
    <cfRule type="cellIs" dxfId="540" priority="540" operator="notEqual">
      <formula>0</formula>
    </cfRule>
  </conditionalFormatting>
  <conditionalFormatting sqref="J46:J47">
    <cfRule type="cellIs" dxfId="539" priority="537" operator="equal">
      <formula>0</formula>
    </cfRule>
    <cfRule type="cellIs" dxfId="538" priority="538" operator="notEqual">
      <formula>0</formula>
    </cfRule>
  </conditionalFormatting>
  <conditionalFormatting sqref="O45">
    <cfRule type="cellIs" dxfId="537" priority="535" operator="equal">
      <formula>0</formula>
    </cfRule>
    <cfRule type="cellIs" dxfId="536" priority="536" operator="greaterThan">
      <formula>0</formula>
    </cfRule>
  </conditionalFormatting>
  <conditionalFormatting sqref="P45">
    <cfRule type="cellIs" dxfId="535" priority="533" operator="equal">
      <formula>0</formula>
    </cfRule>
    <cfRule type="cellIs" dxfId="534" priority="534" operator="greaterThan">
      <formula>0</formula>
    </cfRule>
  </conditionalFormatting>
  <conditionalFormatting sqref="Q45">
    <cfRule type="cellIs" dxfId="533" priority="531" operator="equal">
      <formula>0</formula>
    </cfRule>
    <cfRule type="cellIs" dxfId="532" priority="532" operator="greaterThan">
      <formula>0</formula>
    </cfRule>
  </conditionalFormatting>
  <conditionalFormatting sqref="R45">
    <cfRule type="cellIs" dxfId="531" priority="529" operator="equal">
      <formula>0</formula>
    </cfRule>
    <cfRule type="cellIs" dxfId="530" priority="530" operator="greaterThan">
      <formula>0</formula>
    </cfRule>
  </conditionalFormatting>
  <conditionalFormatting sqref="C53:C54">
    <cfRule type="cellIs" dxfId="529" priority="527" operator="equal">
      <formula>0</formula>
    </cfRule>
    <cfRule type="cellIs" dxfId="528" priority="528" operator="notEqual">
      <formula>0</formula>
    </cfRule>
  </conditionalFormatting>
  <conditionalFormatting sqref="D53:D54">
    <cfRule type="cellIs" dxfId="527" priority="525" operator="equal">
      <formula>0</formula>
    </cfRule>
    <cfRule type="cellIs" dxfId="526" priority="526" operator="notEqual">
      <formula>0</formula>
    </cfRule>
  </conditionalFormatting>
  <conditionalFormatting sqref="E53:E54">
    <cfRule type="cellIs" dxfId="525" priority="523" operator="equal">
      <formula>0</formula>
    </cfRule>
    <cfRule type="cellIs" dxfId="524" priority="524" operator="notEqual">
      <formula>0</formula>
    </cfRule>
  </conditionalFormatting>
  <conditionalFormatting sqref="F53:F54">
    <cfRule type="cellIs" dxfId="523" priority="521" operator="equal">
      <formula>0</formula>
    </cfRule>
    <cfRule type="cellIs" dxfId="522" priority="522" operator="notEqual">
      <formula>0</formula>
    </cfRule>
  </conditionalFormatting>
  <conditionalFormatting sqref="G53:G54">
    <cfRule type="cellIs" dxfId="521" priority="519" operator="equal">
      <formula>0</formula>
    </cfRule>
    <cfRule type="cellIs" dxfId="520" priority="520" operator="notEqual">
      <formula>0</formula>
    </cfRule>
  </conditionalFormatting>
  <conditionalFormatting sqref="H53:H54">
    <cfRule type="cellIs" dxfId="519" priority="517" operator="equal">
      <formula>0</formula>
    </cfRule>
    <cfRule type="cellIs" dxfId="518" priority="518" operator="notEqual">
      <formula>0</formula>
    </cfRule>
  </conditionalFormatting>
  <conditionalFormatting sqref="I53:I54">
    <cfRule type="cellIs" dxfId="517" priority="515" operator="equal">
      <formula>0</formula>
    </cfRule>
    <cfRule type="cellIs" dxfId="516" priority="516" operator="notEqual">
      <formula>0</formula>
    </cfRule>
  </conditionalFormatting>
  <conditionalFormatting sqref="J53:J54">
    <cfRule type="cellIs" dxfId="515" priority="513" operator="equal">
      <formula>0</formula>
    </cfRule>
    <cfRule type="cellIs" dxfId="514" priority="514" operator="notEqual">
      <formula>0</formula>
    </cfRule>
  </conditionalFormatting>
  <conditionalFormatting sqref="O52">
    <cfRule type="cellIs" dxfId="513" priority="511" operator="equal">
      <formula>0</formula>
    </cfRule>
    <cfRule type="cellIs" dxfId="512" priority="512" operator="greaterThan">
      <formula>0</formula>
    </cfRule>
  </conditionalFormatting>
  <conditionalFormatting sqref="P52">
    <cfRule type="cellIs" dxfId="511" priority="509" operator="equal">
      <formula>0</formula>
    </cfRule>
    <cfRule type="cellIs" dxfId="510" priority="510" operator="greaterThan">
      <formula>0</formula>
    </cfRule>
  </conditionalFormatting>
  <conditionalFormatting sqref="Q52">
    <cfRule type="cellIs" dxfId="509" priority="507" operator="equal">
      <formula>0</formula>
    </cfRule>
    <cfRule type="cellIs" dxfId="508" priority="508" operator="greaterThan">
      <formula>0</formula>
    </cfRule>
  </conditionalFormatting>
  <conditionalFormatting sqref="R52">
    <cfRule type="cellIs" dxfId="507" priority="505" operator="equal">
      <formula>0</formula>
    </cfRule>
    <cfRule type="cellIs" dxfId="506" priority="506" operator="greaterThan">
      <formula>0</formula>
    </cfRule>
  </conditionalFormatting>
  <conditionalFormatting sqref="C60:C61">
    <cfRule type="cellIs" dxfId="505" priority="503" operator="equal">
      <formula>0</formula>
    </cfRule>
    <cfRule type="cellIs" dxfId="504" priority="504" operator="notEqual">
      <formula>0</formula>
    </cfRule>
  </conditionalFormatting>
  <conditionalFormatting sqref="D60:D61">
    <cfRule type="cellIs" dxfId="503" priority="501" operator="equal">
      <formula>0</formula>
    </cfRule>
    <cfRule type="cellIs" dxfId="502" priority="502" operator="notEqual">
      <formula>0</formula>
    </cfRule>
  </conditionalFormatting>
  <conditionalFormatting sqref="E60:E61">
    <cfRule type="cellIs" dxfId="501" priority="499" operator="equal">
      <formula>0</formula>
    </cfRule>
    <cfRule type="cellIs" dxfId="500" priority="500" operator="notEqual">
      <formula>0</formula>
    </cfRule>
  </conditionalFormatting>
  <conditionalFormatting sqref="F60:F61">
    <cfRule type="cellIs" dxfId="499" priority="497" operator="equal">
      <formula>0</formula>
    </cfRule>
    <cfRule type="cellIs" dxfId="498" priority="498" operator="notEqual">
      <formula>0</formula>
    </cfRule>
  </conditionalFormatting>
  <conditionalFormatting sqref="G60:G61">
    <cfRule type="cellIs" dxfId="497" priority="495" operator="equal">
      <formula>0</formula>
    </cfRule>
    <cfRule type="cellIs" dxfId="496" priority="496" operator="notEqual">
      <formula>0</formula>
    </cfRule>
  </conditionalFormatting>
  <conditionalFormatting sqref="H60:H61">
    <cfRule type="cellIs" dxfId="495" priority="493" operator="equal">
      <formula>0</formula>
    </cfRule>
    <cfRule type="cellIs" dxfId="494" priority="494" operator="notEqual">
      <formula>0</formula>
    </cfRule>
  </conditionalFormatting>
  <conditionalFormatting sqref="I60:I61">
    <cfRule type="cellIs" dxfId="493" priority="491" operator="equal">
      <formula>0</formula>
    </cfRule>
    <cfRule type="cellIs" dxfId="492" priority="492" operator="notEqual">
      <formula>0</formula>
    </cfRule>
  </conditionalFormatting>
  <conditionalFormatting sqref="J60:J61">
    <cfRule type="cellIs" dxfId="491" priority="489" operator="equal">
      <formula>0</formula>
    </cfRule>
    <cfRule type="cellIs" dxfId="490" priority="490" operator="notEqual">
      <formula>0</formula>
    </cfRule>
  </conditionalFormatting>
  <conditionalFormatting sqref="O59">
    <cfRule type="cellIs" dxfId="489" priority="487" operator="equal">
      <formula>0</formula>
    </cfRule>
    <cfRule type="cellIs" dxfId="488" priority="488" operator="greaterThan">
      <formula>0</formula>
    </cfRule>
  </conditionalFormatting>
  <conditionalFormatting sqref="P59">
    <cfRule type="cellIs" dxfId="487" priority="485" operator="equal">
      <formula>0</formula>
    </cfRule>
    <cfRule type="cellIs" dxfId="486" priority="486" operator="greaterThan">
      <formula>0</formula>
    </cfRule>
  </conditionalFormatting>
  <conditionalFormatting sqref="Q59">
    <cfRule type="cellIs" dxfId="485" priority="483" operator="equal">
      <formula>0</formula>
    </cfRule>
    <cfRule type="cellIs" dxfId="484" priority="484" operator="greaterThan">
      <formula>0</formula>
    </cfRule>
  </conditionalFormatting>
  <conditionalFormatting sqref="R59">
    <cfRule type="cellIs" dxfId="483" priority="481" operator="equal">
      <formula>0</formula>
    </cfRule>
    <cfRule type="cellIs" dxfId="482" priority="482" operator="greaterThan">
      <formula>0</formula>
    </cfRule>
  </conditionalFormatting>
  <conditionalFormatting sqref="C67:C68">
    <cfRule type="cellIs" dxfId="481" priority="479" operator="equal">
      <formula>0</formula>
    </cfRule>
    <cfRule type="cellIs" dxfId="480" priority="480" operator="notEqual">
      <formula>0</formula>
    </cfRule>
  </conditionalFormatting>
  <conditionalFormatting sqref="D67:D68">
    <cfRule type="cellIs" dxfId="479" priority="477" operator="equal">
      <formula>0</formula>
    </cfRule>
    <cfRule type="cellIs" dxfId="478" priority="478" operator="notEqual">
      <formula>0</formula>
    </cfRule>
  </conditionalFormatting>
  <conditionalFormatting sqref="E67:E68">
    <cfRule type="cellIs" dxfId="477" priority="475" operator="equal">
      <formula>0</formula>
    </cfRule>
    <cfRule type="cellIs" dxfId="476" priority="476" operator="notEqual">
      <formula>0</formula>
    </cfRule>
  </conditionalFormatting>
  <conditionalFormatting sqref="F67:F68">
    <cfRule type="cellIs" dxfId="475" priority="473" operator="equal">
      <formula>0</formula>
    </cfRule>
    <cfRule type="cellIs" dxfId="474" priority="474" operator="notEqual">
      <formula>0</formula>
    </cfRule>
  </conditionalFormatting>
  <conditionalFormatting sqref="G67:G68">
    <cfRule type="cellIs" dxfId="473" priority="471" operator="equal">
      <formula>0</formula>
    </cfRule>
    <cfRule type="cellIs" dxfId="472" priority="472" operator="notEqual">
      <formula>0</formula>
    </cfRule>
  </conditionalFormatting>
  <conditionalFormatting sqref="H67:H68">
    <cfRule type="cellIs" dxfId="471" priority="469" operator="equal">
      <formula>0</formula>
    </cfRule>
    <cfRule type="cellIs" dxfId="470" priority="470" operator="notEqual">
      <formula>0</formula>
    </cfRule>
  </conditionalFormatting>
  <conditionalFormatting sqref="I67:I68">
    <cfRule type="cellIs" dxfId="469" priority="467" operator="equal">
      <formula>0</formula>
    </cfRule>
    <cfRule type="cellIs" dxfId="468" priority="468" operator="notEqual">
      <formula>0</formula>
    </cfRule>
  </conditionalFormatting>
  <conditionalFormatting sqref="J67:J68">
    <cfRule type="cellIs" dxfId="467" priority="465" operator="equal">
      <formula>0</formula>
    </cfRule>
    <cfRule type="cellIs" dxfId="466" priority="466" operator="notEqual">
      <formula>0</formula>
    </cfRule>
  </conditionalFormatting>
  <conditionalFormatting sqref="O66">
    <cfRule type="cellIs" dxfId="465" priority="463" operator="equal">
      <formula>0</formula>
    </cfRule>
    <cfRule type="cellIs" dxfId="464" priority="464" operator="greaterThan">
      <formula>0</formula>
    </cfRule>
  </conditionalFormatting>
  <conditionalFormatting sqref="P66">
    <cfRule type="cellIs" dxfId="463" priority="461" operator="equal">
      <formula>0</formula>
    </cfRule>
    <cfRule type="cellIs" dxfId="462" priority="462" operator="greaterThan">
      <formula>0</formula>
    </cfRule>
  </conditionalFormatting>
  <conditionalFormatting sqref="Q66">
    <cfRule type="cellIs" dxfId="461" priority="459" operator="equal">
      <formula>0</formula>
    </cfRule>
    <cfRule type="cellIs" dxfId="460" priority="460" operator="greaterThan">
      <formula>0</formula>
    </cfRule>
  </conditionalFormatting>
  <conditionalFormatting sqref="R66">
    <cfRule type="cellIs" dxfId="459" priority="457" operator="equal">
      <formula>0</formula>
    </cfRule>
    <cfRule type="cellIs" dxfId="458" priority="458" operator="greaterThan">
      <formula>0</formula>
    </cfRule>
  </conditionalFormatting>
  <conditionalFormatting sqref="C74:C75">
    <cfRule type="cellIs" dxfId="457" priority="455" operator="equal">
      <formula>0</formula>
    </cfRule>
    <cfRule type="cellIs" dxfId="456" priority="456" operator="notEqual">
      <formula>0</formula>
    </cfRule>
  </conditionalFormatting>
  <conditionalFormatting sqref="D74:D75">
    <cfRule type="cellIs" dxfId="455" priority="453" operator="equal">
      <formula>0</formula>
    </cfRule>
    <cfRule type="cellIs" dxfId="454" priority="454" operator="notEqual">
      <formula>0</formula>
    </cfRule>
  </conditionalFormatting>
  <conditionalFormatting sqref="E74:E75">
    <cfRule type="cellIs" dxfId="453" priority="451" operator="equal">
      <formula>0</formula>
    </cfRule>
    <cfRule type="cellIs" dxfId="452" priority="452" operator="notEqual">
      <formula>0</formula>
    </cfRule>
  </conditionalFormatting>
  <conditionalFormatting sqref="F74:F75">
    <cfRule type="cellIs" dxfId="451" priority="449" operator="equal">
      <formula>0</formula>
    </cfRule>
    <cfRule type="cellIs" dxfId="450" priority="450" operator="notEqual">
      <formula>0</formula>
    </cfRule>
  </conditionalFormatting>
  <conditionalFormatting sqref="G74:G75">
    <cfRule type="cellIs" dxfId="449" priority="447" operator="equal">
      <formula>0</formula>
    </cfRule>
    <cfRule type="cellIs" dxfId="448" priority="448" operator="notEqual">
      <formula>0</formula>
    </cfRule>
  </conditionalFormatting>
  <conditionalFormatting sqref="H74:H75">
    <cfRule type="cellIs" dxfId="447" priority="445" operator="equal">
      <formula>0</formula>
    </cfRule>
    <cfRule type="cellIs" dxfId="446" priority="446" operator="notEqual">
      <formula>0</formula>
    </cfRule>
  </conditionalFormatting>
  <conditionalFormatting sqref="I74:I75">
    <cfRule type="cellIs" dxfId="445" priority="443" operator="equal">
      <formula>0</formula>
    </cfRule>
    <cfRule type="cellIs" dxfId="444" priority="444" operator="notEqual">
      <formula>0</formula>
    </cfRule>
  </conditionalFormatting>
  <conditionalFormatting sqref="J74:J75">
    <cfRule type="cellIs" dxfId="443" priority="441" operator="equal">
      <formula>0</formula>
    </cfRule>
    <cfRule type="cellIs" dxfId="442" priority="442" operator="notEqual">
      <formula>0</formula>
    </cfRule>
  </conditionalFormatting>
  <conditionalFormatting sqref="O73">
    <cfRule type="cellIs" dxfId="441" priority="439" operator="equal">
      <formula>0</formula>
    </cfRule>
    <cfRule type="cellIs" dxfId="440" priority="440" operator="greaterThan">
      <formula>0</formula>
    </cfRule>
  </conditionalFormatting>
  <conditionalFormatting sqref="P73">
    <cfRule type="cellIs" dxfId="439" priority="437" operator="equal">
      <formula>0</formula>
    </cfRule>
    <cfRule type="cellIs" dxfId="438" priority="438" operator="greaterThan">
      <formula>0</formula>
    </cfRule>
  </conditionalFormatting>
  <conditionalFormatting sqref="Q73">
    <cfRule type="cellIs" dxfId="437" priority="435" operator="equal">
      <formula>0</formula>
    </cfRule>
    <cfRule type="cellIs" dxfId="436" priority="436" operator="greaterThan">
      <formula>0</formula>
    </cfRule>
  </conditionalFormatting>
  <conditionalFormatting sqref="R73">
    <cfRule type="cellIs" dxfId="435" priority="433" operator="equal">
      <formula>0</formula>
    </cfRule>
    <cfRule type="cellIs" dxfId="434" priority="434" operator="greaterThan">
      <formula>0</formula>
    </cfRule>
  </conditionalFormatting>
  <conditionalFormatting sqref="U67:U68">
    <cfRule type="cellIs" dxfId="433" priority="431" operator="equal">
      <formula>0</formula>
    </cfRule>
    <cfRule type="cellIs" dxfId="432" priority="432" operator="notEqual">
      <formula>0</formula>
    </cfRule>
  </conditionalFormatting>
  <conditionalFormatting sqref="V67:V68">
    <cfRule type="cellIs" dxfId="431" priority="429" operator="equal">
      <formula>0</formula>
    </cfRule>
    <cfRule type="cellIs" dxfId="430" priority="430" operator="notEqual">
      <formula>0</formula>
    </cfRule>
  </conditionalFormatting>
  <conditionalFormatting sqref="W67:W68">
    <cfRule type="cellIs" dxfId="429" priority="427" operator="equal">
      <formula>0</formula>
    </cfRule>
    <cfRule type="cellIs" dxfId="428" priority="428" operator="notEqual">
      <formula>0</formula>
    </cfRule>
  </conditionalFormatting>
  <conditionalFormatting sqref="X67:X68">
    <cfRule type="cellIs" dxfId="427" priority="425" operator="equal">
      <formula>0</formula>
    </cfRule>
    <cfRule type="cellIs" dxfId="426" priority="426" operator="notEqual">
      <formula>0</formula>
    </cfRule>
  </conditionalFormatting>
  <conditionalFormatting sqref="Y67:Y68">
    <cfRule type="cellIs" dxfId="425" priority="423" operator="equal">
      <formula>0</formula>
    </cfRule>
    <cfRule type="cellIs" dxfId="424" priority="424" operator="notEqual">
      <formula>0</formula>
    </cfRule>
  </conditionalFormatting>
  <conditionalFormatting sqref="Z67:Z68">
    <cfRule type="cellIs" dxfId="423" priority="421" operator="equal">
      <formula>0</formula>
    </cfRule>
    <cfRule type="cellIs" dxfId="422" priority="422" operator="notEqual">
      <formula>0</formula>
    </cfRule>
  </conditionalFormatting>
  <conditionalFormatting sqref="AA67:AA68">
    <cfRule type="cellIs" dxfId="421" priority="419" operator="equal">
      <formula>0</formula>
    </cfRule>
    <cfRule type="cellIs" dxfId="420" priority="420" operator="notEqual">
      <formula>0</formula>
    </cfRule>
  </conditionalFormatting>
  <conditionalFormatting sqref="AB67:AB68">
    <cfRule type="cellIs" dxfId="419" priority="417" operator="equal">
      <formula>0</formula>
    </cfRule>
    <cfRule type="cellIs" dxfId="418" priority="418" operator="notEqual">
      <formula>0</formula>
    </cfRule>
  </conditionalFormatting>
  <conditionalFormatting sqref="AG66">
    <cfRule type="cellIs" dxfId="417" priority="415" operator="equal">
      <formula>0</formula>
    </cfRule>
    <cfRule type="cellIs" dxfId="416" priority="416" operator="greaterThan">
      <formula>0</formula>
    </cfRule>
  </conditionalFormatting>
  <conditionalFormatting sqref="AH66">
    <cfRule type="cellIs" dxfId="415" priority="413" operator="equal">
      <formula>0</formula>
    </cfRule>
    <cfRule type="cellIs" dxfId="414" priority="414" operator="greaterThan">
      <formula>0</formula>
    </cfRule>
  </conditionalFormatting>
  <conditionalFormatting sqref="AI66">
    <cfRule type="cellIs" dxfId="413" priority="411" operator="equal">
      <formula>0</formula>
    </cfRule>
    <cfRule type="cellIs" dxfId="412" priority="412" operator="greaterThan">
      <formula>0</formula>
    </cfRule>
  </conditionalFormatting>
  <conditionalFormatting sqref="AJ66">
    <cfRule type="cellIs" dxfId="411" priority="409" operator="equal">
      <formula>0</formula>
    </cfRule>
    <cfRule type="cellIs" dxfId="410" priority="410" operator="greaterThan">
      <formula>0</formula>
    </cfRule>
  </conditionalFormatting>
  <conditionalFormatting sqref="U60:U61">
    <cfRule type="cellIs" dxfId="409" priority="407" operator="equal">
      <formula>0</formula>
    </cfRule>
    <cfRule type="cellIs" dxfId="408" priority="408" operator="notEqual">
      <formula>0</formula>
    </cfRule>
  </conditionalFormatting>
  <conditionalFormatting sqref="V60:V61">
    <cfRule type="cellIs" dxfId="407" priority="405" operator="equal">
      <formula>0</formula>
    </cfRule>
    <cfRule type="cellIs" dxfId="406" priority="406" operator="notEqual">
      <formula>0</formula>
    </cfRule>
  </conditionalFormatting>
  <conditionalFormatting sqref="W60:W61">
    <cfRule type="cellIs" dxfId="405" priority="403" operator="equal">
      <formula>0</formula>
    </cfRule>
    <cfRule type="cellIs" dxfId="404" priority="404" operator="notEqual">
      <formula>0</formula>
    </cfRule>
  </conditionalFormatting>
  <conditionalFormatting sqref="X60:X61">
    <cfRule type="cellIs" dxfId="403" priority="401" operator="equal">
      <formula>0</formula>
    </cfRule>
    <cfRule type="cellIs" dxfId="402" priority="402" operator="notEqual">
      <formula>0</formula>
    </cfRule>
  </conditionalFormatting>
  <conditionalFormatting sqref="Y60:Y61">
    <cfRule type="cellIs" dxfId="401" priority="399" operator="equal">
      <formula>0</formula>
    </cfRule>
    <cfRule type="cellIs" dxfId="400" priority="400" operator="notEqual">
      <formula>0</formula>
    </cfRule>
  </conditionalFormatting>
  <conditionalFormatting sqref="Z60:Z61">
    <cfRule type="cellIs" dxfId="399" priority="397" operator="equal">
      <formula>0</formula>
    </cfRule>
    <cfRule type="cellIs" dxfId="398" priority="398" operator="notEqual">
      <formula>0</formula>
    </cfRule>
  </conditionalFormatting>
  <conditionalFormatting sqref="AA60:AA61">
    <cfRule type="cellIs" dxfId="397" priority="395" operator="equal">
      <formula>0</formula>
    </cfRule>
    <cfRule type="cellIs" dxfId="396" priority="396" operator="notEqual">
      <formula>0</formula>
    </cfRule>
  </conditionalFormatting>
  <conditionalFormatting sqref="AB60:AB61">
    <cfRule type="cellIs" dxfId="395" priority="393" operator="equal">
      <formula>0</formula>
    </cfRule>
    <cfRule type="cellIs" dxfId="394" priority="394" operator="notEqual">
      <formula>0</formula>
    </cfRule>
  </conditionalFormatting>
  <conditionalFormatting sqref="AG59">
    <cfRule type="cellIs" dxfId="393" priority="391" operator="equal">
      <formula>0</formula>
    </cfRule>
    <cfRule type="cellIs" dxfId="392" priority="392" operator="greaterThan">
      <formula>0</formula>
    </cfRule>
  </conditionalFormatting>
  <conditionalFormatting sqref="AH59">
    <cfRule type="cellIs" dxfId="391" priority="389" operator="equal">
      <formula>0</formula>
    </cfRule>
    <cfRule type="cellIs" dxfId="390" priority="390" operator="greaterThan">
      <formula>0</formula>
    </cfRule>
  </conditionalFormatting>
  <conditionalFormatting sqref="AI59">
    <cfRule type="cellIs" dxfId="389" priority="387" operator="equal">
      <formula>0</formula>
    </cfRule>
    <cfRule type="cellIs" dxfId="388" priority="388" operator="greaterThan">
      <formula>0</formula>
    </cfRule>
  </conditionalFormatting>
  <conditionalFormatting sqref="AJ59">
    <cfRule type="cellIs" dxfId="387" priority="385" operator="equal">
      <formula>0</formula>
    </cfRule>
    <cfRule type="cellIs" dxfId="386" priority="386" operator="greaterThan">
      <formula>0</formula>
    </cfRule>
  </conditionalFormatting>
  <conditionalFormatting sqref="U53:U54">
    <cfRule type="cellIs" dxfId="385" priority="383" operator="equal">
      <formula>0</formula>
    </cfRule>
    <cfRule type="cellIs" dxfId="384" priority="384" operator="notEqual">
      <formula>0</formula>
    </cfRule>
  </conditionalFormatting>
  <conditionalFormatting sqref="V53:V54">
    <cfRule type="cellIs" dxfId="383" priority="381" operator="equal">
      <formula>0</formula>
    </cfRule>
    <cfRule type="cellIs" dxfId="382" priority="382" operator="notEqual">
      <formula>0</formula>
    </cfRule>
  </conditionalFormatting>
  <conditionalFormatting sqref="W53:W54">
    <cfRule type="cellIs" dxfId="381" priority="379" operator="equal">
      <formula>0</formula>
    </cfRule>
    <cfRule type="cellIs" dxfId="380" priority="380" operator="notEqual">
      <formula>0</formula>
    </cfRule>
  </conditionalFormatting>
  <conditionalFormatting sqref="X53:X54">
    <cfRule type="cellIs" dxfId="379" priority="377" operator="equal">
      <formula>0</formula>
    </cfRule>
    <cfRule type="cellIs" dxfId="378" priority="378" operator="notEqual">
      <formula>0</formula>
    </cfRule>
  </conditionalFormatting>
  <conditionalFormatting sqref="Y53:Y54">
    <cfRule type="cellIs" dxfId="377" priority="375" operator="equal">
      <formula>0</formula>
    </cfRule>
    <cfRule type="cellIs" dxfId="376" priority="376" operator="notEqual">
      <formula>0</formula>
    </cfRule>
  </conditionalFormatting>
  <conditionalFormatting sqref="Z53:Z54">
    <cfRule type="cellIs" dxfId="375" priority="373" operator="equal">
      <formula>0</formula>
    </cfRule>
    <cfRule type="cellIs" dxfId="374" priority="374" operator="notEqual">
      <formula>0</formula>
    </cfRule>
  </conditionalFormatting>
  <conditionalFormatting sqref="AA53:AA54">
    <cfRule type="cellIs" dxfId="373" priority="371" operator="equal">
      <formula>0</formula>
    </cfRule>
    <cfRule type="cellIs" dxfId="372" priority="372" operator="notEqual">
      <formula>0</formula>
    </cfRule>
  </conditionalFormatting>
  <conditionalFormatting sqref="AB53:AB54">
    <cfRule type="cellIs" dxfId="371" priority="369" operator="equal">
      <formula>0</formula>
    </cfRule>
    <cfRule type="cellIs" dxfId="370" priority="370" operator="notEqual">
      <formula>0</formula>
    </cfRule>
  </conditionalFormatting>
  <conditionalFormatting sqref="AG52">
    <cfRule type="cellIs" dxfId="369" priority="367" operator="equal">
      <formula>0</formula>
    </cfRule>
    <cfRule type="cellIs" dxfId="368" priority="368" operator="greaterThan">
      <formula>0</formula>
    </cfRule>
  </conditionalFormatting>
  <conditionalFormatting sqref="AH52">
    <cfRule type="cellIs" dxfId="367" priority="365" operator="equal">
      <formula>0</formula>
    </cfRule>
    <cfRule type="cellIs" dxfId="366" priority="366" operator="greaterThan">
      <formula>0</formula>
    </cfRule>
  </conditionalFormatting>
  <conditionalFormatting sqref="AI52">
    <cfRule type="cellIs" dxfId="365" priority="363" operator="equal">
      <formula>0</formula>
    </cfRule>
    <cfRule type="cellIs" dxfId="364" priority="364" operator="greaterThan">
      <formula>0</formula>
    </cfRule>
  </conditionalFormatting>
  <conditionalFormatting sqref="AJ52">
    <cfRule type="cellIs" dxfId="363" priority="361" operator="equal">
      <formula>0</formula>
    </cfRule>
    <cfRule type="cellIs" dxfId="362" priority="362" operator="greaterThan">
      <formula>0</formula>
    </cfRule>
  </conditionalFormatting>
  <conditionalFormatting sqref="U46:U47">
    <cfRule type="cellIs" dxfId="361" priority="359" operator="equal">
      <formula>0</formula>
    </cfRule>
    <cfRule type="cellIs" dxfId="360" priority="360" operator="notEqual">
      <formula>0</formula>
    </cfRule>
  </conditionalFormatting>
  <conditionalFormatting sqref="V46:V47">
    <cfRule type="cellIs" dxfId="359" priority="357" operator="equal">
      <formula>0</formula>
    </cfRule>
    <cfRule type="cellIs" dxfId="358" priority="358" operator="notEqual">
      <formula>0</formula>
    </cfRule>
  </conditionalFormatting>
  <conditionalFormatting sqref="W46:W47">
    <cfRule type="cellIs" dxfId="357" priority="355" operator="equal">
      <formula>0</formula>
    </cfRule>
    <cfRule type="cellIs" dxfId="356" priority="356" operator="notEqual">
      <formula>0</formula>
    </cfRule>
  </conditionalFormatting>
  <conditionalFormatting sqref="X46:X47">
    <cfRule type="cellIs" dxfId="355" priority="353" operator="equal">
      <formula>0</formula>
    </cfRule>
    <cfRule type="cellIs" dxfId="354" priority="354" operator="notEqual">
      <formula>0</formula>
    </cfRule>
  </conditionalFormatting>
  <conditionalFormatting sqref="Y46:Y47">
    <cfRule type="cellIs" dxfId="353" priority="351" operator="equal">
      <formula>0</formula>
    </cfRule>
    <cfRule type="cellIs" dxfId="352" priority="352" operator="notEqual">
      <formula>0</formula>
    </cfRule>
  </conditionalFormatting>
  <conditionalFormatting sqref="Z46:Z47">
    <cfRule type="cellIs" dxfId="351" priority="349" operator="equal">
      <formula>0</formula>
    </cfRule>
    <cfRule type="cellIs" dxfId="350" priority="350" operator="notEqual">
      <formula>0</formula>
    </cfRule>
  </conditionalFormatting>
  <conditionalFormatting sqref="AA46:AA47">
    <cfRule type="cellIs" dxfId="349" priority="347" operator="equal">
      <formula>0</formula>
    </cfRule>
    <cfRule type="cellIs" dxfId="348" priority="348" operator="notEqual">
      <formula>0</formula>
    </cfRule>
  </conditionalFormatting>
  <conditionalFormatting sqref="AB46:AB47">
    <cfRule type="cellIs" dxfId="347" priority="345" operator="equal">
      <formula>0</formula>
    </cfRule>
    <cfRule type="cellIs" dxfId="346" priority="346" operator="notEqual">
      <formula>0</formula>
    </cfRule>
  </conditionalFormatting>
  <conditionalFormatting sqref="AG45">
    <cfRule type="cellIs" dxfId="345" priority="343" operator="equal">
      <formula>0</formula>
    </cfRule>
    <cfRule type="cellIs" dxfId="344" priority="344" operator="greaterThan">
      <formula>0</formula>
    </cfRule>
  </conditionalFormatting>
  <conditionalFormatting sqref="AH45">
    <cfRule type="cellIs" dxfId="343" priority="341" operator="equal">
      <formula>0</formula>
    </cfRule>
    <cfRule type="cellIs" dxfId="342" priority="342" operator="greaterThan">
      <formula>0</formula>
    </cfRule>
  </conditionalFormatting>
  <conditionalFormatting sqref="AI45">
    <cfRule type="cellIs" dxfId="341" priority="339" operator="equal">
      <formula>0</formula>
    </cfRule>
    <cfRule type="cellIs" dxfId="340" priority="340" operator="greaterThan">
      <formula>0</formula>
    </cfRule>
  </conditionalFormatting>
  <conditionalFormatting sqref="AJ45">
    <cfRule type="cellIs" dxfId="339" priority="337" operator="equal">
      <formula>0</formula>
    </cfRule>
    <cfRule type="cellIs" dxfId="338" priority="338" operator="greaterThan">
      <formula>0</formula>
    </cfRule>
  </conditionalFormatting>
  <conditionalFormatting sqref="U39:U40">
    <cfRule type="cellIs" dxfId="337" priority="335" operator="equal">
      <formula>0</formula>
    </cfRule>
    <cfRule type="cellIs" dxfId="336" priority="336" operator="notEqual">
      <formula>0</formula>
    </cfRule>
  </conditionalFormatting>
  <conditionalFormatting sqref="V39:V40">
    <cfRule type="cellIs" dxfId="335" priority="333" operator="equal">
      <formula>0</formula>
    </cfRule>
    <cfRule type="cellIs" dxfId="334" priority="334" operator="notEqual">
      <formula>0</formula>
    </cfRule>
  </conditionalFormatting>
  <conditionalFormatting sqref="W39:W40">
    <cfRule type="cellIs" dxfId="333" priority="331" operator="equal">
      <formula>0</formula>
    </cfRule>
    <cfRule type="cellIs" dxfId="332" priority="332" operator="notEqual">
      <formula>0</formula>
    </cfRule>
  </conditionalFormatting>
  <conditionalFormatting sqref="X39:X40">
    <cfRule type="cellIs" dxfId="331" priority="329" operator="equal">
      <formula>0</formula>
    </cfRule>
    <cfRule type="cellIs" dxfId="330" priority="330" operator="notEqual">
      <formula>0</formula>
    </cfRule>
  </conditionalFormatting>
  <conditionalFormatting sqref="Y39:Y40">
    <cfRule type="cellIs" dxfId="329" priority="327" operator="equal">
      <formula>0</formula>
    </cfRule>
    <cfRule type="cellIs" dxfId="328" priority="328" operator="notEqual">
      <formula>0</formula>
    </cfRule>
  </conditionalFormatting>
  <conditionalFormatting sqref="Z39:Z40">
    <cfRule type="cellIs" dxfId="327" priority="325" operator="equal">
      <formula>0</formula>
    </cfRule>
    <cfRule type="cellIs" dxfId="326" priority="326" operator="notEqual">
      <formula>0</formula>
    </cfRule>
  </conditionalFormatting>
  <conditionalFormatting sqref="AA39:AA40">
    <cfRule type="cellIs" dxfId="325" priority="323" operator="equal">
      <formula>0</formula>
    </cfRule>
    <cfRule type="cellIs" dxfId="324" priority="324" operator="notEqual">
      <formula>0</formula>
    </cfRule>
  </conditionalFormatting>
  <conditionalFormatting sqref="AB39:AB40">
    <cfRule type="cellIs" dxfId="323" priority="321" operator="equal">
      <formula>0</formula>
    </cfRule>
    <cfRule type="cellIs" dxfId="322" priority="322" operator="notEqual">
      <formula>0</formula>
    </cfRule>
  </conditionalFormatting>
  <conditionalFormatting sqref="AG38">
    <cfRule type="cellIs" dxfId="321" priority="319" operator="equal">
      <formula>0</formula>
    </cfRule>
    <cfRule type="cellIs" dxfId="320" priority="320" operator="greaterThan">
      <formula>0</formula>
    </cfRule>
  </conditionalFormatting>
  <conditionalFormatting sqref="AH38">
    <cfRule type="cellIs" dxfId="319" priority="317" operator="equal">
      <formula>0</formula>
    </cfRule>
    <cfRule type="cellIs" dxfId="318" priority="318" operator="greaterThan">
      <formula>0</formula>
    </cfRule>
  </conditionalFormatting>
  <conditionalFormatting sqref="AI38">
    <cfRule type="cellIs" dxfId="317" priority="315" operator="equal">
      <formula>0</formula>
    </cfRule>
    <cfRule type="cellIs" dxfId="316" priority="316" operator="greaterThan">
      <formula>0</formula>
    </cfRule>
  </conditionalFormatting>
  <conditionalFormatting sqref="AJ38">
    <cfRule type="cellIs" dxfId="315" priority="313" operator="equal">
      <formula>0</formula>
    </cfRule>
    <cfRule type="cellIs" dxfId="314" priority="314" operator="greaterThan">
      <formula>0</formula>
    </cfRule>
  </conditionalFormatting>
  <conditionalFormatting sqref="U32:U33">
    <cfRule type="cellIs" dxfId="313" priority="311" operator="equal">
      <formula>0</formula>
    </cfRule>
    <cfRule type="cellIs" dxfId="312" priority="312" operator="notEqual">
      <formula>0</formula>
    </cfRule>
  </conditionalFormatting>
  <conditionalFormatting sqref="V32:V33">
    <cfRule type="cellIs" dxfId="311" priority="309" operator="equal">
      <formula>0</formula>
    </cfRule>
    <cfRule type="cellIs" dxfId="310" priority="310" operator="notEqual">
      <formula>0</formula>
    </cfRule>
  </conditionalFormatting>
  <conditionalFormatting sqref="W32:W33">
    <cfRule type="cellIs" dxfId="309" priority="307" operator="equal">
      <formula>0</formula>
    </cfRule>
    <cfRule type="cellIs" dxfId="308" priority="308" operator="notEqual">
      <formula>0</formula>
    </cfRule>
  </conditionalFormatting>
  <conditionalFormatting sqref="X32:X33">
    <cfRule type="cellIs" dxfId="307" priority="305" operator="equal">
      <formula>0</formula>
    </cfRule>
    <cfRule type="cellIs" dxfId="306" priority="306" operator="notEqual">
      <formula>0</formula>
    </cfRule>
  </conditionalFormatting>
  <conditionalFormatting sqref="Y32:Y33">
    <cfRule type="cellIs" dxfId="305" priority="303" operator="equal">
      <formula>0</formula>
    </cfRule>
    <cfRule type="cellIs" dxfId="304" priority="304" operator="notEqual">
      <formula>0</formula>
    </cfRule>
  </conditionalFormatting>
  <conditionalFormatting sqref="Z32:Z33">
    <cfRule type="cellIs" dxfId="303" priority="301" operator="equal">
      <formula>0</formula>
    </cfRule>
    <cfRule type="cellIs" dxfId="302" priority="302" operator="notEqual">
      <formula>0</formula>
    </cfRule>
  </conditionalFormatting>
  <conditionalFormatting sqref="AA32:AA33">
    <cfRule type="cellIs" dxfId="301" priority="299" operator="equal">
      <formula>0</formula>
    </cfRule>
    <cfRule type="cellIs" dxfId="300" priority="300" operator="notEqual">
      <formula>0</formula>
    </cfRule>
  </conditionalFormatting>
  <conditionalFormatting sqref="AB32:AB33">
    <cfRule type="cellIs" dxfId="299" priority="297" operator="equal">
      <formula>0</formula>
    </cfRule>
    <cfRule type="cellIs" dxfId="298" priority="298" operator="notEqual">
      <formula>0</formula>
    </cfRule>
  </conditionalFormatting>
  <conditionalFormatting sqref="AG31">
    <cfRule type="cellIs" dxfId="297" priority="295" operator="equal">
      <formula>0</formula>
    </cfRule>
    <cfRule type="cellIs" dxfId="296" priority="296" operator="greaterThan">
      <formula>0</formula>
    </cfRule>
  </conditionalFormatting>
  <conditionalFormatting sqref="AH31">
    <cfRule type="cellIs" dxfId="295" priority="293" operator="equal">
      <formula>0</formula>
    </cfRule>
    <cfRule type="cellIs" dxfId="294" priority="294" operator="greaterThan">
      <formula>0</formula>
    </cfRule>
  </conditionalFormatting>
  <conditionalFormatting sqref="AI31">
    <cfRule type="cellIs" dxfId="293" priority="291" operator="equal">
      <formula>0</formula>
    </cfRule>
    <cfRule type="cellIs" dxfId="292" priority="292" operator="greaterThan">
      <formula>0</formula>
    </cfRule>
  </conditionalFormatting>
  <conditionalFormatting sqref="AJ31">
    <cfRule type="cellIs" dxfId="291" priority="289" operator="equal">
      <formula>0</formula>
    </cfRule>
    <cfRule type="cellIs" dxfId="290" priority="290" operator="greaterThan">
      <formula>0</formula>
    </cfRule>
  </conditionalFormatting>
  <conditionalFormatting sqref="U25:U26">
    <cfRule type="cellIs" dxfId="289" priority="287" operator="equal">
      <formula>0</formula>
    </cfRule>
    <cfRule type="cellIs" dxfId="288" priority="288" operator="notEqual">
      <formula>0</formula>
    </cfRule>
  </conditionalFormatting>
  <conditionalFormatting sqref="V25:V26">
    <cfRule type="cellIs" dxfId="287" priority="285" operator="equal">
      <formula>0</formula>
    </cfRule>
    <cfRule type="cellIs" dxfId="286" priority="286" operator="notEqual">
      <formula>0</formula>
    </cfRule>
  </conditionalFormatting>
  <conditionalFormatting sqref="W25:W26">
    <cfRule type="cellIs" dxfId="285" priority="283" operator="equal">
      <formula>0</formula>
    </cfRule>
    <cfRule type="cellIs" dxfId="284" priority="284" operator="notEqual">
      <formula>0</formula>
    </cfRule>
  </conditionalFormatting>
  <conditionalFormatting sqref="X25:X26">
    <cfRule type="cellIs" dxfId="283" priority="281" operator="equal">
      <formula>0</formula>
    </cfRule>
    <cfRule type="cellIs" dxfId="282" priority="282" operator="notEqual">
      <formula>0</formula>
    </cfRule>
  </conditionalFormatting>
  <conditionalFormatting sqref="Y25:Y26">
    <cfRule type="cellIs" dxfId="281" priority="279" operator="equal">
      <formula>0</formula>
    </cfRule>
    <cfRule type="cellIs" dxfId="280" priority="280" operator="notEqual">
      <formula>0</formula>
    </cfRule>
  </conditionalFormatting>
  <conditionalFormatting sqref="Z25:Z26">
    <cfRule type="cellIs" dxfId="279" priority="277" operator="equal">
      <formula>0</formula>
    </cfRule>
    <cfRule type="cellIs" dxfId="278" priority="278" operator="notEqual">
      <formula>0</formula>
    </cfRule>
  </conditionalFormatting>
  <conditionalFormatting sqref="AA25:AA26">
    <cfRule type="cellIs" dxfId="277" priority="275" operator="equal">
      <formula>0</formula>
    </cfRule>
    <cfRule type="cellIs" dxfId="276" priority="276" operator="notEqual">
      <formula>0</formula>
    </cfRule>
  </conditionalFormatting>
  <conditionalFormatting sqref="AB25:AB26">
    <cfRule type="cellIs" dxfId="275" priority="273" operator="equal">
      <formula>0</formula>
    </cfRule>
    <cfRule type="cellIs" dxfId="274" priority="274" operator="notEqual">
      <formula>0</formula>
    </cfRule>
  </conditionalFormatting>
  <conditionalFormatting sqref="AG24">
    <cfRule type="cellIs" dxfId="273" priority="271" operator="equal">
      <formula>0</formula>
    </cfRule>
    <cfRule type="cellIs" dxfId="272" priority="272" operator="greaterThan">
      <formula>0</formula>
    </cfRule>
  </conditionalFormatting>
  <conditionalFormatting sqref="AH24">
    <cfRule type="cellIs" dxfId="271" priority="269" operator="equal">
      <formula>0</formula>
    </cfRule>
    <cfRule type="cellIs" dxfId="270" priority="270" operator="greaterThan">
      <formula>0</formula>
    </cfRule>
  </conditionalFormatting>
  <conditionalFormatting sqref="AI24">
    <cfRule type="cellIs" dxfId="269" priority="267" operator="equal">
      <formula>0</formula>
    </cfRule>
    <cfRule type="cellIs" dxfId="268" priority="268" operator="greaterThan">
      <formula>0</formula>
    </cfRule>
  </conditionalFormatting>
  <conditionalFormatting sqref="AJ24">
    <cfRule type="cellIs" dxfId="267" priority="265" operator="equal">
      <formula>0</formula>
    </cfRule>
    <cfRule type="cellIs" dxfId="266" priority="266" operator="greaterThan">
      <formula>0</formula>
    </cfRule>
  </conditionalFormatting>
  <conditionalFormatting sqref="U18:U19">
    <cfRule type="cellIs" dxfId="265" priority="263" operator="equal">
      <formula>0</formula>
    </cfRule>
    <cfRule type="cellIs" dxfId="264" priority="264" operator="notEqual">
      <formula>0</formula>
    </cfRule>
  </conditionalFormatting>
  <conditionalFormatting sqref="V18:V19">
    <cfRule type="cellIs" dxfId="263" priority="261" operator="equal">
      <formula>0</formula>
    </cfRule>
    <cfRule type="cellIs" dxfId="262" priority="262" operator="notEqual">
      <formula>0</formula>
    </cfRule>
  </conditionalFormatting>
  <conditionalFormatting sqref="W18:W19">
    <cfRule type="cellIs" dxfId="261" priority="259" operator="equal">
      <formula>0</formula>
    </cfRule>
    <cfRule type="cellIs" dxfId="260" priority="260" operator="notEqual">
      <formula>0</formula>
    </cfRule>
  </conditionalFormatting>
  <conditionalFormatting sqref="X18:X19">
    <cfRule type="cellIs" dxfId="259" priority="257" operator="equal">
      <formula>0</formula>
    </cfRule>
    <cfRule type="cellIs" dxfId="258" priority="258" operator="notEqual">
      <formula>0</formula>
    </cfRule>
  </conditionalFormatting>
  <conditionalFormatting sqref="Y18:Y19">
    <cfRule type="cellIs" dxfId="257" priority="255" operator="equal">
      <formula>0</formula>
    </cfRule>
    <cfRule type="cellIs" dxfId="256" priority="256" operator="notEqual">
      <formula>0</formula>
    </cfRule>
  </conditionalFormatting>
  <conditionalFormatting sqref="Z18:Z19">
    <cfRule type="cellIs" dxfId="255" priority="253" operator="equal">
      <formula>0</formula>
    </cfRule>
    <cfRule type="cellIs" dxfId="254" priority="254" operator="notEqual">
      <formula>0</formula>
    </cfRule>
  </conditionalFormatting>
  <conditionalFormatting sqref="AA18:AA19">
    <cfRule type="cellIs" dxfId="253" priority="251" operator="equal">
      <formula>0</formula>
    </cfRule>
    <cfRule type="cellIs" dxfId="252" priority="252" operator="notEqual">
      <formula>0</formula>
    </cfRule>
  </conditionalFormatting>
  <conditionalFormatting sqref="AB18:AB19">
    <cfRule type="cellIs" dxfId="251" priority="249" operator="equal">
      <formula>0</formula>
    </cfRule>
    <cfRule type="cellIs" dxfId="250" priority="250" operator="notEqual">
      <formula>0</formula>
    </cfRule>
  </conditionalFormatting>
  <conditionalFormatting sqref="AG17">
    <cfRule type="cellIs" dxfId="249" priority="247" operator="equal">
      <formula>0</formula>
    </cfRule>
    <cfRule type="cellIs" dxfId="248" priority="248" operator="greaterThan">
      <formula>0</formula>
    </cfRule>
  </conditionalFormatting>
  <conditionalFormatting sqref="AH17">
    <cfRule type="cellIs" dxfId="247" priority="245" operator="equal">
      <formula>0</formula>
    </cfRule>
    <cfRule type="cellIs" dxfId="246" priority="246" operator="greaterThan">
      <formula>0</formula>
    </cfRule>
  </conditionalFormatting>
  <conditionalFormatting sqref="AI17">
    <cfRule type="cellIs" dxfId="245" priority="243" operator="equal">
      <formula>0</formula>
    </cfRule>
    <cfRule type="cellIs" dxfId="244" priority="244" operator="greaterThan">
      <formula>0</formula>
    </cfRule>
  </conditionalFormatting>
  <conditionalFormatting sqref="AJ17">
    <cfRule type="cellIs" dxfId="243" priority="241" operator="equal">
      <formula>0</formula>
    </cfRule>
    <cfRule type="cellIs" dxfId="242" priority="242" operator="greaterThan">
      <formula>0</formula>
    </cfRule>
  </conditionalFormatting>
  <conditionalFormatting sqref="U11:U12">
    <cfRule type="cellIs" dxfId="241" priority="239" operator="equal">
      <formula>0</formula>
    </cfRule>
    <cfRule type="cellIs" dxfId="240" priority="240" operator="notEqual">
      <formula>0</formula>
    </cfRule>
  </conditionalFormatting>
  <conditionalFormatting sqref="V11:V12">
    <cfRule type="cellIs" dxfId="239" priority="237" operator="equal">
      <formula>0</formula>
    </cfRule>
    <cfRule type="cellIs" dxfId="238" priority="238" operator="notEqual">
      <formula>0</formula>
    </cfRule>
  </conditionalFormatting>
  <conditionalFormatting sqref="W11:W12">
    <cfRule type="cellIs" dxfId="237" priority="235" operator="equal">
      <formula>0</formula>
    </cfRule>
    <cfRule type="cellIs" dxfId="236" priority="236" operator="notEqual">
      <formula>0</formula>
    </cfRule>
  </conditionalFormatting>
  <conditionalFormatting sqref="X11:X12">
    <cfRule type="cellIs" dxfId="235" priority="233" operator="equal">
      <formula>0</formula>
    </cfRule>
    <cfRule type="cellIs" dxfId="234" priority="234" operator="notEqual">
      <formula>0</formula>
    </cfRule>
  </conditionalFormatting>
  <conditionalFormatting sqref="Y11:Y12">
    <cfRule type="cellIs" dxfId="233" priority="231" operator="equal">
      <formula>0</formula>
    </cfRule>
    <cfRule type="cellIs" dxfId="232" priority="232" operator="notEqual">
      <formula>0</formula>
    </cfRule>
  </conditionalFormatting>
  <conditionalFormatting sqref="Z11:Z12">
    <cfRule type="cellIs" dxfId="231" priority="229" operator="equal">
      <formula>0</formula>
    </cfRule>
    <cfRule type="cellIs" dxfId="230" priority="230" operator="notEqual">
      <formula>0</formula>
    </cfRule>
  </conditionalFormatting>
  <conditionalFormatting sqref="AA11:AA12">
    <cfRule type="cellIs" dxfId="229" priority="227" operator="equal">
      <formula>0</formula>
    </cfRule>
    <cfRule type="cellIs" dxfId="228" priority="228" operator="notEqual">
      <formula>0</formula>
    </cfRule>
  </conditionalFormatting>
  <conditionalFormatting sqref="AB11:AB12">
    <cfRule type="cellIs" dxfId="227" priority="225" operator="equal">
      <formula>0</formula>
    </cfRule>
    <cfRule type="cellIs" dxfId="226" priority="226" operator="notEqual">
      <formula>0</formula>
    </cfRule>
  </conditionalFormatting>
  <conditionalFormatting sqref="AG10">
    <cfRule type="cellIs" dxfId="225" priority="223" operator="equal">
      <formula>0</formula>
    </cfRule>
    <cfRule type="cellIs" dxfId="224" priority="224" operator="greaterThan">
      <formula>0</formula>
    </cfRule>
  </conditionalFormatting>
  <conditionalFormatting sqref="AH10">
    <cfRule type="cellIs" dxfId="223" priority="221" operator="equal">
      <formula>0</formula>
    </cfRule>
    <cfRule type="cellIs" dxfId="222" priority="222" operator="greaterThan">
      <formula>0</formula>
    </cfRule>
  </conditionalFormatting>
  <conditionalFormatting sqref="AI10">
    <cfRule type="cellIs" dxfId="221" priority="219" operator="equal">
      <formula>0</formula>
    </cfRule>
    <cfRule type="cellIs" dxfId="220" priority="220" operator="greaterThan">
      <formula>0</formula>
    </cfRule>
  </conditionalFormatting>
  <conditionalFormatting sqref="AJ10">
    <cfRule type="cellIs" dxfId="219" priority="217" operator="equal">
      <formula>0</formula>
    </cfRule>
    <cfRule type="cellIs" dxfId="218" priority="218" operator="greaterThan">
      <formula>0</formula>
    </cfRule>
  </conditionalFormatting>
  <conditionalFormatting sqref="C81:C82">
    <cfRule type="cellIs" dxfId="217" priority="215" operator="equal">
      <formula>0</formula>
    </cfRule>
    <cfRule type="cellIs" dxfId="216" priority="216" operator="notEqual">
      <formula>0</formula>
    </cfRule>
  </conditionalFormatting>
  <conditionalFormatting sqref="D81:D82">
    <cfRule type="cellIs" dxfId="215" priority="213" operator="equal">
      <formula>0</formula>
    </cfRule>
    <cfRule type="cellIs" dxfId="214" priority="214" operator="notEqual">
      <formula>0</formula>
    </cfRule>
  </conditionalFormatting>
  <conditionalFormatting sqref="E81:E82">
    <cfRule type="cellIs" dxfId="213" priority="211" operator="equal">
      <formula>0</formula>
    </cfRule>
    <cfRule type="cellIs" dxfId="212" priority="212" operator="notEqual">
      <formula>0</formula>
    </cfRule>
  </conditionalFormatting>
  <conditionalFormatting sqref="F81:F82">
    <cfRule type="cellIs" dxfId="211" priority="209" operator="equal">
      <formula>0</formula>
    </cfRule>
    <cfRule type="cellIs" dxfId="210" priority="210" operator="notEqual">
      <formula>0</formula>
    </cfRule>
  </conditionalFormatting>
  <conditionalFormatting sqref="G81:G82">
    <cfRule type="cellIs" dxfId="209" priority="207" operator="equal">
      <formula>0</formula>
    </cfRule>
    <cfRule type="cellIs" dxfId="208" priority="208" operator="notEqual">
      <formula>0</formula>
    </cfRule>
  </conditionalFormatting>
  <conditionalFormatting sqref="H81:H82">
    <cfRule type="cellIs" dxfId="207" priority="205" operator="equal">
      <formula>0</formula>
    </cfRule>
    <cfRule type="cellIs" dxfId="206" priority="206" operator="notEqual">
      <formula>0</formula>
    </cfRule>
  </conditionalFormatting>
  <conditionalFormatting sqref="I81:I82">
    <cfRule type="cellIs" dxfId="205" priority="203" operator="equal">
      <formula>0</formula>
    </cfRule>
    <cfRule type="cellIs" dxfId="204" priority="204" operator="notEqual">
      <formula>0</formula>
    </cfRule>
  </conditionalFormatting>
  <conditionalFormatting sqref="J81:J82">
    <cfRule type="cellIs" dxfId="203" priority="201" operator="equal">
      <formula>0</formula>
    </cfRule>
    <cfRule type="cellIs" dxfId="202" priority="202" operator="notEqual">
      <formula>0</formula>
    </cfRule>
  </conditionalFormatting>
  <conditionalFormatting sqref="O80">
    <cfRule type="cellIs" dxfId="201" priority="199" operator="equal">
      <formula>0</formula>
    </cfRule>
    <cfRule type="cellIs" dxfId="200" priority="200" operator="greaterThan">
      <formula>0</formula>
    </cfRule>
  </conditionalFormatting>
  <conditionalFormatting sqref="P80">
    <cfRule type="cellIs" dxfId="199" priority="197" operator="equal">
      <formula>0</formula>
    </cfRule>
    <cfRule type="cellIs" dxfId="198" priority="198" operator="greaterThan">
      <formula>0</formula>
    </cfRule>
  </conditionalFormatting>
  <conditionalFormatting sqref="Q80">
    <cfRule type="cellIs" dxfId="197" priority="195" operator="equal">
      <formula>0</formula>
    </cfRule>
    <cfRule type="cellIs" dxfId="196" priority="196" operator="greaterThan">
      <formula>0</formula>
    </cfRule>
  </conditionalFormatting>
  <conditionalFormatting sqref="R80">
    <cfRule type="cellIs" dxfId="195" priority="193" operator="equal">
      <formula>0</formula>
    </cfRule>
    <cfRule type="cellIs" dxfId="194" priority="194" operator="greaterThan">
      <formula>0</formula>
    </cfRule>
  </conditionalFormatting>
  <conditionalFormatting sqref="C88:C89">
    <cfRule type="cellIs" dxfId="193" priority="191" operator="equal">
      <formula>0</formula>
    </cfRule>
    <cfRule type="cellIs" dxfId="192" priority="192" operator="notEqual">
      <formula>0</formula>
    </cfRule>
  </conditionalFormatting>
  <conditionalFormatting sqref="D88:D89">
    <cfRule type="cellIs" dxfId="191" priority="189" operator="equal">
      <formula>0</formula>
    </cfRule>
    <cfRule type="cellIs" dxfId="190" priority="190" operator="notEqual">
      <formula>0</formula>
    </cfRule>
  </conditionalFormatting>
  <conditionalFormatting sqref="E88:E89">
    <cfRule type="cellIs" dxfId="189" priority="187" operator="equal">
      <formula>0</formula>
    </cfRule>
    <cfRule type="cellIs" dxfId="188" priority="188" operator="notEqual">
      <formula>0</formula>
    </cfRule>
  </conditionalFormatting>
  <conditionalFormatting sqref="F88:F89">
    <cfRule type="cellIs" dxfId="187" priority="185" operator="equal">
      <formula>0</formula>
    </cfRule>
    <cfRule type="cellIs" dxfId="186" priority="186" operator="notEqual">
      <formula>0</formula>
    </cfRule>
  </conditionalFormatting>
  <conditionalFormatting sqref="G88:G89">
    <cfRule type="cellIs" dxfId="185" priority="183" operator="equal">
      <formula>0</formula>
    </cfRule>
    <cfRule type="cellIs" dxfId="184" priority="184" operator="notEqual">
      <formula>0</formula>
    </cfRule>
  </conditionalFormatting>
  <conditionalFormatting sqref="H88:H89">
    <cfRule type="cellIs" dxfId="183" priority="181" operator="equal">
      <formula>0</formula>
    </cfRule>
    <cfRule type="cellIs" dxfId="182" priority="182" operator="notEqual">
      <formula>0</formula>
    </cfRule>
  </conditionalFormatting>
  <conditionalFormatting sqref="I88:I89">
    <cfRule type="cellIs" dxfId="181" priority="179" operator="equal">
      <formula>0</formula>
    </cfRule>
    <cfRule type="cellIs" dxfId="180" priority="180" operator="notEqual">
      <formula>0</formula>
    </cfRule>
  </conditionalFormatting>
  <conditionalFormatting sqref="J88:J89">
    <cfRule type="cellIs" dxfId="179" priority="177" operator="equal">
      <formula>0</formula>
    </cfRule>
    <cfRule type="cellIs" dxfId="178" priority="178" operator="notEqual">
      <formula>0</formula>
    </cfRule>
  </conditionalFormatting>
  <conditionalFormatting sqref="O87">
    <cfRule type="cellIs" dxfId="177" priority="175" operator="equal">
      <formula>0</formula>
    </cfRule>
    <cfRule type="cellIs" dxfId="176" priority="176" operator="greaterThan">
      <formula>0</formula>
    </cfRule>
  </conditionalFormatting>
  <conditionalFormatting sqref="P87">
    <cfRule type="cellIs" dxfId="175" priority="173" operator="equal">
      <formula>0</formula>
    </cfRule>
    <cfRule type="cellIs" dxfId="174" priority="174" operator="greaterThan">
      <formula>0</formula>
    </cfRule>
  </conditionalFormatting>
  <conditionalFormatting sqref="Q87">
    <cfRule type="cellIs" dxfId="173" priority="171" operator="equal">
      <formula>0</formula>
    </cfRule>
    <cfRule type="cellIs" dxfId="172" priority="172" operator="greaterThan">
      <formula>0</formula>
    </cfRule>
  </conditionalFormatting>
  <conditionalFormatting sqref="R87">
    <cfRule type="cellIs" dxfId="171" priority="169" operator="equal">
      <formula>0</formula>
    </cfRule>
    <cfRule type="cellIs" dxfId="170" priority="170" operator="greaterThan">
      <formula>0</formula>
    </cfRule>
  </conditionalFormatting>
  <conditionalFormatting sqref="C95:C96">
    <cfRule type="cellIs" dxfId="169" priority="167" operator="equal">
      <formula>0</formula>
    </cfRule>
    <cfRule type="cellIs" dxfId="168" priority="168" operator="notEqual">
      <formula>0</formula>
    </cfRule>
  </conditionalFormatting>
  <conditionalFormatting sqref="D95:D96">
    <cfRule type="cellIs" dxfId="167" priority="165" operator="equal">
      <formula>0</formula>
    </cfRule>
    <cfRule type="cellIs" dxfId="166" priority="166" operator="notEqual">
      <formula>0</formula>
    </cfRule>
  </conditionalFormatting>
  <conditionalFormatting sqref="E95:E96">
    <cfRule type="cellIs" dxfId="165" priority="163" operator="equal">
      <formula>0</formula>
    </cfRule>
    <cfRule type="cellIs" dxfId="164" priority="164" operator="notEqual">
      <formula>0</formula>
    </cfRule>
  </conditionalFormatting>
  <conditionalFormatting sqref="F95:F96">
    <cfRule type="cellIs" dxfId="163" priority="161" operator="equal">
      <formula>0</formula>
    </cfRule>
    <cfRule type="cellIs" dxfId="162" priority="162" operator="notEqual">
      <formula>0</formula>
    </cfRule>
  </conditionalFormatting>
  <conditionalFormatting sqref="G95:G96">
    <cfRule type="cellIs" dxfId="161" priority="159" operator="equal">
      <formula>0</formula>
    </cfRule>
    <cfRule type="cellIs" dxfId="160" priority="160" operator="notEqual">
      <formula>0</formula>
    </cfRule>
  </conditionalFormatting>
  <conditionalFormatting sqref="H95:H96">
    <cfRule type="cellIs" dxfId="159" priority="157" operator="equal">
      <formula>0</formula>
    </cfRule>
    <cfRule type="cellIs" dxfId="158" priority="158" operator="notEqual">
      <formula>0</formula>
    </cfRule>
  </conditionalFormatting>
  <conditionalFormatting sqref="I95:I96">
    <cfRule type="cellIs" dxfId="157" priority="155" operator="equal">
      <formula>0</formula>
    </cfRule>
    <cfRule type="cellIs" dxfId="156" priority="156" operator="notEqual">
      <formula>0</formula>
    </cfRule>
  </conditionalFormatting>
  <conditionalFormatting sqref="J95:J96">
    <cfRule type="cellIs" dxfId="155" priority="153" operator="equal">
      <formula>0</formula>
    </cfRule>
    <cfRule type="cellIs" dxfId="154" priority="154" operator="notEqual">
      <formula>0</formula>
    </cfRule>
  </conditionalFormatting>
  <conditionalFormatting sqref="O94">
    <cfRule type="cellIs" dxfId="153" priority="151" operator="equal">
      <formula>0</formula>
    </cfRule>
    <cfRule type="cellIs" dxfId="152" priority="152" operator="greaterThan">
      <formula>0</formula>
    </cfRule>
  </conditionalFormatting>
  <conditionalFormatting sqref="P94">
    <cfRule type="cellIs" dxfId="151" priority="149" operator="equal">
      <formula>0</formula>
    </cfRule>
    <cfRule type="cellIs" dxfId="150" priority="150" operator="greaterThan">
      <formula>0</formula>
    </cfRule>
  </conditionalFormatting>
  <conditionalFormatting sqref="Q94">
    <cfRule type="cellIs" dxfId="149" priority="147" operator="equal">
      <formula>0</formula>
    </cfRule>
    <cfRule type="cellIs" dxfId="148" priority="148" operator="greaterThan">
      <formula>0</formula>
    </cfRule>
  </conditionalFormatting>
  <conditionalFormatting sqref="R94">
    <cfRule type="cellIs" dxfId="147" priority="145" operator="equal">
      <formula>0</formula>
    </cfRule>
    <cfRule type="cellIs" dxfId="146" priority="146" operator="greaterThan">
      <formula>0</formula>
    </cfRule>
  </conditionalFormatting>
  <conditionalFormatting sqref="C102:C103">
    <cfRule type="cellIs" dxfId="145" priority="143" operator="equal">
      <formula>0</formula>
    </cfRule>
    <cfRule type="cellIs" dxfId="144" priority="144" operator="notEqual">
      <formula>0</formula>
    </cfRule>
  </conditionalFormatting>
  <conditionalFormatting sqref="D102:D103">
    <cfRule type="cellIs" dxfId="143" priority="141" operator="equal">
      <formula>0</formula>
    </cfRule>
    <cfRule type="cellIs" dxfId="142" priority="142" operator="notEqual">
      <formula>0</formula>
    </cfRule>
  </conditionalFormatting>
  <conditionalFormatting sqref="E102:E103">
    <cfRule type="cellIs" dxfId="141" priority="139" operator="equal">
      <formula>0</formula>
    </cfRule>
    <cfRule type="cellIs" dxfId="140" priority="140" operator="notEqual">
      <formula>0</formula>
    </cfRule>
  </conditionalFormatting>
  <conditionalFormatting sqref="F102:F103">
    <cfRule type="cellIs" dxfId="139" priority="137" operator="equal">
      <formula>0</formula>
    </cfRule>
    <cfRule type="cellIs" dxfId="138" priority="138" operator="notEqual">
      <formula>0</formula>
    </cfRule>
  </conditionalFormatting>
  <conditionalFormatting sqref="G102:G103">
    <cfRule type="cellIs" dxfId="137" priority="135" operator="equal">
      <formula>0</formula>
    </cfRule>
    <cfRule type="cellIs" dxfId="136" priority="136" operator="notEqual">
      <formula>0</formula>
    </cfRule>
  </conditionalFormatting>
  <conditionalFormatting sqref="H102:H103">
    <cfRule type="cellIs" dxfId="135" priority="133" operator="equal">
      <formula>0</formula>
    </cfRule>
    <cfRule type="cellIs" dxfId="134" priority="134" operator="notEqual">
      <formula>0</formula>
    </cfRule>
  </conditionalFormatting>
  <conditionalFormatting sqref="I102:I103">
    <cfRule type="cellIs" dxfId="133" priority="131" operator="equal">
      <formula>0</formula>
    </cfRule>
    <cfRule type="cellIs" dxfId="132" priority="132" operator="notEqual">
      <formula>0</formula>
    </cfRule>
  </conditionalFormatting>
  <conditionalFormatting sqref="J102:J103">
    <cfRule type="cellIs" dxfId="131" priority="129" operator="equal">
      <formula>0</formula>
    </cfRule>
    <cfRule type="cellIs" dxfId="130" priority="130" operator="notEqual">
      <formula>0</formula>
    </cfRule>
  </conditionalFormatting>
  <conditionalFormatting sqref="O101">
    <cfRule type="cellIs" dxfId="129" priority="127" operator="equal">
      <formula>0</formula>
    </cfRule>
    <cfRule type="cellIs" dxfId="128" priority="128" operator="greaterThan">
      <formula>0</formula>
    </cfRule>
  </conditionalFormatting>
  <conditionalFormatting sqref="P101">
    <cfRule type="cellIs" dxfId="127" priority="125" operator="equal">
      <formula>0</formula>
    </cfRule>
    <cfRule type="cellIs" dxfId="126" priority="126" operator="greaterThan">
      <formula>0</formula>
    </cfRule>
  </conditionalFormatting>
  <conditionalFormatting sqref="Q101">
    <cfRule type="cellIs" dxfId="125" priority="123" operator="equal">
      <formula>0</formula>
    </cfRule>
    <cfRule type="cellIs" dxfId="124" priority="124" operator="greaterThan">
      <formula>0</formula>
    </cfRule>
  </conditionalFormatting>
  <conditionalFormatting sqref="R101">
    <cfRule type="cellIs" dxfId="123" priority="121" operator="equal">
      <formula>0</formula>
    </cfRule>
    <cfRule type="cellIs" dxfId="122" priority="122" operator="greaterThan">
      <formula>0</formula>
    </cfRule>
  </conditionalFormatting>
  <conditionalFormatting sqref="U74:U75">
    <cfRule type="cellIs" dxfId="121" priority="119" operator="equal">
      <formula>0</formula>
    </cfRule>
    <cfRule type="cellIs" dxfId="120" priority="120" operator="notEqual">
      <formula>0</formula>
    </cfRule>
  </conditionalFormatting>
  <conditionalFormatting sqref="V74:V75">
    <cfRule type="cellIs" dxfId="119" priority="117" operator="equal">
      <formula>0</formula>
    </cfRule>
    <cfRule type="cellIs" dxfId="118" priority="118" operator="notEqual">
      <formula>0</formula>
    </cfRule>
  </conditionalFormatting>
  <conditionalFormatting sqref="W74:W75">
    <cfRule type="cellIs" dxfId="117" priority="115" operator="equal">
      <formula>0</formula>
    </cfRule>
    <cfRule type="cellIs" dxfId="116" priority="116" operator="notEqual">
      <formula>0</formula>
    </cfRule>
  </conditionalFormatting>
  <conditionalFormatting sqref="X74:X75">
    <cfRule type="cellIs" dxfId="115" priority="113" operator="equal">
      <formula>0</formula>
    </cfRule>
    <cfRule type="cellIs" dxfId="114" priority="114" operator="notEqual">
      <formula>0</formula>
    </cfRule>
  </conditionalFormatting>
  <conditionalFormatting sqref="Y74:Y75">
    <cfRule type="cellIs" dxfId="113" priority="111" operator="equal">
      <formula>0</formula>
    </cfRule>
    <cfRule type="cellIs" dxfId="112" priority="112" operator="notEqual">
      <formula>0</formula>
    </cfRule>
  </conditionalFormatting>
  <conditionalFormatting sqref="Z74:Z75">
    <cfRule type="cellIs" dxfId="111" priority="109" operator="equal">
      <formula>0</formula>
    </cfRule>
    <cfRule type="cellIs" dxfId="110" priority="110" operator="notEqual">
      <formula>0</formula>
    </cfRule>
  </conditionalFormatting>
  <conditionalFormatting sqref="AA74:AA75">
    <cfRule type="cellIs" dxfId="109" priority="107" operator="equal">
      <formula>0</formula>
    </cfRule>
    <cfRule type="cellIs" dxfId="108" priority="108" operator="notEqual">
      <formula>0</formula>
    </cfRule>
  </conditionalFormatting>
  <conditionalFormatting sqref="AB74:AB75">
    <cfRule type="cellIs" dxfId="107" priority="105" operator="equal">
      <formula>0</formula>
    </cfRule>
    <cfRule type="cellIs" dxfId="106" priority="106" operator="notEqual">
      <formula>0</formula>
    </cfRule>
  </conditionalFormatting>
  <conditionalFormatting sqref="AG73">
    <cfRule type="cellIs" dxfId="105" priority="103" operator="equal">
      <formula>0</formula>
    </cfRule>
    <cfRule type="cellIs" dxfId="104" priority="104" operator="greaterThan">
      <formula>0</formula>
    </cfRule>
  </conditionalFormatting>
  <conditionalFormatting sqref="AH73">
    <cfRule type="cellIs" dxfId="103" priority="101" operator="equal">
      <formula>0</formula>
    </cfRule>
    <cfRule type="cellIs" dxfId="102" priority="102" operator="greaterThan">
      <formula>0</formula>
    </cfRule>
  </conditionalFormatting>
  <conditionalFormatting sqref="AI73">
    <cfRule type="cellIs" dxfId="101" priority="99" operator="equal">
      <formula>0</formula>
    </cfRule>
    <cfRule type="cellIs" dxfId="100" priority="100" operator="greaterThan">
      <formula>0</formula>
    </cfRule>
  </conditionalFormatting>
  <conditionalFormatting sqref="AJ73">
    <cfRule type="cellIs" dxfId="99" priority="97" operator="equal">
      <formula>0</formula>
    </cfRule>
    <cfRule type="cellIs" dxfId="98" priority="98" operator="greaterThan">
      <formula>0</formula>
    </cfRule>
  </conditionalFormatting>
  <conditionalFormatting sqref="U81:U82">
    <cfRule type="cellIs" dxfId="97" priority="95" operator="equal">
      <formula>0</formula>
    </cfRule>
    <cfRule type="cellIs" dxfId="96" priority="96" operator="notEqual">
      <formula>0</formula>
    </cfRule>
  </conditionalFormatting>
  <conditionalFormatting sqref="V81:V82">
    <cfRule type="cellIs" dxfId="95" priority="93" operator="equal">
      <formula>0</formula>
    </cfRule>
    <cfRule type="cellIs" dxfId="94" priority="94" operator="notEqual">
      <formula>0</formula>
    </cfRule>
  </conditionalFormatting>
  <conditionalFormatting sqref="W81:W82">
    <cfRule type="cellIs" dxfId="93" priority="91" operator="equal">
      <formula>0</formula>
    </cfRule>
    <cfRule type="cellIs" dxfId="92" priority="92" operator="notEqual">
      <formula>0</formula>
    </cfRule>
  </conditionalFormatting>
  <conditionalFormatting sqref="X81:X82">
    <cfRule type="cellIs" dxfId="91" priority="89" operator="equal">
      <formula>0</formula>
    </cfRule>
    <cfRule type="cellIs" dxfId="90" priority="90" operator="notEqual">
      <formula>0</formula>
    </cfRule>
  </conditionalFormatting>
  <conditionalFormatting sqref="Y81:Y82">
    <cfRule type="cellIs" dxfId="89" priority="87" operator="equal">
      <formula>0</formula>
    </cfRule>
    <cfRule type="cellIs" dxfId="88" priority="88" operator="notEqual">
      <formula>0</formula>
    </cfRule>
  </conditionalFormatting>
  <conditionalFormatting sqref="Z81:Z82">
    <cfRule type="cellIs" dxfId="87" priority="85" operator="equal">
      <formula>0</formula>
    </cfRule>
    <cfRule type="cellIs" dxfId="86" priority="86" operator="notEqual">
      <formula>0</formula>
    </cfRule>
  </conditionalFormatting>
  <conditionalFormatting sqref="AA81:AA82">
    <cfRule type="cellIs" dxfId="85" priority="83" operator="equal">
      <formula>0</formula>
    </cfRule>
    <cfRule type="cellIs" dxfId="84" priority="84" operator="notEqual">
      <formula>0</formula>
    </cfRule>
  </conditionalFormatting>
  <conditionalFormatting sqref="AB81:AB82">
    <cfRule type="cellIs" dxfId="83" priority="81" operator="equal">
      <formula>0</formula>
    </cfRule>
    <cfRule type="cellIs" dxfId="82" priority="82" operator="notEqual">
      <formula>0</formula>
    </cfRule>
  </conditionalFormatting>
  <conditionalFormatting sqref="AG80">
    <cfRule type="cellIs" dxfId="81" priority="79" operator="equal">
      <formula>0</formula>
    </cfRule>
    <cfRule type="cellIs" dxfId="80" priority="80" operator="greaterThan">
      <formula>0</formula>
    </cfRule>
  </conditionalFormatting>
  <conditionalFormatting sqref="AH80">
    <cfRule type="cellIs" dxfId="79" priority="77" operator="equal">
      <formula>0</formula>
    </cfRule>
    <cfRule type="cellIs" dxfId="78" priority="78" operator="greaterThan">
      <formula>0</formula>
    </cfRule>
  </conditionalFormatting>
  <conditionalFormatting sqref="AI80">
    <cfRule type="cellIs" dxfId="77" priority="75" operator="equal">
      <formula>0</formula>
    </cfRule>
    <cfRule type="cellIs" dxfId="76" priority="76" operator="greaterThan">
      <formula>0</formula>
    </cfRule>
  </conditionalFormatting>
  <conditionalFormatting sqref="AJ80">
    <cfRule type="cellIs" dxfId="75" priority="73" operator="equal">
      <formula>0</formula>
    </cfRule>
    <cfRule type="cellIs" dxfId="74" priority="74" operator="greaterThan">
      <formula>0</formula>
    </cfRule>
  </conditionalFormatting>
  <conditionalFormatting sqref="U88:U89">
    <cfRule type="cellIs" dxfId="73" priority="71" operator="equal">
      <formula>0</formula>
    </cfRule>
    <cfRule type="cellIs" dxfId="72" priority="72" operator="notEqual">
      <formula>0</formula>
    </cfRule>
  </conditionalFormatting>
  <conditionalFormatting sqref="V88:V89">
    <cfRule type="cellIs" dxfId="71" priority="69" operator="equal">
      <formula>0</formula>
    </cfRule>
    <cfRule type="cellIs" dxfId="70" priority="70" operator="notEqual">
      <formula>0</formula>
    </cfRule>
  </conditionalFormatting>
  <conditionalFormatting sqref="W88:W89">
    <cfRule type="cellIs" dxfId="69" priority="67" operator="equal">
      <formula>0</formula>
    </cfRule>
    <cfRule type="cellIs" dxfId="68" priority="68" operator="notEqual">
      <formula>0</formula>
    </cfRule>
  </conditionalFormatting>
  <conditionalFormatting sqref="X88:X89">
    <cfRule type="cellIs" dxfId="67" priority="65" operator="equal">
      <formula>0</formula>
    </cfRule>
    <cfRule type="cellIs" dxfId="66" priority="66" operator="notEqual">
      <formula>0</formula>
    </cfRule>
  </conditionalFormatting>
  <conditionalFormatting sqref="Y88:Y89">
    <cfRule type="cellIs" dxfId="65" priority="63" operator="equal">
      <formula>0</formula>
    </cfRule>
    <cfRule type="cellIs" dxfId="64" priority="64" operator="notEqual">
      <formula>0</formula>
    </cfRule>
  </conditionalFormatting>
  <conditionalFormatting sqref="Z88:Z89">
    <cfRule type="cellIs" dxfId="63" priority="61" operator="equal">
      <formula>0</formula>
    </cfRule>
    <cfRule type="cellIs" dxfId="62" priority="62" operator="notEqual">
      <formula>0</formula>
    </cfRule>
  </conditionalFormatting>
  <conditionalFormatting sqref="AA88:AA89">
    <cfRule type="cellIs" dxfId="61" priority="59" operator="equal">
      <formula>0</formula>
    </cfRule>
    <cfRule type="cellIs" dxfId="60" priority="60" operator="notEqual">
      <formula>0</formula>
    </cfRule>
  </conditionalFormatting>
  <conditionalFormatting sqref="AB88:AB89">
    <cfRule type="cellIs" dxfId="59" priority="57" operator="equal">
      <formula>0</formula>
    </cfRule>
    <cfRule type="cellIs" dxfId="58" priority="58" operator="notEqual">
      <formula>0</formula>
    </cfRule>
  </conditionalFormatting>
  <conditionalFormatting sqref="AG87">
    <cfRule type="cellIs" dxfId="57" priority="55" operator="equal">
      <formula>0</formula>
    </cfRule>
    <cfRule type="cellIs" dxfId="56" priority="56" operator="greaterThan">
      <formula>0</formula>
    </cfRule>
  </conditionalFormatting>
  <conditionalFormatting sqref="AH87">
    <cfRule type="cellIs" dxfId="55" priority="53" operator="equal">
      <formula>0</formula>
    </cfRule>
    <cfRule type="cellIs" dxfId="54" priority="54" operator="greaterThan">
      <formula>0</formula>
    </cfRule>
  </conditionalFormatting>
  <conditionalFormatting sqref="AI87">
    <cfRule type="cellIs" dxfId="53" priority="51" operator="equal">
      <formula>0</formula>
    </cfRule>
    <cfRule type="cellIs" dxfId="52" priority="52" operator="greaterThan">
      <formula>0</formula>
    </cfRule>
  </conditionalFormatting>
  <conditionalFormatting sqref="AJ87">
    <cfRule type="cellIs" dxfId="51" priority="49" operator="equal">
      <formula>0</formula>
    </cfRule>
    <cfRule type="cellIs" dxfId="50" priority="50" operator="greaterThan">
      <formula>0</formula>
    </cfRule>
  </conditionalFormatting>
  <conditionalFormatting sqref="U95:U96">
    <cfRule type="cellIs" dxfId="49" priority="47" operator="equal">
      <formula>0</formula>
    </cfRule>
    <cfRule type="cellIs" dxfId="48" priority="48" operator="notEqual">
      <formula>0</formula>
    </cfRule>
  </conditionalFormatting>
  <conditionalFormatting sqref="V95:V96">
    <cfRule type="cellIs" dxfId="47" priority="45" operator="equal">
      <formula>0</formula>
    </cfRule>
    <cfRule type="cellIs" dxfId="46" priority="46" operator="notEqual">
      <formula>0</formula>
    </cfRule>
  </conditionalFormatting>
  <conditionalFormatting sqref="W95:W96">
    <cfRule type="cellIs" dxfId="45" priority="43" operator="equal">
      <formula>0</formula>
    </cfRule>
    <cfRule type="cellIs" dxfId="44" priority="44" operator="notEqual">
      <formula>0</formula>
    </cfRule>
  </conditionalFormatting>
  <conditionalFormatting sqref="X95:X96">
    <cfRule type="cellIs" dxfId="43" priority="41" operator="equal">
      <formula>0</formula>
    </cfRule>
    <cfRule type="cellIs" dxfId="42" priority="42" operator="notEqual">
      <formula>0</formula>
    </cfRule>
  </conditionalFormatting>
  <conditionalFormatting sqref="Y95:Y96">
    <cfRule type="cellIs" dxfId="41" priority="39" operator="equal">
      <formula>0</formula>
    </cfRule>
    <cfRule type="cellIs" dxfId="40" priority="40" operator="notEqual">
      <formula>0</formula>
    </cfRule>
  </conditionalFormatting>
  <conditionalFormatting sqref="Z95:Z96">
    <cfRule type="cellIs" dxfId="39" priority="37" operator="equal">
      <formula>0</formula>
    </cfRule>
    <cfRule type="cellIs" dxfId="38" priority="38" operator="notEqual">
      <formula>0</formula>
    </cfRule>
  </conditionalFormatting>
  <conditionalFormatting sqref="AA95:AA96">
    <cfRule type="cellIs" dxfId="37" priority="35" operator="equal">
      <formula>0</formula>
    </cfRule>
    <cfRule type="cellIs" dxfId="36" priority="36" operator="notEqual">
      <formula>0</formula>
    </cfRule>
  </conditionalFormatting>
  <conditionalFormatting sqref="AB95:AB96">
    <cfRule type="cellIs" dxfId="35" priority="33" operator="equal">
      <formula>0</formula>
    </cfRule>
    <cfRule type="cellIs" dxfId="34" priority="34" operator="notEqual">
      <formula>0</formula>
    </cfRule>
  </conditionalFormatting>
  <conditionalFormatting sqref="AG94">
    <cfRule type="cellIs" dxfId="33" priority="31" operator="equal">
      <formula>0</formula>
    </cfRule>
    <cfRule type="cellIs" dxfId="32" priority="32" operator="greaterThan">
      <formula>0</formula>
    </cfRule>
  </conditionalFormatting>
  <conditionalFormatting sqref="AH94">
    <cfRule type="cellIs" dxfId="31" priority="29" operator="equal">
      <formula>0</formula>
    </cfRule>
    <cfRule type="cellIs" dxfId="30" priority="30" operator="greaterThan">
      <formula>0</formula>
    </cfRule>
  </conditionalFormatting>
  <conditionalFormatting sqref="AI94">
    <cfRule type="cellIs" dxfId="29" priority="27" operator="equal">
      <formula>0</formula>
    </cfRule>
    <cfRule type="cellIs" dxfId="28" priority="28" operator="greaterThan">
      <formula>0</formula>
    </cfRule>
  </conditionalFormatting>
  <conditionalFormatting sqref="AJ94">
    <cfRule type="cellIs" dxfId="27" priority="25" operator="equal">
      <formula>0</formula>
    </cfRule>
    <cfRule type="cellIs" dxfId="26" priority="26" operator="greaterThan">
      <formula>0</formula>
    </cfRule>
  </conditionalFormatting>
  <conditionalFormatting sqref="U102:U103">
    <cfRule type="cellIs" dxfId="25" priority="23" operator="equal">
      <formula>0</formula>
    </cfRule>
    <cfRule type="cellIs" dxfId="24" priority="24" operator="notEqual">
      <formula>0</formula>
    </cfRule>
  </conditionalFormatting>
  <conditionalFormatting sqref="V102:V103">
    <cfRule type="cellIs" dxfId="23" priority="21" operator="equal">
      <formula>0</formula>
    </cfRule>
    <cfRule type="cellIs" dxfId="22" priority="22" operator="notEqual">
      <formula>0</formula>
    </cfRule>
  </conditionalFormatting>
  <conditionalFormatting sqref="W102:W103">
    <cfRule type="cellIs" dxfId="21" priority="19" operator="equal">
      <formula>0</formula>
    </cfRule>
    <cfRule type="cellIs" dxfId="20" priority="20" operator="notEqual">
      <formula>0</formula>
    </cfRule>
  </conditionalFormatting>
  <conditionalFormatting sqref="X102:X103">
    <cfRule type="cellIs" dxfId="19" priority="17" operator="equal">
      <formula>0</formula>
    </cfRule>
    <cfRule type="cellIs" dxfId="18" priority="18" operator="notEqual">
      <formula>0</formula>
    </cfRule>
  </conditionalFormatting>
  <conditionalFormatting sqref="Y102:Y103">
    <cfRule type="cellIs" dxfId="17" priority="15" operator="equal">
      <formula>0</formula>
    </cfRule>
    <cfRule type="cellIs" dxfId="16" priority="16" operator="notEqual">
      <formula>0</formula>
    </cfRule>
  </conditionalFormatting>
  <conditionalFormatting sqref="Z102:Z103">
    <cfRule type="cellIs" dxfId="15" priority="13" operator="equal">
      <formula>0</formula>
    </cfRule>
    <cfRule type="cellIs" dxfId="14" priority="14" operator="notEqual">
      <formula>0</formula>
    </cfRule>
  </conditionalFormatting>
  <conditionalFormatting sqref="AA102:AA103">
    <cfRule type="cellIs" dxfId="13" priority="11" operator="equal">
      <formula>0</formula>
    </cfRule>
    <cfRule type="cellIs" dxfId="12" priority="12" operator="notEqual">
      <formula>0</formula>
    </cfRule>
  </conditionalFormatting>
  <conditionalFormatting sqref="AB102:AB103">
    <cfRule type="cellIs" dxfId="11" priority="9" operator="equal">
      <formula>0</formula>
    </cfRule>
    <cfRule type="cellIs" dxfId="10" priority="10" operator="notEqual">
      <formula>0</formula>
    </cfRule>
  </conditionalFormatting>
  <conditionalFormatting sqref="AG101">
    <cfRule type="cellIs" dxfId="9" priority="7" operator="equal">
      <formula>0</formula>
    </cfRule>
    <cfRule type="cellIs" dxfId="8" priority="8" operator="greaterThan">
      <formula>0</formula>
    </cfRule>
  </conditionalFormatting>
  <conditionalFormatting sqref="AH101">
    <cfRule type="cellIs" dxfId="7" priority="5" operator="equal">
      <formula>0</formula>
    </cfRule>
    <cfRule type="cellIs" dxfId="6" priority="6" operator="greaterThan">
      <formula>0</formula>
    </cfRule>
  </conditionalFormatting>
  <conditionalFormatting sqref="AI101">
    <cfRule type="cellIs" dxfId="5" priority="3" operator="equal">
      <formula>0</formula>
    </cfRule>
    <cfRule type="cellIs" dxfId="4" priority="4" operator="greaterThan">
      <formula>0</formula>
    </cfRule>
  </conditionalFormatting>
  <conditionalFormatting sqref="AJ101">
    <cfRule type="cellIs" dxfId="3" priority="1" operator="equal">
      <formula>0</formula>
    </cfRule>
    <cfRule type="cellIs" dxfId="2" priority="2" operator="greaterThan">
      <formula>0</formula>
    </cfRule>
  </conditionalFormatting>
  <dataValidations count="1">
    <dataValidation type="list" allowBlank="1" showInputMessage="1" showErrorMessage="1" sqref="B5" xr:uid="{829D0DA9-C009-443E-8D65-0F2737C055E6}">
      <formula1>Regions</formula1>
    </dataValidation>
  </dataValidation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pageSetUpPr fitToPage="1"/>
  </sheetPr>
  <dimension ref="A1:Y23"/>
  <sheetViews>
    <sheetView showGridLines="0" zoomScale="85" zoomScaleNormal="85" workbookViewId="0">
      <selection sqref="A1:L1"/>
    </sheetView>
  </sheetViews>
  <sheetFormatPr baseColWidth="10" defaultColWidth="9.1640625" defaultRowHeight="16" x14ac:dyDescent="0.2"/>
  <cols>
    <col min="1" max="1" width="3.5" style="1" customWidth="1"/>
    <col min="2" max="2" width="31.5" style="1" bestFit="1" customWidth="1"/>
    <col min="3" max="3" width="14.5" style="1" bestFit="1" customWidth="1"/>
    <col min="4" max="4" width="15.5" style="1" customWidth="1"/>
    <col min="5" max="5" width="13" style="1" bestFit="1" customWidth="1"/>
    <col min="6" max="6" width="15.5" style="1" customWidth="1"/>
    <col min="7" max="7" width="9.1640625" style="1"/>
    <col min="8" max="8" width="15.5" style="1" customWidth="1"/>
    <col min="9" max="9" width="15.1640625" style="1" customWidth="1"/>
    <col min="10" max="10" width="12.83203125" style="1" bestFit="1" customWidth="1"/>
    <col min="11" max="11" width="14.5" style="1" customWidth="1"/>
    <col min="12" max="12" width="13.1640625" style="1" customWidth="1"/>
    <col min="13" max="13" width="10.5" style="1" bestFit="1" customWidth="1"/>
    <col min="14" max="16384" width="9.1640625" style="1"/>
  </cols>
  <sheetData>
    <row r="1" spans="1:25" ht="59.25" customHeight="1" x14ac:dyDescent="0.2">
      <c r="A1" s="533" t="s">
        <v>1135</v>
      </c>
      <c r="B1" s="533"/>
      <c r="C1" s="533"/>
      <c r="D1" s="533"/>
      <c r="E1" s="533"/>
      <c r="F1" s="533"/>
      <c r="G1" s="533"/>
      <c r="H1" s="533"/>
      <c r="I1" s="533"/>
      <c r="J1" s="533"/>
      <c r="K1" s="533"/>
      <c r="L1" s="533"/>
      <c r="M1" s="265"/>
      <c r="N1" s="265"/>
      <c r="O1" s="265"/>
      <c r="P1" s="265"/>
      <c r="Q1" s="265"/>
      <c r="R1" s="265"/>
      <c r="S1" s="265"/>
      <c r="T1" s="265"/>
      <c r="U1" s="265"/>
      <c r="V1" s="265"/>
      <c r="W1" s="265"/>
      <c r="X1" s="265"/>
      <c r="Y1" s="265"/>
    </row>
    <row r="2" spans="1:25" ht="39" customHeight="1" x14ac:dyDescent="0.2">
      <c r="A2" s="426"/>
      <c r="B2" s="426"/>
      <c r="C2" s="426"/>
      <c r="D2" s="426"/>
      <c r="E2" s="426"/>
      <c r="F2" s="426"/>
      <c r="G2" s="426"/>
      <c r="H2" s="426"/>
      <c r="I2" s="426"/>
      <c r="J2" s="426"/>
      <c r="K2" s="426"/>
      <c r="L2" s="426"/>
      <c r="M2" s="266"/>
      <c r="N2" s="266"/>
      <c r="O2" s="266"/>
      <c r="P2" s="266"/>
      <c r="Q2" s="266"/>
      <c r="R2" s="266"/>
      <c r="S2" s="266"/>
      <c r="T2" s="266"/>
      <c r="U2" s="266"/>
      <c r="V2" s="266"/>
      <c r="W2" s="266"/>
      <c r="X2" s="266"/>
      <c r="Y2" s="266"/>
    </row>
    <row r="3" spans="1:25" ht="14.25" customHeight="1" x14ac:dyDescent="0.2"/>
    <row r="4" spans="1:25" ht="56" x14ac:dyDescent="0.2">
      <c r="B4" s="146"/>
      <c r="C4" s="219" t="s">
        <v>937</v>
      </c>
      <c r="D4" s="63" t="s">
        <v>938</v>
      </c>
      <c r="E4" s="63" t="s">
        <v>939</v>
      </c>
      <c r="F4" s="63" t="s">
        <v>940</v>
      </c>
      <c r="G4" s="91"/>
      <c r="H4" s="219" t="s">
        <v>941</v>
      </c>
      <c r="I4" s="219" t="s">
        <v>942</v>
      </c>
      <c r="J4" s="91"/>
      <c r="K4" s="219" t="s">
        <v>943</v>
      </c>
      <c r="L4" s="219" t="s">
        <v>944</v>
      </c>
    </row>
    <row r="5" spans="1:25" x14ac:dyDescent="0.2">
      <c r="B5" s="141" t="s">
        <v>17</v>
      </c>
      <c r="C5" s="67" t="e">
        <f>SUM((SUMIFS('capacity data'!G:G,'capacity data'!A:A,B5,'capacity data'!E:E,"PO"))-SUMIFS('capacity data'!H:H,'capacity data'!A:A,B5,'capacity data'!E:E,"PO"))/SUMIFS('capacity data'!G:G,'capacity data'!A:A,B5,'capacity data'!E:E,"PO")</f>
        <v>#DIV/0!</v>
      </c>
      <c r="D5" s="67" t="e">
        <f>SUM((SUMIFS('capacity data'!G:G,'capacity data'!A:A,B5,'capacity data'!E:E,"PSO"))-SUMIFS('capacity data'!H:H,'capacity data'!A:A,B5,'capacity data'!E:E,"PSO"))/SUMIFS('capacity data'!G:G,'capacity data'!A:A,B5,'capacity data'!E:E,"PSO")</f>
        <v>#DIV/0!</v>
      </c>
      <c r="E5" s="67" t="e">
        <f>SUM((SUMIFS('capacity data'!G:G,'capacity data'!A:A,B5,'capacity data'!E:E,"TPO"))-SUMIFS('capacity data'!H:H,'capacity data'!A:A,B5,'capacity data'!E:E,"TPO"))/SUMIFS('capacity data'!G:G,'capacity data'!A:A,B5,'capacity data'!E:E,"TPO")</f>
        <v>#DIV/0!</v>
      </c>
      <c r="F5" s="147" t="e">
        <f>SUM((SUMIFS('capacity data'!G:G,'capacity data'!A:A,B5))-SUMIFS('capacity data'!H:H,'capacity data'!A:A,B5))/SUMIFS('capacity data'!G:G,'capacity data'!A:A,B5)</f>
        <v>#DIV/0!</v>
      </c>
      <c r="G5" s="148"/>
      <c r="H5" s="66" t="e">
        <f>SUMIFS('capacity data'!$L:$L,'capacity data'!$A:$A,B5,'capacity data'!$E:$E,"PSO")/SUM((SUMIFS('capacity data'!$G:$G,'capacity data'!$E:$E,"PSO",'capacity data'!$A:$A,B5))-SUMIFS('capacity data'!$H:$H,'capacity data'!$E:$E,"PSO",'capacity data'!$A:$A,B5))</f>
        <v>#DIV/0!</v>
      </c>
      <c r="I5" s="66" t="e">
        <f>SUMIFS('capacity data'!$L:$L,'capacity data'!$A:$A,B5,'capacity data'!$E:$E,"PSO")/SUMIFS('capacity data'!$G:$G,'capacity data'!$E:$E,"PSO",'capacity data'!$A:$A,B5)</f>
        <v>#DIV/0!</v>
      </c>
      <c r="J5" s="91"/>
      <c r="K5" s="66" t="e">
        <f>SUMIFS('capacity data'!$L:$L,'capacity data'!$A:$A,B5,'capacity data'!$E:$E,"TPO")/SUM((SUMIFS('capacity data'!$G:$G,'capacity data'!$E:$E,"TPO",'capacity data'!$A:$A,B5))-SUMIFS('capacity data'!$H:$H,'capacity data'!$E:$E,"TPO",'capacity data'!$A:$A,B5))</f>
        <v>#DIV/0!</v>
      </c>
      <c r="L5" s="66" t="e">
        <f>SUMIFS('capacity data'!$L:$L,'capacity data'!$A:$A,B5,'capacity data'!$E:$E,"TPO")/SUMIFS('capacity data'!$G:$G,'capacity data'!$E:$E,"TPO",'capacity data'!$A:$A,B5)</f>
        <v>#DIV/0!</v>
      </c>
    </row>
    <row r="6" spans="1:25" x14ac:dyDescent="0.2">
      <c r="B6" s="141" t="s">
        <v>18</v>
      </c>
      <c r="C6" s="67" t="e">
        <f>SUM((SUMIFS('capacity data'!G:G,'capacity data'!A:A,B6,'capacity data'!E:E,"PO"))-SUMIFS('capacity data'!H:H,'capacity data'!A:A,B6,'capacity data'!E:E,"PO"))/SUMIFS('capacity data'!G:G,'capacity data'!A:A,B6,'capacity data'!E:E,"PO")</f>
        <v>#DIV/0!</v>
      </c>
      <c r="D6" s="67" t="e">
        <f>SUM((SUMIFS('capacity data'!G:G,'capacity data'!A:A,B6,'capacity data'!E:E,"PSO"))-SUMIFS('capacity data'!H:H,'capacity data'!A:A,B6,'capacity data'!E:E,"PSO"))/SUMIFS('capacity data'!G:G,'capacity data'!A:A,B6,'capacity data'!E:E,"PSO")</f>
        <v>#DIV/0!</v>
      </c>
      <c r="E6" s="67" t="e">
        <f>SUM((SUMIFS('capacity data'!G:G,'capacity data'!A:A,B6,'capacity data'!E:E,"TPO"))-SUMIFS('capacity data'!H:H,'capacity data'!A:A,B6,'capacity data'!E:E,"TPO"))/SUMIFS('capacity data'!G:G,'capacity data'!A:A,B6,'capacity data'!E:E,"TPO")</f>
        <v>#DIV/0!</v>
      </c>
      <c r="F6" s="147" t="e">
        <f>SUM((SUMIFS('capacity data'!G:G,'capacity data'!A:A,B6))-SUMIFS('capacity data'!H:H,'capacity data'!A:A,B6))/SUMIFS('capacity data'!G:G,'capacity data'!A:A,B6)</f>
        <v>#DIV/0!</v>
      </c>
      <c r="G6" s="148"/>
      <c r="H6" s="66" t="e">
        <f>SUMIFS('capacity data'!$L:$L,'capacity data'!$A:$A,B6,'capacity data'!$E:$E,"PSO")/SUM((SUMIFS('capacity data'!$G:$G,'capacity data'!$E:$E,"PSO",'capacity data'!$A:$A,B6))-SUMIFS('capacity data'!$H:$H,'capacity data'!$E:$E,"PSO",'capacity data'!$A:$A,B6))</f>
        <v>#DIV/0!</v>
      </c>
      <c r="I6" s="66" t="e">
        <f>SUMIFS('capacity data'!$L:$L,'capacity data'!$A:$A,B6,'capacity data'!$E:$E,"PSO")/SUMIFS('capacity data'!$G:$G,'capacity data'!$E:$E,"PSO",'capacity data'!$A:$A,B6)</f>
        <v>#DIV/0!</v>
      </c>
      <c r="J6" s="91"/>
      <c r="K6" s="66" t="e">
        <f>SUMIFS('capacity data'!$L:$L,'capacity data'!$A:$A,B6,'capacity data'!$E:$E,"TPO")/SUM((SUMIFS('capacity data'!$G:$G,'capacity data'!$E:$E,"TPO",'capacity data'!$A:$A,B6))-SUMIFS('capacity data'!$H:$H,'capacity data'!$E:$E,"TPO",'capacity data'!$A:$A,B6))</f>
        <v>#DIV/0!</v>
      </c>
      <c r="L6" s="66" t="e">
        <f>SUMIFS('capacity data'!$L:$L,'capacity data'!$A:$A,B6,'capacity data'!$E:$E,"TPO")/SUMIFS('capacity data'!$G:$G,'capacity data'!$E:$E,"TPO",'capacity data'!$A:$A,B6)</f>
        <v>#DIV/0!</v>
      </c>
    </row>
    <row r="7" spans="1:25" x14ac:dyDescent="0.2">
      <c r="B7" s="141" t="s">
        <v>19</v>
      </c>
      <c r="C7" s="67" t="e">
        <f>SUM((SUMIFS('capacity data'!G:G,'capacity data'!A:A,B7,'capacity data'!E:E,"PO"))-SUMIFS('capacity data'!H:H,'capacity data'!A:A,B7,'capacity data'!E:E,"PO"))/SUMIFS('capacity data'!G:G,'capacity data'!A:A,B7,'capacity data'!E:E,"PO")</f>
        <v>#DIV/0!</v>
      </c>
      <c r="D7" s="67" t="e">
        <f>SUM((SUMIFS('capacity data'!G:G,'capacity data'!A:A,B7,'capacity data'!E:E,"PSO"))-SUMIFS('capacity data'!H:H,'capacity data'!A:A,B7,'capacity data'!E:E,"PSO"))/SUMIFS('capacity data'!G:G,'capacity data'!A:A,B7,'capacity data'!E:E,"PSO")</f>
        <v>#DIV/0!</v>
      </c>
      <c r="E7" s="67" t="e">
        <f>SUM((SUMIFS('capacity data'!G:G,'capacity data'!A:A,B7,'capacity data'!E:E,"TPO"))-SUMIFS('capacity data'!H:H,'capacity data'!A:A,B7,'capacity data'!E:E,"TPO"))/SUMIFS('capacity data'!G:G,'capacity data'!A:A,B7,'capacity data'!E:E,"TPO")</f>
        <v>#DIV/0!</v>
      </c>
      <c r="F7" s="147" t="e">
        <f>SUM((SUMIFS('capacity data'!G:G,'capacity data'!A:A,B7))-SUMIFS('capacity data'!H:H,'capacity data'!A:A,B7))/SUMIFS('capacity data'!G:G,'capacity data'!A:A,B7)</f>
        <v>#DIV/0!</v>
      </c>
      <c r="G7" s="148"/>
      <c r="H7" s="66" t="e">
        <f>SUMIFS('capacity data'!$L:$L,'capacity data'!$A:$A,B7,'capacity data'!$E:$E,"PSO")/SUM((SUMIFS('capacity data'!$G:$G,'capacity data'!$E:$E,"PSO",'capacity data'!$A:$A,B7))-SUMIFS('capacity data'!$H:$H,'capacity data'!$E:$E,"PSO",'capacity data'!$A:$A,B7))</f>
        <v>#DIV/0!</v>
      </c>
      <c r="I7" s="66" t="e">
        <f>SUMIFS('capacity data'!$L:$L,'capacity data'!$A:$A,B7,'capacity data'!$E:$E,"PSO")/SUMIFS('capacity data'!$G:$G,'capacity data'!$E:$E,"PSO",'capacity data'!$A:$A,B7)</f>
        <v>#DIV/0!</v>
      </c>
      <c r="J7" s="91"/>
      <c r="K7" s="66" t="e">
        <f>SUMIFS('capacity data'!$L:$L,'capacity data'!$A:$A,B7,'capacity data'!$E:$E,"TPO")/SUM((SUMIFS('capacity data'!$G:$G,'capacity data'!$E:$E,"TPO",'capacity data'!$A:$A,B7))-SUMIFS('capacity data'!$H:$H,'capacity data'!$E:$E,"TPO",'capacity data'!$A:$A,B7))</f>
        <v>#DIV/0!</v>
      </c>
      <c r="L7" s="66" t="e">
        <f>SUMIFS('capacity data'!$L:$L,'capacity data'!$A:$A,B7,'capacity data'!$E:$E,"TPO")/SUMIFS('capacity data'!$G:$G,'capacity data'!$E:$E,"TPO",'capacity data'!$A:$A,B7)</f>
        <v>#DIV/0!</v>
      </c>
    </row>
    <row r="8" spans="1:25" x14ac:dyDescent="0.2">
      <c r="B8" s="141" t="s">
        <v>20</v>
      </c>
      <c r="C8" s="67" t="e">
        <f>SUM((SUMIFS('capacity data'!G:G,'capacity data'!A:A,B8,'capacity data'!E:E,"PO"))-SUMIFS('capacity data'!H:H,'capacity data'!A:A,B8,'capacity data'!E:E,"PO"))/SUMIFS('capacity data'!G:G,'capacity data'!A:A,B8,'capacity data'!E:E,"PO")</f>
        <v>#DIV/0!</v>
      </c>
      <c r="D8" s="67" t="e">
        <f>SUM((SUMIFS('capacity data'!G:G,'capacity data'!A:A,B8,'capacity data'!E:E,"PSO"))-SUMIFS('capacity data'!H:H,'capacity data'!A:A,B8,'capacity data'!E:E,"PSO"))/SUMIFS('capacity data'!G:G,'capacity data'!A:A,B8,'capacity data'!E:E,"PSO")</f>
        <v>#DIV/0!</v>
      </c>
      <c r="E8" s="67" t="e">
        <f>SUM((SUMIFS('capacity data'!G:G,'capacity data'!A:A,B8,'capacity data'!E:E,"TPO"))-SUMIFS('capacity data'!H:H,'capacity data'!A:A,B8,'capacity data'!E:E,"TPO"))/SUMIFS('capacity data'!G:G,'capacity data'!A:A,B8,'capacity data'!E:E,"TPO")</f>
        <v>#DIV/0!</v>
      </c>
      <c r="F8" s="147" t="e">
        <f>SUM((SUMIFS('capacity data'!G:G,'capacity data'!A:A,B8))-SUMIFS('capacity data'!H:H,'capacity data'!A:A,B8))/SUMIFS('capacity data'!G:G,'capacity data'!A:A,B8)</f>
        <v>#DIV/0!</v>
      </c>
      <c r="G8" s="148"/>
      <c r="H8" s="66" t="e">
        <f>SUMIFS('capacity data'!$L:$L,'capacity data'!$A:$A,B8,'capacity data'!$E:$E,"PSO")/SUM((SUMIFS('capacity data'!$G:$G,'capacity data'!$E:$E,"PSO",'capacity data'!$A:$A,B8))-SUMIFS('capacity data'!$H:$H,'capacity data'!$E:$E,"PSO",'capacity data'!$A:$A,B8))</f>
        <v>#DIV/0!</v>
      </c>
      <c r="I8" s="66" t="e">
        <f>SUMIFS('capacity data'!$L:$L,'capacity data'!$A:$A,B8,'capacity data'!$E:$E,"PSO")/SUMIFS('capacity data'!$G:$G,'capacity data'!$E:$E,"PSO",'capacity data'!$A:$A,B8)</f>
        <v>#DIV/0!</v>
      </c>
      <c r="J8" s="91"/>
      <c r="K8" s="66" t="e">
        <f>SUMIFS('capacity data'!$L:$L,'capacity data'!$A:$A,B8,'capacity data'!$E:$E,"TPO")/SUM((SUMIFS('capacity data'!$G:$G,'capacity data'!$E:$E,"TPO",'capacity data'!$A:$A,B8))-SUMIFS('capacity data'!$H:$H,'capacity data'!$E:$E,"TPO",'capacity data'!$A:$A,B8))</f>
        <v>#DIV/0!</v>
      </c>
      <c r="L8" s="66" t="e">
        <f>SUMIFS('capacity data'!$L:$L,'capacity data'!$A:$A,B8,'capacity data'!$E:$E,"TPO")/SUMIFS('capacity data'!$G:$G,'capacity data'!$E:$E,"TPO",'capacity data'!$A:$A,B8)</f>
        <v>#DIV/0!</v>
      </c>
    </row>
    <row r="9" spans="1:25" x14ac:dyDescent="0.2">
      <c r="B9" s="141" t="s">
        <v>21</v>
      </c>
      <c r="C9" s="67" t="e">
        <f>SUM((SUMIFS('capacity data'!G:G,'capacity data'!A:A,B9,'capacity data'!E:E,"PO"))-SUMIFS('capacity data'!H:H,'capacity data'!A:A,B9,'capacity data'!E:E,"PO"))/SUMIFS('capacity data'!G:G,'capacity data'!A:A,B9,'capacity data'!E:E,"PO")</f>
        <v>#DIV/0!</v>
      </c>
      <c r="D9" s="67" t="e">
        <f>SUM((SUMIFS('capacity data'!G:G,'capacity data'!A:A,B9,'capacity data'!E:E,"PSO"))-SUMIFS('capacity data'!H:H,'capacity data'!A:A,B9,'capacity data'!E:E,"PSO"))/SUMIFS('capacity data'!G:G,'capacity data'!A:A,B9,'capacity data'!E:E,"PSO")</f>
        <v>#DIV/0!</v>
      </c>
      <c r="E9" s="67" t="e">
        <f>SUM((SUMIFS('capacity data'!G:G,'capacity data'!A:A,B9,'capacity data'!E:E,"TPO"))-SUMIFS('capacity data'!H:H,'capacity data'!A:A,B9,'capacity data'!E:E,"TPO"))/SUMIFS('capacity data'!G:G,'capacity data'!A:A,B9,'capacity data'!E:E,"TPO")</f>
        <v>#DIV/0!</v>
      </c>
      <c r="F9" s="147" t="e">
        <f>SUM((SUMIFS('capacity data'!G:G,'capacity data'!A:A,B9))-SUMIFS('capacity data'!H:H,'capacity data'!A:A,B9))/SUMIFS('capacity data'!G:G,'capacity data'!A:A,B9)</f>
        <v>#DIV/0!</v>
      </c>
      <c r="G9" s="148"/>
      <c r="H9" s="66" t="e">
        <f>SUMIFS('capacity data'!$L:$L,'capacity data'!$A:$A,B9,'capacity data'!$E:$E,"PSO")/SUM((SUMIFS('capacity data'!$G:$G,'capacity data'!$E:$E,"PSO",'capacity data'!$A:$A,B9))-SUMIFS('capacity data'!$H:$H,'capacity data'!$E:$E,"PSO",'capacity data'!$A:$A,B9))</f>
        <v>#DIV/0!</v>
      </c>
      <c r="I9" s="66" t="e">
        <f>SUMIFS('capacity data'!$L:$L,'capacity data'!$A:$A,B9,'capacity data'!$E:$E,"PSO")/SUMIFS('capacity data'!$G:$G,'capacity data'!$E:$E,"PSO",'capacity data'!$A:$A,B9)</f>
        <v>#DIV/0!</v>
      </c>
      <c r="J9" s="91"/>
      <c r="K9" s="66" t="e">
        <f>SUMIFS('capacity data'!$L:$L,'capacity data'!$A:$A,B9,'capacity data'!$E:$E,"TPO")/SUM((SUMIFS('capacity data'!$G:$G,'capacity data'!$E:$E,"TPO",'capacity data'!$A:$A,B9))-SUMIFS('capacity data'!$H:$H,'capacity data'!$E:$E,"TPO",'capacity data'!$A:$A,B9))</f>
        <v>#DIV/0!</v>
      </c>
      <c r="L9" s="66" t="e">
        <f>SUMIFS('capacity data'!$L:$L,'capacity data'!$A:$A,B9,'capacity data'!$E:$E,"TPO")/SUMIFS('capacity data'!$G:$G,'capacity data'!$E:$E,"TPO",'capacity data'!$A:$A,B9)</f>
        <v>#DIV/0!</v>
      </c>
    </row>
    <row r="10" spans="1:25" x14ac:dyDescent="0.2">
      <c r="B10" s="141" t="s">
        <v>22</v>
      </c>
      <c r="C10" s="67" t="e">
        <f>SUM((SUMIFS('capacity data'!G:G,'capacity data'!A:A,B10,'capacity data'!E:E,"PO"))-SUMIFS('capacity data'!H:H,'capacity data'!A:A,B10,'capacity data'!E:E,"PO"))/SUMIFS('capacity data'!G:G,'capacity data'!A:A,B10,'capacity data'!E:E,"PO")</f>
        <v>#DIV/0!</v>
      </c>
      <c r="D10" s="67" t="e">
        <f>SUM((SUMIFS('capacity data'!G:G,'capacity data'!A:A,B10,'capacity data'!E:E,"PSO"))-SUMIFS('capacity data'!H:H,'capacity data'!A:A,B10,'capacity data'!E:E,"PSO"))/SUMIFS('capacity data'!G:G,'capacity data'!A:A,B10,'capacity data'!E:E,"PSO")</f>
        <v>#DIV/0!</v>
      </c>
      <c r="E10" s="67" t="e">
        <f>SUM((SUMIFS('capacity data'!G:G,'capacity data'!A:A,B10,'capacity data'!E:E,"TPO"))-SUMIFS('capacity data'!H:H,'capacity data'!A:A,B10,'capacity data'!E:E,"TPO"))/SUMIFS('capacity data'!G:G,'capacity data'!A:A,B10,'capacity data'!E:E,"TPO")</f>
        <v>#DIV/0!</v>
      </c>
      <c r="F10" s="147" t="e">
        <f>SUM((SUMIFS('capacity data'!G:G,'capacity data'!A:A,B10))-SUMIFS('capacity data'!H:H,'capacity data'!A:A,B10))/SUMIFS('capacity data'!G:G,'capacity data'!A:A,B10)</f>
        <v>#DIV/0!</v>
      </c>
      <c r="G10" s="148"/>
      <c r="H10" s="66" t="e">
        <f>SUMIFS('capacity data'!$L:$L,'capacity data'!$A:$A,B10,'capacity data'!$E:$E,"PSO")/SUM((SUMIFS('capacity data'!$G:$G,'capacity data'!$E:$E,"PSO",'capacity data'!$A:$A,B10))-SUMIFS('capacity data'!$H:$H,'capacity data'!$E:$E,"PSO",'capacity data'!$A:$A,B10))</f>
        <v>#DIV/0!</v>
      </c>
      <c r="I10" s="66" t="e">
        <f>SUMIFS('capacity data'!$L:$L,'capacity data'!$A:$A,B10,'capacity data'!$E:$E,"PSO")/SUMIFS('capacity data'!$G:$G,'capacity data'!$E:$E,"PSO",'capacity data'!$A:$A,B10)</f>
        <v>#DIV/0!</v>
      </c>
      <c r="J10" s="91"/>
      <c r="K10" s="66" t="e">
        <f>SUMIFS('capacity data'!$L:$L,'capacity data'!$A:$A,B10,'capacity data'!$E:$E,"TPO")/SUM((SUMIFS('capacity data'!$G:$G,'capacity data'!$E:$E,"TPO",'capacity data'!$A:$A,B10))-SUMIFS('capacity data'!$H:$H,'capacity data'!$E:$E,"TPO",'capacity data'!$A:$A,B10))</f>
        <v>#DIV/0!</v>
      </c>
      <c r="L10" s="66" t="e">
        <f>SUMIFS('capacity data'!$L:$L,'capacity data'!$A:$A,B10,'capacity data'!$E:$E,"TPO")/SUMIFS('capacity data'!$G:$G,'capacity data'!$E:$E,"TPO",'capacity data'!$A:$A,B10)</f>
        <v>#DIV/0!</v>
      </c>
    </row>
    <row r="11" spans="1:25" x14ac:dyDescent="0.2">
      <c r="B11" s="141" t="s">
        <v>23</v>
      </c>
      <c r="C11" s="67" t="e">
        <f>SUM((SUMIFS('capacity data'!G:G,'capacity data'!A:A,B11,'capacity data'!E:E,"PO"))-SUMIFS('capacity data'!H:H,'capacity data'!A:A,B11,'capacity data'!E:E,"PO"))/SUMIFS('capacity data'!G:G,'capacity data'!A:A,B11,'capacity data'!E:E,"PO")</f>
        <v>#DIV/0!</v>
      </c>
      <c r="D11" s="67" t="e">
        <f>SUM((SUMIFS('capacity data'!G:G,'capacity data'!A:A,B11,'capacity data'!E:E,"PSO"))-SUMIFS('capacity data'!H:H,'capacity data'!A:A,B11,'capacity data'!E:E,"PSO"))/SUMIFS('capacity data'!G:G,'capacity data'!A:A,B11,'capacity data'!E:E,"PSO")</f>
        <v>#DIV/0!</v>
      </c>
      <c r="E11" s="67" t="e">
        <f>SUM((SUMIFS('capacity data'!G:G,'capacity data'!A:A,B11,'capacity data'!E:E,"TPO"))-SUMIFS('capacity data'!H:H,'capacity data'!A:A,B11,'capacity data'!E:E,"TPO"))/SUMIFS('capacity data'!G:G,'capacity data'!A:A,B11,'capacity data'!E:E,"TPO")</f>
        <v>#DIV/0!</v>
      </c>
      <c r="F11" s="147" t="e">
        <f>SUM((SUMIFS('capacity data'!G:G,'capacity data'!A:A,B11))-SUMIFS('capacity data'!H:H,'capacity data'!A:A,B11))/SUMIFS('capacity data'!G:G,'capacity data'!A:A,B11)</f>
        <v>#DIV/0!</v>
      </c>
      <c r="G11" s="148"/>
      <c r="H11" s="66" t="e">
        <f>SUMIFS('capacity data'!$L:$L,'capacity data'!$A:$A,B11,'capacity data'!$E:$E,"PSO")/SUM((SUMIFS('capacity data'!$G:$G,'capacity data'!$E:$E,"PSO",'capacity data'!$A:$A,B11))-SUMIFS('capacity data'!$H:$H,'capacity data'!$E:$E,"PSO",'capacity data'!$A:$A,B11))</f>
        <v>#DIV/0!</v>
      </c>
      <c r="I11" s="66" t="e">
        <f>SUMIFS('capacity data'!$L:$L,'capacity data'!$A:$A,B11,'capacity data'!$E:$E,"PSO")/SUMIFS('capacity data'!$G:$G,'capacity data'!$E:$E,"PSO",'capacity data'!$A:$A,B11)</f>
        <v>#DIV/0!</v>
      </c>
      <c r="J11" s="91"/>
      <c r="K11" s="66" t="e">
        <f>SUMIFS('capacity data'!$L:$L,'capacity data'!$A:$A,B11,'capacity data'!$E:$E,"TPO")/SUM((SUMIFS('capacity data'!$G:$G,'capacity data'!$E:$E,"TPO",'capacity data'!$A:$A,B11))-SUMIFS('capacity data'!$H:$H,'capacity data'!$E:$E,"TPO",'capacity data'!$A:$A,B11))</f>
        <v>#DIV/0!</v>
      </c>
      <c r="L11" s="66" t="e">
        <f>SUMIFS('capacity data'!$L:$L,'capacity data'!$A:$A,B11,'capacity data'!$E:$E,"TPO")/SUMIFS('capacity data'!$G:$G,'capacity data'!$E:$E,"TPO",'capacity data'!$A:$A,B11)</f>
        <v>#DIV/0!</v>
      </c>
    </row>
    <row r="12" spans="1:25" x14ac:dyDescent="0.2">
      <c r="B12" s="141" t="s">
        <v>24</v>
      </c>
      <c r="C12" s="67" t="e">
        <f>SUM((SUMIFS('capacity data'!G:G,'capacity data'!A:A,B12,'capacity data'!E:E,"PO"))-SUMIFS('capacity data'!H:H,'capacity data'!A:A,B12,'capacity data'!E:E,"PO"))/SUMIFS('capacity data'!G:G,'capacity data'!A:A,B12,'capacity data'!E:E,"PO")</f>
        <v>#DIV/0!</v>
      </c>
      <c r="D12" s="67" t="e">
        <f>SUM((SUMIFS('capacity data'!G:G,'capacity data'!A:A,B12,'capacity data'!E:E,"PSO"))-SUMIFS('capacity data'!H:H,'capacity data'!A:A,B12,'capacity data'!E:E,"PSO"))/SUMIFS('capacity data'!G:G,'capacity data'!A:A,B12,'capacity data'!E:E,"PSO")</f>
        <v>#DIV/0!</v>
      </c>
      <c r="E12" s="67" t="e">
        <f>SUM((SUMIFS('capacity data'!G:G,'capacity data'!A:A,B12,'capacity data'!E:E,"TPO"))-SUMIFS('capacity data'!H:H,'capacity data'!A:A,B12,'capacity data'!E:E,"TPO"))/SUMIFS('capacity data'!G:G,'capacity data'!A:A,B12,'capacity data'!E:E,"TPO")</f>
        <v>#DIV/0!</v>
      </c>
      <c r="F12" s="147" t="e">
        <f>SUM((SUMIFS('capacity data'!G:G,'capacity data'!A:A,B12))-SUMIFS('capacity data'!H:H,'capacity data'!A:A,B12))/SUMIFS('capacity data'!G:G,'capacity data'!A:A,B12)</f>
        <v>#DIV/0!</v>
      </c>
      <c r="G12" s="148"/>
      <c r="H12" s="66" t="e">
        <f>SUMIFS('capacity data'!$L:$L,'capacity data'!$A:$A,B12,'capacity data'!$E:$E,"PSO")/SUM((SUMIFS('capacity data'!$G:$G,'capacity data'!$E:$E,"PSO",'capacity data'!$A:$A,B12))-SUMIFS('capacity data'!$H:$H,'capacity data'!$E:$E,"PSO",'capacity data'!$A:$A,B12))</f>
        <v>#DIV/0!</v>
      </c>
      <c r="I12" s="66" t="e">
        <f>SUMIFS('capacity data'!$L:$L,'capacity data'!$A:$A,B12,'capacity data'!$E:$E,"PSO")/SUMIFS('capacity data'!$G:$G,'capacity data'!$E:$E,"PSO",'capacity data'!$A:$A,B12)</f>
        <v>#DIV/0!</v>
      </c>
      <c r="J12" s="91"/>
      <c r="K12" s="66" t="e">
        <f>SUMIFS('capacity data'!$L:$L,'capacity data'!$A:$A,B12,'capacity data'!$E:$E,"TPO")/SUM((SUMIFS('capacity data'!$G:$G,'capacity data'!$E:$E,"TPO",'capacity data'!$A:$A,B12))-SUMIFS('capacity data'!$H:$H,'capacity data'!$E:$E,"TPO",'capacity data'!$A:$A,B12))</f>
        <v>#DIV/0!</v>
      </c>
      <c r="L12" s="66" t="e">
        <f>SUMIFS('capacity data'!$L:$L,'capacity data'!$A:$A,B12,'capacity data'!$E:$E,"TPO")/SUMIFS('capacity data'!$G:$G,'capacity data'!$E:$E,"TPO",'capacity data'!$A:$A,B12)</f>
        <v>#DIV/0!</v>
      </c>
    </row>
    <row r="13" spans="1:25" x14ac:dyDescent="0.2">
      <c r="B13" s="141" t="s">
        <v>25</v>
      </c>
      <c r="C13" s="67" t="e">
        <f>SUM((SUMIFS('capacity data'!G:G,'capacity data'!A:A,B13,'capacity data'!E:E,"PO"))-SUMIFS('capacity data'!H:H,'capacity data'!A:A,B13,'capacity data'!E:E,"PO"))/SUMIFS('capacity data'!G:G,'capacity data'!A:A,B13,'capacity data'!E:E,"PO")</f>
        <v>#DIV/0!</v>
      </c>
      <c r="D13" s="67" t="e">
        <f>SUM((SUMIFS('capacity data'!G:G,'capacity data'!A:A,B13,'capacity data'!E:E,"PSO"))-SUMIFS('capacity data'!H:H,'capacity data'!A:A,B13,'capacity data'!E:E,"PSO"))/SUMIFS('capacity data'!G:G,'capacity data'!A:A,B13,'capacity data'!E:E,"PSO")</f>
        <v>#DIV/0!</v>
      </c>
      <c r="E13" s="67" t="e">
        <f>SUM((SUMIFS('capacity data'!G:G,'capacity data'!A:A,B13,'capacity data'!E:E,"TPO"))-SUMIFS('capacity data'!H:H,'capacity data'!A:A,B13,'capacity data'!E:E,"TPO"))/SUMIFS('capacity data'!G:G,'capacity data'!A:A,B13,'capacity data'!E:E,"TPO")</f>
        <v>#DIV/0!</v>
      </c>
      <c r="F13" s="147" t="e">
        <f>SUM((SUMIFS('capacity data'!G:G,'capacity data'!A:A,B13))-SUMIFS('capacity data'!H:H,'capacity data'!A:A,B13))/SUMIFS('capacity data'!G:G,'capacity data'!A:A,B13)</f>
        <v>#DIV/0!</v>
      </c>
      <c r="G13" s="148"/>
      <c r="H13" s="66" t="e">
        <f>SUMIFS('capacity data'!$L:$L,'capacity data'!$A:$A,B13,'capacity data'!$E:$E,"PSO")/SUM((SUMIFS('capacity data'!$G:$G,'capacity data'!$E:$E,"PSO",'capacity data'!$A:$A,B13))-SUMIFS('capacity data'!$H:$H,'capacity data'!$E:$E,"PSO",'capacity data'!$A:$A,B13))</f>
        <v>#DIV/0!</v>
      </c>
      <c r="I13" s="66" t="e">
        <f>SUMIFS('capacity data'!$L:$L,'capacity data'!$A:$A,B13,'capacity data'!$E:$E,"PSO")/SUMIFS('capacity data'!$G:$G,'capacity data'!$E:$E,"PSO",'capacity data'!$A:$A,B13)</f>
        <v>#DIV/0!</v>
      </c>
      <c r="J13" s="91"/>
      <c r="K13" s="66" t="e">
        <f>SUMIFS('capacity data'!$L:$L,'capacity data'!$A:$A,B13,'capacity data'!$E:$E,"TPO")/SUM((SUMIFS('capacity data'!$G:$G,'capacity data'!$E:$E,"TPO",'capacity data'!$A:$A,B13))-SUMIFS('capacity data'!$H:$H,'capacity data'!$E:$E,"TPO",'capacity data'!$A:$A,B13))</f>
        <v>#DIV/0!</v>
      </c>
      <c r="L13" s="66" t="e">
        <f>SUMIFS('capacity data'!$L:$L,'capacity data'!$A:$A,B13,'capacity data'!$E:$E,"TPO")/SUMIFS('capacity data'!$G:$G,'capacity data'!$E:$E,"TPO",'capacity data'!$A:$A,B13)</f>
        <v>#DIV/0!</v>
      </c>
    </row>
    <row r="14" spans="1:25" x14ac:dyDescent="0.2">
      <c r="B14" s="141" t="s">
        <v>26</v>
      </c>
      <c r="C14" s="67" t="e">
        <f>SUM((SUMIFS('capacity data'!G:G,'capacity data'!A:A,B14,'capacity data'!E:E,"PO"))-SUMIFS('capacity data'!H:H,'capacity data'!A:A,B14,'capacity data'!E:E,"PO"))/SUMIFS('capacity data'!G:G,'capacity data'!A:A,B14,'capacity data'!E:E,"PO")</f>
        <v>#DIV/0!</v>
      </c>
      <c r="D14" s="67" t="e">
        <f>SUM((SUMIFS('capacity data'!G:G,'capacity data'!A:A,B14,'capacity data'!E:E,"PSO"))-SUMIFS('capacity data'!H:H,'capacity data'!A:A,B14,'capacity data'!E:E,"PSO"))/SUMIFS('capacity data'!G:G,'capacity data'!A:A,B14,'capacity data'!E:E,"PSO")</f>
        <v>#DIV/0!</v>
      </c>
      <c r="E14" s="67" t="e">
        <f>SUM((SUMIFS('capacity data'!G:G,'capacity data'!A:A,B14,'capacity data'!E:E,"TPO"))-SUMIFS('capacity data'!H:H,'capacity data'!A:A,B14,'capacity data'!E:E,"TPO"))/SUMIFS('capacity data'!G:G,'capacity data'!A:A,B14,'capacity data'!E:E,"TPO")</f>
        <v>#DIV/0!</v>
      </c>
      <c r="F14" s="147" t="e">
        <f>SUM((SUMIFS('capacity data'!G:G,'capacity data'!A:A,B14))-SUMIFS('capacity data'!H:H,'capacity data'!A:A,B14))/SUMIFS('capacity data'!G:G,'capacity data'!A:A,B14)</f>
        <v>#DIV/0!</v>
      </c>
      <c r="G14" s="148"/>
      <c r="H14" s="66" t="e">
        <f>SUMIFS('capacity data'!$L:$L,'capacity data'!$A:$A,B14,'capacity data'!$E:$E,"PSO")/SUM((SUMIFS('capacity data'!$G:$G,'capacity data'!$E:$E,"PSO",'capacity data'!$A:$A,B14))-SUMIFS('capacity data'!$H:$H,'capacity data'!$E:$E,"PSO",'capacity data'!$A:$A,B14))</f>
        <v>#DIV/0!</v>
      </c>
      <c r="I14" s="66" t="e">
        <f>SUMIFS('capacity data'!$L:$L,'capacity data'!$A:$A,B14,'capacity data'!$E:$E,"PSO")/SUMIFS('capacity data'!$G:$G,'capacity data'!$E:$E,"PSO",'capacity data'!$A:$A,B14)</f>
        <v>#DIV/0!</v>
      </c>
      <c r="J14" s="91"/>
      <c r="K14" s="66" t="e">
        <f>SUMIFS('capacity data'!$L:$L,'capacity data'!$A:$A,B14,'capacity data'!$E:$E,"TPO")/SUM((SUMIFS('capacity data'!$G:$G,'capacity data'!$E:$E,"TPO",'capacity data'!$A:$A,B14))-SUMIFS('capacity data'!$H:$H,'capacity data'!$E:$E,"TPO",'capacity data'!$A:$A,B14))</f>
        <v>#DIV/0!</v>
      </c>
      <c r="L14" s="66" t="e">
        <f>SUMIFS('capacity data'!$L:$L,'capacity data'!$A:$A,B14,'capacity data'!$E:$E,"TPO")/SUMIFS('capacity data'!$G:$G,'capacity data'!$E:$E,"TPO",'capacity data'!$A:$A,B14)</f>
        <v>#DIV/0!</v>
      </c>
    </row>
    <row r="15" spans="1:25" x14ac:dyDescent="0.2">
      <c r="B15" s="141" t="s">
        <v>27</v>
      </c>
      <c r="C15" s="67" t="e">
        <f>SUM((SUMIFS('capacity data'!G:G,'capacity data'!A:A,B15,'capacity data'!E:E,"PO"))-SUMIFS('capacity data'!H:H,'capacity data'!A:A,B15,'capacity data'!E:E,"PO"))/SUMIFS('capacity data'!G:G,'capacity data'!A:A,B15,'capacity data'!E:E,"PO")</f>
        <v>#DIV/0!</v>
      </c>
      <c r="D15" s="67" t="e">
        <f>SUM((SUMIFS('capacity data'!G:G,'capacity data'!A:A,B15,'capacity data'!E:E,"PSO"))-SUMIFS('capacity data'!H:H,'capacity data'!A:A,B15,'capacity data'!E:E,"PSO"))/SUMIFS('capacity data'!G:G,'capacity data'!A:A,B15,'capacity data'!E:E,"PSO")</f>
        <v>#DIV/0!</v>
      </c>
      <c r="E15" s="67" t="e">
        <f>SUM((SUMIFS('capacity data'!G:G,'capacity data'!A:A,B15,'capacity data'!E:E,"TPO"))-SUMIFS('capacity data'!H:H,'capacity data'!A:A,B15,'capacity data'!E:E,"TPO"))/SUMIFS('capacity data'!G:G,'capacity data'!A:A,B15,'capacity data'!E:E,"TPO")</f>
        <v>#DIV/0!</v>
      </c>
      <c r="F15" s="147" t="e">
        <f>SUM((SUMIFS('capacity data'!G:G,'capacity data'!A:A,B15))-SUMIFS('capacity data'!H:H,'capacity data'!A:A,B15))/SUMIFS('capacity data'!G:G,'capacity data'!A:A,B15)</f>
        <v>#DIV/0!</v>
      </c>
      <c r="G15" s="148"/>
      <c r="H15" s="66" t="e">
        <f>SUMIFS('capacity data'!$L:$L,'capacity data'!$A:$A,B15,'capacity data'!$E:$E,"PSO")/SUM((SUMIFS('capacity data'!$G:$G,'capacity data'!$E:$E,"PSO",'capacity data'!$A:$A,B15))-SUMIFS('capacity data'!$H:$H,'capacity data'!$E:$E,"PSO",'capacity data'!$A:$A,B15))</f>
        <v>#DIV/0!</v>
      </c>
      <c r="I15" s="66" t="e">
        <f>SUMIFS('capacity data'!$L:$L,'capacity data'!$A:$A,B15,'capacity data'!$E:$E,"PSO")/SUMIFS('capacity data'!$G:$G,'capacity data'!$E:$E,"PSO",'capacity data'!$A:$A,B15)</f>
        <v>#DIV/0!</v>
      </c>
      <c r="J15" s="91"/>
      <c r="K15" s="66" t="e">
        <f>SUMIFS('capacity data'!$L:$L,'capacity data'!$A:$A,B15,'capacity data'!$E:$E,"TPO")/SUM((SUMIFS('capacity data'!$G:$G,'capacity data'!$E:$E,"TPO",'capacity data'!$A:$A,B15))-SUMIFS('capacity data'!$H:$H,'capacity data'!$E:$E,"TPO",'capacity data'!$A:$A,B15))</f>
        <v>#DIV/0!</v>
      </c>
      <c r="L15" s="66" t="e">
        <f>SUMIFS('capacity data'!$L:$L,'capacity data'!$A:$A,B15,'capacity data'!$E:$E,"TPO")/SUMIFS('capacity data'!$G:$G,'capacity data'!$E:$E,"TPO",'capacity data'!$A:$A,B15)</f>
        <v>#DIV/0!</v>
      </c>
    </row>
    <row r="16" spans="1:25" ht="17" thickBot="1" x14ac:dyDescent="0.25">
      <c r="B16" s="141" t="s">
        <v>28</v>
      </c>
      <c r="C16" s="67" t="e">
        <f>SUM((SUMIFS('capacity data'!G:G,'capacity data'!A:A,B16,'capacity data'!E:E,"PO"))-SUMIFS('capacity data'!H:H,'capacity data'!A:A,B16,'capacity data'!E:E,"PO"))/SUMIFS('capacity data'!G:G,'capacity data'!A:A,B16,'capacity data'!E:E,"PO")</f>
        <v>#DIV/0!</v>
      </c>
      <c r="D16" s="67" t="e">
        <f>SUM((SUMIFS('capacity data'!G:G,'capacity data'!A:A,B16,'capacity data'!E:E,"PSO"))-SUMIFS('capacity data'!H:H,'capacity data'!A:A,B16,'capacity data'!E:E,"PSO"))/SUMIFS('capacity data'!G:G,'capacity data'!A:A,B16,'capacity data'!E:E,"PSO")</f>
        <v>#DIV/0!</v>
      </c>
      <c r="E16" s="67" t="e">
        <f>SUM((SUMIFS('capacity data'!G:G,'capacity data'!A:A,B16,'capacity data'!E:E,"TPO"))-SUMIFS('capacity data'!H:H,'capacity data'!A:A,B16,'capacity data'!E:E,"TPO"))/SUMIFS('capacity data'!G:G,'capacity data'!A:A,B16,'capacity data'!E:E,"TPO")</f>
        <v>#DIV/0!</v>
      </c>
      <c r="F16" s="147" t="e">
        <f>SUM((SUMIFS('capacity data'!G:G,'capacity data'!A:A,B16))-SUMIFS('capacity data'!H:H,'capacity data'!A:A,B16))/SUMIFS('capacity data'!G:G,'capacity data'!A:A,B16)</f>
        <v>#DIV/0!</v>
      </c>
      <c r="G16" s="148"/>
      <c r="H16" s="66" t="e">
        <f>SUMIFS('capacity data'!$L:$L,'capacity data'!$A:$A,B16,'capacity data'!$E:$E,"PSO")/SUM((SUMIFS('capacity data'!$G:$G,'capacity data'!$E:$E,"PSO",'capacity data'!$A:$A,B16))-SUMIFS('capacity data'!$H:$H,'capacity data'!$E:$E,"PSO",'capacity data'!$A:$A,B16))</f>
        <v>#DIV/0!</v>
      </c>
      <c r="I16" s="66" t="e">
        <f>SUMIFS('capacity data'!$L:$L,'capacity data'!$A:$A,B16,'capacity data'!$E:$E,"PSO")/SUMIFS('capacity data'!$G:$G,'capacity data'!$E:$E,"PSO",'capacity data'!$A:$A,B16)</f>
        <v>#DIV/0!</v>
      </c>
      <c r="J16" s="91"/>
      <c r="K16" s="66" t="e">
        <f>SUMIFS('capacity data'!$L:$L,'capacity data'!$A:$A,B16,'capacity data'!$E:$E,"TPO")/SUM((SUMIFS('capacity data'!$G:$G,'capacity data'!$E:$E,"TPO",'capacity data'!$A:$A,B16))-SUMIFS('capacity data'!$H:$H,'capacity data'!$E:$E,"TPO",'capacity data'!$A:$A,B16))</f>
        <v>#DIV/0!</v>
      </c>
      <c r="L16" s="66" t="e">
        <f>SUMIFS('capacity data'!$L:$L,'capacity data'!$A:$A,B16,'capacity data'!$E:$E,"TPO")/SUMIFS('capacity data'!$G:$G,'capacity data'!$E:$E,"TPO",'capacity data'!$A:$A,B16)</f>
        <v>#DIV/0!</v>
      </c>
    </row>
    <row r="17" spans="2:12" ht="17" thickBot="1" x14ac:dyDescent="0.25">
      <c r="B17" s="150" t="s">
        <v>1317</v>
      </c>
      <c r="C17" s="151" t="e">
        <f>SUM((SUMIF('capacity data'!E:E,"PO",'capacity data'!G:G))-SUMIF('capacity data'!E:E,"PO",'capacity data'!H:H))/SUMIF('capacity data'!E:E,"PO",'capacity data'!G:G)</f>
        <v>#DIV/0!</v>
      </c>
      <c r="D17" s="151" t="e">
        <f>SUM((SUMIF('capacity data'!E:E,"PSO",'capacity data'!G:G))-SUMIF('capacity data'!E:E,"PSO",'capacity data'!H:H))/SUMIF('capacity data'!E:E,"PSO",'capacity data'!G:G)</f>
        <v>#DIV/0!</v>
      </c>
      <c r="E17" s="151" t="e">
        <f>SUM((SUMIF('capacity data'!E:E,"TPO",'capacity data'!G:G))-SUMIF('capacity data'!E:E,"TPO",'capacity data'!H:H))/SUMIF('capacity data'!E:E,"TPO",'capacity data'!G:G)</f>
        <v>#DIV/0!</v>
      </c>
      <c r="F17" s="151" t="e">
        <f>SUM((SUM('capacity data'!G:G)-SUM('capacity data'!H:H))/SUM('capacity data'!G:G))</f>
        <v>#DIV/0!</v>
      </c>
      <c r="G17" s="91"/>
      <c r="H17" s="152" t="e">
        <f>SUMIF('capacity data'!$E:$E,"PSO",'capacity data'!$L:$L)/SUM(SUMIF('capacity data'!$E:$E,"PSO",'capacity data'!$G:$G)-SUMIF('capacity data'!$E:$E,"PSO",'capacity data'!$H:$H))</f>
        <v>#DIV/0!</v>
      </c>
      <c r="I17" s="152" t="e">
        <f>SUMIF('capacity data'!$E:$E,"PSO",'capacity data'!$L:$L)/SUMIF('capacity data'!$E:$E,"PSO",'capacity data'!$G:$G)</f>
        <v>#DIV/0!</v>
      </c>
      <c r="J17" s="91"/>
      <c r="K17" s="152" t="e">
        <f>SUMIF('capacity data'!$E:$E,"TPO",'capacity data'!$L:$L)/SUM(SUMIF('capacity data'!$E:$E,"TPO",'capacity data'!$G:$G)-SUMIF('capacity data'!$E:$E,"TPO",'capacity data'!$H:$H))</f>
        <v>#DIV/0!</v>
      </c>
      <c r="L17" s="152" t="e">
        <f>SUMIF('capacity data'!$E:$E,"TPO",'capacity data'!$L:$L)/SUMIF('capacity data'!$E:$E,"TPO",'capacity data'!$G:$G)</f>
        <v>#DIV/0!</v>
      </c>
    </row>
    <row r="23" spans="2:12" x14ac:dyDescent="0.2">
      <c r="C23" s="50"/>
    </row>
  </sheetData>
  <mergeCells count="2">
    <mergeCell ref="A1:L1"/>
    <mergeCell ref="A2:L2"/>
  </mergeCells>
  <conditionalFormatting sqref="C5:F17">
    <cfRule type="cellIs" dxfId="1" priority="3" operator="lessThan">
      <formula>0.9</formula>
    </cfRule>
    <cfRule type="cellIs" dxfId="0" priority="4" operator="greaterThanOrEqual">
      <formula>1.1</formula>
    </cfRule>
  </conditionalFormatting>
  <printOptions horizontalCentered="1"/>
  <pageMargins left="0.23622047244094491" right="0.23622047244094491" top="0.74803149606299213" bottom="0.74803149606299213" header="0.31496062992125984" footer="0.31496062992125984"/>
  <pageSetup paperSize="9" scale="6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R44"/>
  <sheetViews>
    <sheetView showGridLines="0" showRowColHeaders="0" zoomScale="85" zoomScaleNormal="85" workbookViewId="0">
      <selection sqref="A1:L1"/>
    </sheetView>
  </sheetViews>
  <sheetFormatPr baseColWidth="10" defaultColWidth="8.83203125" defaultRowHeight="14" x14ac:dyDescent="0.15"/>
  <cols>
    <col min="1" max="1" width="5.5" customWidth="1"/>
    <col min="2" max="2" width="38.5" customWidth="1"/>
    <col min="3" max="3" width="34" customWidth="1"/>
    <col min="4" max="4" width="14.5" customWidth="1"/>
    <col min="5" max="5" width="15.5" customWidth="1"/>
    <col min="6" max="6" width="28.1640625" customWidth="1"/>
    <col min="7" max="7" width="37.5" customWidth="1"/>
    <col min="8" max="8" width="14.5" customWidth="1"/>
    <col min="10" max="10" width="23.5" customWidth="1"/>
    <col min="11" max="11" width="32.5" bestFit="1" customWidth="1"/>
    <col min="12" max="12" width="28" customWidth="1"/>
  </cols>
  <sheetData>
    <row r="1" spans="1:18" ht="46.5" customHeight="1" x14ac:dyDescent="0.15">
      <c r="A1" s="533" t="s">
        <v>1136</v>
      </c>
      <c r="B1" s="533"/>
      <c r="C1" s="533"/>
      <c r="D1" s="533"/>
      <c r="E1" s="533"/>
      <c r="F1" s="533"/>
      <c r="G1" s="533"/>
      <c r="H1" s="533"/>
      <c r="I1" s="533"/>
      <c r="J1" s="533"/>
      <c r="K1" s="533"/>
      <c r="L1" s="533"/>
      <c r="M1" s="261"/>
      <c r="N1" s="261"/>
      <c r="O1" s="261"/>
      <c r="P1" s="261"/>
      <c r="Q1" s="261"/>
      <c r="R1" s="261"/>
    </row>
    <row r="2" spans="1:18" ht="40.5" customHeight="1" x14ac:dyDescent="0.15">
      <c r="A2" s="426"/>
      <c r="B2" s="426"/>
      <c r="C2" s="426"/>
      <c r="D2" s="426"/>
      <c r="E2" s="426"/>
      <c r="F2" s="426"/>
      <c r="G2" s="426"/>
      <c r="H2" s="426"/>
      <c r="I2" s="426"/>
      <c r="J2" s="426"/>
      <c r="K2" s="426"/>
      <c r="L2" s="426"/>
      <c r="M2" s="267"/>
      <c r="N2" s="267"/>
      <c r="O2" s="267"/>
      <c r="P2" s="267"/>
      <c r="Q2" s="267"/>
      <c r="R2" s="267"/>
    </row>
    <row r="4" spans="1:18" ht="16" x14ac:dyDescent="0.2">
      <c r="B4" s="545" t="s">
        <v>1137</v>
      </c>
      <c r="C4" s="546"/>
      <c r="D4" s="546"/>
      <c r="E4" s="6"/>
      <c r="F4" s="547" t="s">
        <v>1138</v>
      </c>
      <c r="G4" s="547"/>
      <c r="H4" s="548"/>
    </row>
    <row r="5" spans="1:18" x14ac:dyDescent="0.15">
      <c r="B5" s="76" t="s">
        <v>1139</v>
      </c>
      <c r="C5" s="76" t="s">
        <v>862</v>
      </c>
      <c r="D5" s="219" t="s">
        <v>853</v>
      </c>
      <c r="E5" s="165"/>
      <c r="F5" s="76" t="s">
        <v>1139</v>
      </c>
      <c r="G5" s="76" t="s">
        <v>862</v>
      </c>
      <c r="H5" s="166" t="s">
        <v>854</v>
      </c>
    </row>
    <row r="6" spans="1:18" x14ac:dyDescent="0.15">
      <c r="B6" s="62" t="e">
        <f>INDEX('capacity data'!O:O,MATCH(C6,'capacity data'!P:P,0))</f>
        <v>#NUM!</v>
      </c>
      <c r="C6" s="62" t="e">
        <f>INDEX('capacity data'!P:P,MATCH(D6,'capacity data'!Q:Q,0))</f>
        <v>#NUM!</v>
      </c>
      <c r="D6" s="167" t="e">
        <f>LARGE('capacity data'!Q:Q,1)</f>
        <v>#NUM!</v>
      </c>
      <c r="E6" s="148"/>
      <c r="F6" s="62" t="e">
        <f>INDEX('capacity data'!O:O,MATCH(G6,'capacity data'!P:P,0))</f>
        <v>#NUM!</v>
      </c>
      <c r="G6" s="62" t="e">
        <f>INDEX('capacity data'!P:P,MATCH(H6,'capacity data'!R:R,0))</f>
        <v>#NUM!</v>
      </c>
      <c r="H6" s="167" t="e">
        <f>SMALL('capacity data'!R:R,1)</f>
        <v>#NUM!</v>
      </c>
    </row>
    <row r="7" spans="1:18" x14ac:dyDescent="0.15">
      <c r="B7" s="62" t="e">
        <f>INDEX('capacity data'!O:O,MATCH(C7,'capacity data'!P:P,0))</f>
        <v>#NUM!</v>
      </c>
      <c r="C7" s="62" t="e">
        <f>INDEX('capacity data'!P:P,MATCH(D7,'capacity data'!Q:Q,0))</f>
        <v>#NUM!</v>
      </c>
      <c r="D7" s="167" t="e">
        <f>LARGE('capacity data'!Q:Q,2)</f>
        <v>#NUM!</v>
      </c>
      <c r="E7" s="148"/>
      <c r="F7" s="62" t="e">
        <f>INDEX('capacity data'!O:O,MATCH(G7,'capacity data'!P:P,0))</f>
        <v>#NUM!</v>
      </c>
      <c r="G7" s="62" t="e">
        <f>INDEX('capacity data'!P:P,MATCH(H7,'capacity data'!R:R,0))</f>
        <v>#NUM!</v>
      </c>
      <c r="H7" s="167" t="e">
        <f>SMALL('capacity data'!R:R,2)</f>
        <v>#NUM!</v>
      </c>
    </row>
    <row r="8" spans="1:18" x14ac:dyDescent="0.15">
      <c r="B8" s="62" t="e">
        <f>INDEX('capacity data'!O:O,MATCH(C8,'capacity data'!P:P,0))</f>
        <v>#NUM!</v>
      </c>
      <c r="C8" s="62" t="e">
        <f>INDEX('capacity data'!P:P,MATCH(D8,'capacity data'!Q:Q,0))</f>
        <v>#NUM!</v>
      </c>
      <c r="D8" s="167" t="e">
        <f>LARGE('capacity data'!Q:Q,3)</f>
        <v>#NUM!</v>
      </c>
      <c r="E8" s="148"/>
      <c r="F8" s="62" t="e">
        <f>INDEX('capacity data'!O:O,MATCH(G8,'capacity data'!P:P,0))</f>
        <v>#NUM!</v>
      </c>
      <c r="G8" s="62" t="e">
        <f>INDEX('capacity data'!P:P,MATCH(H8,'capacity data'!R:R,0))</f>
        <v>#NUM!</v>
      </c>
      <c r="H8" s="167" t="e">
        <f>SMALL('capacity data'!R:R,3)</f>
        <v>#NUM!</v>
      </c>
    </row>
    <row r="9" spans="1:18" x14ac:dyDescent="0.15">
      <c r="B9" s="62" t="e">
        <f>INDEX('capacity data'!O:O,MATCH(C9,'capacity data'!P:P,0))</f>
        <v>#NUM!</v>
      </c>
      <c r="C9" s="62" t="e">
        <f>INDEX('capacity data'!P:P,MATCH(D9,'capacity data'!Q:Q,0))</f>
        <v>#NUM!</v>
      </c>
      <c r="D9" s="167" t="e">
        <f>LARGE('capacity data'!Q:Q,4)</f>
        <v>#NUM!</v>
      </c>
      <c r="E9" s="148"/>
      <c r="F9" s="62" t="e">
        <f>INDEX('capacity data'!O:O,MATCH(G9,'capacity data'!P:P,0))</f>
        <v>#NUM!</v>
      </c>
      <c r="G9" s="62" t="e">
        <f>INDEX('capacity data'!P:P,MATCH(H9,'capacity data'!R:R,0))</f>
        <v>#NUM!</v>
      </c>
      <c r="H9" s="167" t="e">
        <f>SMALL('capacity data'!R:R,4)</f>
        <v>#NUM!</v>
      </c>
    </row>
    <row r="10" spans="1:18" x14ac:dyDescent="0.15">
      <c r="B10" s="62" t="e">
        <f>INDEX('capacity data'!O:O,MATCH(C10,'capacity data'!P:P,0))</f>
        <v>#NUM!</v>
      </c>
      <c r="C10" s="62" t="e">
        <f>INDEX('capacity data'!P:P,MATCH(D10,'capacity data'!Q:Q,0))</f>
        <v>#NUM!</v>
      </c>
      <c r="D10" s="167" t="e">
        <f>LARGE('capacity data'!Q:Q,5)</f>
        <v>#NUM!</v>
      </c>
      <c r="E10" s="148"/>
      <c r="F10" s="62" t="e">
        <f>INDEX('capacity data'!O:O,MATCH(G10,'capacity data'!P:P,0))</f>
        <v>#NUM!</v>
      </c>
      <c r="G10" s="62" t="e">
        <f>INDEX('capacity data'!P:P,MATCH(H10,'capacity data'!R:R,0))</f>
        <v>#NUM!</v>
      </c>
      <c r="H10" s="167" t="e">
        <f>SMALL('capacity data'!R:R,5)</f>
        <v>#NUM!</v>
      </c>
    </row>
    <row r="11" spans="1:18" x14ac:dyDescent="0.15">
      <c r="B11" s="62" t="e">
        <f>INDEX('capacity data'!O:O,MATCH(C11,'capacity data'!P:P,0))</f>
        <v>#NUM!</v>
      </c>
      <c r="C11" s="62" t="e">
        <f>INDEX('capacity data'!P:P,MATCH(D11,'capacity data'!Q:Q,0))</f>
        <v>#NUM!</v>
      </c>
      <c r="D11" s="167" t="e">
        <f>LARGE('capacity data'!Q:Q,6)</f>
        <v>#NUM!</v>
      </c>
      <c r="E11" s="148"/>
      <c r="F11" s="62" t="e">
        <f>INDEX('capacity data'!O:O,MATCH(G11,'capacity data'!P:P,0))</f>
        <v>#NUM!</v>
      </c>
      <c r="G11" s="62" t="e">
        <f>INDEX('capacity data'!P:P,MATCH(H11,'capacity data'!R:R,0))</f>
        <v>#NUM!</v>
      </c>
      <c r="H11" s="167" t="e">
        <f>SMALL('capacity data'!R:R,6)</f>
        <v>#NUM!</v>
      </c>
    </row>
    <row r="12" spans="1:18" x14ac:dyDescent="0.15">
      <c r="B12" s="62" t="e">
        <f>INDEX('capacity data'!O:O,MATCH(C12,'capacity data'!P:P,0))</f>
        <v>#NUM!</v>
      </c>
      <c r="C12" s="62" t="e">
        <f>INDEX('capacity data'!P:P,MATCH(D12,'capacity data'!Q:Q,0))</f>
        <v>#NUM!</v>
      </c>
      <c r="D12" s="167" t="e">
        <f>LARGE('capacity data'!Q:Q,7)</f>
        <v>#NUM!</v>
      </c>
      <c r="E12" s="148"/>
      <c r="F12" s="62" t="e">
        <f>INDEX('capacity data'!O:O,MATCH(G12,'capacity data'!P:P,0))</f>
        <v>#NUM!</v>
      </c>
      <c r="G12" s="62" t="e">
        <f>INDEX('capacity data'!P:P,MATCH(H12,'capacity data'!R:R,0))</f>
        <v>#NUM!</v>
      </c>
      <c r="H12" s="167" t="e">
        <f>SMALL('capacity data'!R:R,7)</f>
        <v>#NUM!</v>
      </c>
    </row>
    <row r="13" spans="1:18" x14ac:dyDescent="0.15">
      <c r="B13" s="62" t="e">
        <f>INDEX('capacity data'!O:O,MATCH(C13,'capacity data'!P:P,0))</f>
        <v>#NUM!</v>
      </c>
      <c r="C13" s="62" t="e">
        <f>INDEX('capacity data'!P:P,MATCH(D13,'capacity data'!Q:Q,0))</f>
        <v>#NUM!</v>
      </c>
      <c r="D13" s="167" t="e">
        <f>LARGE('capacity data'!Q:Q,8)</f>
        <v>#NUM!</v>
      </c>
      <c r="E13" s="148"/>
      <c r="F13" s="62" t="e">
        <f>INDEX('capacity data'!O:O,MATCH(G13,'capacity data'!P:P,0))</f>
        <v>#NUM!</v>
      </c>
      <c r="G13" s="62" t="e">
        <f>INDEX('capacity data'!P:P,MATCH(H13,'capacity data'!R:R,0))</f>
        <v>#NUM!</v>
      </c>
      <c r="H13" s="167" t="e">
        <f>SMALL('capacity data'!R:R,8)</f>
        <v>#NUM!</v>
      </c>
    </row>
    <row r="14" spans="1:18" x14ac:dyDescent="0.15">
      <c r="B14" s="62" t="e">
        <f>INDEX('capacity data'!O:O,MATCH(C14,'capacity data'!P:P,0))</f>
        <v>#NUM!</v>
      </c>
      <c r="C14" s="62" t="e">
        <f>INDEX('capacity data'!P:P,MATCH(D14,'capacity data'!Q:Q,0))</f>
        <v>#NUM!</v>
      </c>
      <c r="D14" s="167" t="e">
        <f>LARGE('capacity data'!Q:Q,9)</f>
        <v>#NUM!</v>
      </c>
      <c r="E14" s="148"/>
      <c r="F14" s="62" t="e">
        <f>INDEX('capacity data'!O:O,MATCH(G14,'capacity data'!P:P,0))</f>
        <v>#NUM!</v>
      </c>
      <c r="G14" s="62" t="e">
        <f>INDEX('capacity data'!P:P,MATCH(H14,'capacity data'!R:R,0))</f>
        <v>#NUM!</v>
      </c>
      <c r="H14" s="167" t="e">
        <f>SMALL('capacity data'!R:R,9)</f>
        <v>#NUM!</v>
      </c>
    </row>
    <row r="15" spans="1:18" x14ac:dyDescent="0.15">
      <c r="B15" s="62" t="e">
        <f>INDEX('capacity data'!O:O,MATCH(C15,'capacity data'!P:P,0))</f>
        <v>#NUM!</v>
      </c>
      <c r="C15" s="62" t="e">
        <f>INDEX('capacity data'!P:P,MATCH(D15,'capacity data'!Q:Q,0))</f>
        <v>#NUM!</v>
      </c>
      <c r="D15" s="167" t="e">
        <f>LARGE('capacity data'!Q:Q,10)</f>
        <v>#NUM!</v>
      </c>
      <c r="E15" s="148"/>
      <c r="F15" s="62" t="e">
        <f>INDEX('capacity data'!O:O,MATCH(G15,'capacity data'!P:P,0))</f>
        <v>#NUM!</v>
      </c>
      <c r="G15" s="62" t="e">
        <f>INDEX('capacity data'!P:P,MATCH(H15,'capacity data'!R:R,0))</f>
        <v>#NUM!</v>
      </c>
      <c r="H15" s="167" t="e">
        <f>SMALL('capacity data'!R:R,10)</f>
        <v>#NUM!</v>
      </c>
    </row>
    <row r="17" spans="2:12" x14ac:dyDescent="0.15">
      <c r="B17" s="549" t="s">
        <v>1140</v>
      </c>
      <c r="C17" s="550"/>
      <c r="D17" s="551"/>
      <c r="F17" s="543" t="s">
        <v>1141</v>
      </c>
      <c r="G17" s="543"/>
      <c r="H17" s="543"/>
      <c r="J17" s="543" t="s">
        <v>1142</v>
      </c>
      <c r="K17" s="543"/>
      <c r="L17" s="543"/>
    </row>
    <row r="18" spans="2:12" ht="30.75" customHeight="1" x14ac:dyDescent="0.15">
      <c r="B18" s="552"/>
      <c r="C18" s="553"/>
      <c r="D18" s="554"/>
      <c r="F18" s="544"/>
      <c r="G18" s="544"/>
      <c r="H18" s="544"/>
      <c r="J18" s="544"/>
      <c r="K18" s="544"/>
      <c r="L18" s="544"/>
    </row>
    <row r="19" spans="2:12" ht="39" customHeight="1" x14ac:dyDescent="0.15">
      <c r="B19" s="76" t="s">
        <v>1139</v>
      </c>
      <c r="C19" s="76" t="s">
        <v>862</v>
      </c>
      <c r="D19" s="219" t="s">
        <v>1143</v>
      </c>
      <c r="F19" s="76" t="s">
        <v>1139</v>
      </c>
      <c r="G19" s="76" t="s">
        <v>862</v>
      </c>
      <c r="H19" s="76" t="s">
        <v>1144</v>
      </c>
      <c r="J19" s="76" t="s">
        <v>1139</v>
      </c>
      <c r="K19" s="76" t="s">
        <v>862</v>
      </c>
      <c r="L19" s="76" t="s">
        <v>1144</v>
      </c>
    </row>
    <row r="20" spans="2:12" x14ac:dyDescent="0.15">
      <c r="B20" s="62" t="e">
        <f>INDEX('capacity data'!O:O,MATCH(C20,'capacity data'!P:P,0))</f>
        <v>#NUM!</v>
      </c>
      <c r="C20" s="62" t="e">
        <f>INDEX('capacity data'!P:P,MATCH(D20,'capacity data'!S:S,0))</f>
        <v>#NUM!</v>
      </c>
      <c r="D20" s="167" t="e">
        <f>LARGE('capacity data'!S:S,1)</f>
        <v>#NUM!</v>
      </c>
      <c r="F20" s="62" t="e">
        <f>INDEX('capacity data'!O:O,MATCH(H20,'capacity data'!T:T,0))</f>
        <v>#NUM!</v>
      </c>
      <c r="G20" s="62" t="e">
        <f>INDEX('capacity data'!P:P,MATCH(H20,'capacity data'!T:T,0))</f>
        <v>#NUM!</v>
      </c>
      <c r="H20" s="66" t="e">
        <f>LARGE('capacity data'!$T:$T,1)</f>
        <v>#NUM!</v>
      </c>
      <c r="J20" s="62" t="e">
        <f>INDEX('capacity data'!O:O,MATCH(L20,'capacity data'!T:T,0))</f>
        <v>#NUM!</v>
      </c>
      <c r="K20" s="62" t="e">
        <f>INDEX('capacity data'!P:P,MATCH(L20,'capacity data'!T:T,0))</f>
        <v>#NUM!</v>
      </c>
      <c r="L20" s="66" t="e">
        <f>SMALL('capacity data'!$T:$T,1)</f>
        <v>#NUM!</v>
      </c>
    </row>
    <row r="21" spans="2:12" x14ac:dyDescent="0.15">
      <c r="B21" s="62" t="e">
        <f>INDEX('capacity data'!O:O,MATCH(C21,'capacity data'!P:P,0))</f>
        <v>#NUM!</v>
      </c>
      <c r="C21" s="62" t="e">
        <f>INDEX('capacity data'!P:P,MATCH(D21,'capacity data'!S:S,0))</f>
        <v>#NUM!</v>
      </c>
      <c r="D21" s="167" t="e">
        <f>LARGE('capacity data'!S:S,2)</f>
        <v>#NUM!</v>
      </c>
      <c r="F21" s="62" t="e">
        <f>INDEX('capacity data'!O:O,MATCH(H21,'capacity data'!T:T,0))</f>
        <v>#NUM!</v>
      </c>
      <c r="G21" s="62" t="e">
        <f>INDEX('capacity data'!P:P,MATCH(H21,'capacity data'!T:T,0))</f>
        <v>#NUM!</v>
      </c>
      <c r="H21" s="66" t="e">
        <f>LARGE('capacity data'!$T:$T,2)</f>
        <v>#NUM!</v>
      </c>
      <c r="J21" s="62" t="e">
        <f>INDEX('capacity data'!O:O,MATCH(L21,'capacity data'!T:T,0))</f>
        <v>#NUM!</v>
      </c>
      <c r="K21" s="62" t="e">
        <f>INDEX('capacity data'!P:P,MATCH(L21,'capacity data'!T:T,0))</f>
        <v>#NUM!</v>
      </c>
      <c r="L21" s="66" t="e">
        <f>SMALL('capacity data'!$T:$T,2)</f>
        <v>#NUM!</v>
      </c>
    </row>
    <row r="22" spans="2:12" x14ac:dyDescent="0.15">
      <c r="B22" s="62" t="e">
        <f>INDEX('capacity data'!O:O,MATCH(C22,'capacity data'!P:P,0))</f>
        <v>#NUM!</v>
      </c>
      <c r="C22" s="62" t="e">
        <f>INDEX('capacity data'!P:P,MATCH(D22,'capacity data'!S:S,0))</f>
        <v>#NUM!</v>
      </c>
      <c r="D22" s="167" t="e">
        <f>LARGE('capacity data'!S:S,3)</f>
        <v>#NUM!</v>
      </c>
      <c r="F22" s="62" t="e">
        <f>INDEX('capacity data'!O:O,MATCH(H22,'capacity data'!T:T,0))</f>
        <v>#NUM!</v>
      </c>
      <c r="G22" s="62" t="e">
        <f>INDEX('capacity data'!P:P,MATCH(H22,'capacity data'!T:T,0))</f>
        <v>#NUM!</v>
      </c>
      <c r="H22" s="66" t="e">
        <f>LARGE('capacity data'!$T:$T,3)</f>
        <v>#NUM!</v>
      </c>
      <c r="J22" s="62" t="e">
        <f>INDEX('capacity data'!O:O,MATCH(L22,'capacity data'!T:T,0))</f>
        <v>#NUM!</v>
      </c>
      <c r="K22" s="62" t="e">
        <f>INDEX('capacity data'!P:P,MATCH(L22,'capacity data'!T:T,0))</f>
        <v>#NUM!</v>
      </c>
      <c r="L22" s="66" t="e">
        <f>SMALL('capacity data'!$T:$T,3)</f>
        <v>#NUM!</v>
      </c>
    </row>
    <row r="23" spans="2:12" x14ac:dyDescent="0.15">
      <c r="B23" s="62" t="e">
        <f>INDEX('capacity data'!O:O,MATCH(C23,'capacity data'!P:P,0))</f>
        <v>#NUM!</v>
      </c>
      <c r="C23" s="62" t="e">
        <f>INDEX('capacity data'!P:P,MATCH(D23,'capacity data'!S:S,0))</f>
        <v>#NUM!</v>
      </c>
      <c r="D23" s="167" t="e">
        <f>LARGE('capacity data'!S:S,4)</f>
        <v>#NUM!</v>
      </c>
      <c r="F23" s="62" t="e">
        <f>INDEX('capacity data'!O:O,MATCH(H23,'capacity data'!T:T,0))</f>
        <v>#NUM!</v>
      </c>
      <c r="G23" s="62" t="e">
        <f>INDEX('capacity data'!P:P,MATCH(H23,'capacity data'!T:T,0))</f>
        <v>#NUM!</v>
      </c>
      <c r="H23" s="66" t="e">
        <f>LARGE('capacity data'!$T:$T,4)</f>
        <v>#NUM!</v>
      </c>
      <c r="J23" s="62" t="e">
        <f>INDEX('capacity data'!O:O,MATCH(L23,'capacity data'!T:T,0))</f>
        <v>#NUM!</v>
      </c>
      <c r="K23" s="62" t="e">
        <f>INDEX('capacity data'!P:P,MATCH(L23,'capacity data'!T:T,0))</f>
        <v>#NUM!</v>
      </c>
      <c r="L23" s="66" t="e">
        <f>SMALL('capacity data'!$T:$T,4)</f>
        <v>#NUM!</v>
      </c>
    </row>
    <row r="24" spans="2:12" x14ac:dyDescent="0.15">
      <c r="B24" s="62" t="e">
        <f>INDEX('capacity data'!O:O,MATCH(C24,'capacity data'!P:P,0))</f>
        <v>#NUM!</v>
      </c>
      <c r="C24" s="62" t="e">
        <f>INDEX('capacity data'!P:P,MATCH(D24,'capacity data'!S:S,0))</f>
        <v>#NUM!</v>
      </c>
      <c r="D24" s="167" t="e">
        <f>LARGE('capacity data'!S:S,5)</f>
        <v>#NUM!</v>
      </c>
      <c r="F24" s="62" t="e">
        <f>INDEX('capacity data'!O:O,MATCH(H24,'capacity data'!T:T,0))</f>
        <v>#NUM!</v>
      </c>
      <c r="G24" s="62" t="e">
        <f>INDEX('capacity data'!P:P,MATCH(H24,'capacity data'!T:T,0))</f>
        <v>#NUM!</v>
      </c>
      <c r="H24" s="66" t="e">
        <f>LARGE('capacity data'!$T:$T,5)</f>
        <v>#NUM!</v>
      </c>
      <c r="J24" s="62" t="e">
        <f>INDEX('capacity data'!O:O,MATCH(L24,'capacity data'!T:T,0))</f>
        <v>#NUM!</v>
      </c>
      <c r="K24" s="62" t="e">
        <f>INDEX('capacity data'!P:P,MATCH(L24,'capacity data'!T:T,0))</f>
        <v>#NUM!</v>
      </c>
      <c r="L24" s="66" t="e">
        <f>SMALL('capacity data'!$T:$T,5)</f>
        <v>#NUM!</v>
      </c>
    </row>
    <row r="25" spans="2:12" x14ac:dyDescent="0.15">
      <c r="B25" s="62" t="e">
        <f>INDEX('capacity data'!O:O,MATCH(C25,'capacity data'!P:P,0))</f>
        <v>#NUM!</v>
      </c>
      <c r="C25" s="62" t="e">
        <f>INDEX('capacity data'!P:P,MATCH(D25,'capacity data'!S:S,0))</f>
        <v>#NUM!</v>
      </c>
      <c r="D25" s="167" t="e">
        <f>LARGE('capacity data'!S:S,6)</f>
        <v>#NUM!</v>
      </c>
      <c r="F25" s="62" t="e">
        <f>INDEX('capacity data'!O:O,MATCH(H25,'capacity data'!T:T,0))</f>
        <v>#NUM!</v>
      </c>
      <c r="G25" s="62" t="e">
        <f>INDEX('capacity data'!P:P,MATCH(H25,'capacity data'!T:T,0))</f>
        <v>#NUM!</v>
      </c>
      <c r="H25" s="66" t="e">
        <f>LARGE('capacity data'!$T:$T,6)</f>
        <v>#NUM!</v>
      </c>
      <c r="J25" s="62" t="e">
        <f>INDEX('capacity data'!O:O,MATCH(L25,'capacity data'!T:T,0))</f>
        <v>#NUM!</v>
      </c>
      <c r="K25" s="62" t="e">
        <f>INDEX('capacity data'!P:P,MATCH(L25,'capacity data'!T:T,0))</f>
        <v>#NUM!</v>
      </c>
      <c r="L25" s="66" t="e">
        <f>SMALL('capacity data'!$T:$T,6)</f>
        <v>#NUM!</v>
      </c>
    </row>
    <row r="26" spans="2:12" x14ac:dyDescent="0.15">
      <c r="B26" s="62" t="e">
        <f>INDEX('capacity data'!O:O,MATCH(C26,'capacity data'!P:P,0))</f>
        <v>#NUM!</v>
      </c>
      <c r="C26" s="62" t="e">
        <f>INDEX('capacity data'!P:P,MATCH(D26,'capacity data'!S:S,0))</f>
        <v>#NUM!</v>
      </c>
      <c r="D26" s="167" t="e">
        <f>LARGE('capacity data'!S:S,7)</f>
        <v>#NUM!</v>
      </c>
      <c r="F26" s="62" t="e">
        <f>INDEX('capacity data'!O:O,MATCH(H26,'capacity data'!T:T,0))</f>
        <v>#NUM!</v>
      </c>
      <c r="G26" s="62" t="e">
        <f>INDEX('capacity data'!P:P,MATCH(H26,'capacity data'!T:T,0))</f>
        <v>#NUM!</v>
      </c>
      <c r="H26" s="66" t="e">
        <f>LARGE('capacity data'!$T:$T,7)</f>
        <v>#NUM!</v>
      </c>
      <c r="J26" s="62" t="e">
        <f>INDEX('capacity data'!O:O,MATCH(L26,'capacity data'!T:T,0))</f>
        <v>#NUM!</v>
      </c>
      <c r="K26" s="62" t="e">
        <f>INDEX('capacity data'!P:P,MATCH(L26,'capacity data'!T:T,0))</f>
        <v>#NUM!</v>
      </c>
      <c r="L26" s="66" t="e">
        <f>SMALL('capacity data'!$T:$T,7)</f>
        <v>#NUM!</v>
      </c>
    </row>
    <row r="27" spans="2:12" x14ac:dyDescent="0.15">
      <c r="B27" s="62" t="e">
        <f>INDEX('capacity data'!O:O,MATCH(C27,'capacity data'!P:P,0))</f>
        <v>#NUM!</v>
      </c>
      <c r="C27" s="62" t="e">
        <f>INDEX('capacity data'!P:P,MATCH(D27,'capacity data'!S:S,0))</f>
        <v>#NUM!</v>
      </c>
      <c r="D27" s="167" t="e">
        <f>LARGE('capacity data'!S:S,8)</f>
        <v>#NUM!</v>
      </c>
      <c r="F27" s="62" t="e">
        <f>INDEX('capacity data'!O:O,MATCH(H27,'capacity data'!T:T,0))</f>
        <v>#NUM!</v>
      </c>
      <c r="G27" s="62" t="e">
        <f>INDEX('capacity data'!P:P,MATCH(H27,'capacity data'!T:T,0))</f>
        <v>#NUM!</v>
      </c>
      <c r="H27" s="66" t="e">
        <f>LARGE('capacity data'!$T:$T,8)</f>
        <v>#NUM!</v>
      </c>
      <c r="J27" s="62" t="e">
        <f>INDEX('capacity data'!O:O,MATCH(L27,'capacity data'!T:T,0))</f>
        <v>#NUM!</v>
      </c>
      <c r="K27" s="62" t="e">
        <f>INDEX('capacity data'!P:P,MATCH(L27,'capacity data'!T:T,0))</f>
        <v>#NUM!</v>
      </c>
      <c r="L27" s="66" t="e">
        <f>SMALL('capacity data'!$T:$T,8)</f>
        <v>#NUM!</v>
      </c>
    </row>
    <row r="28" spans="2:12" x14ac:dyDescent="0.15">
      <c r="B28" s="62" t="e">
        <f>INDEX('capacity data'!O:O,MATCH(C28,'capacity data'!P:P,0))</f>
        <v>#NUM!</v>
      </c>
      <c r="C28" s="62" t="e">
        <f>INDEX('capacity data'!P:P,MATCH(D28,'capacity data'!S:S,0))</f>
        <v>#NUM!</v>
      </c>
      <c r="D28" s="167" t="e">
        <f>LARGE('capacity data'!S:S,9)</f>
        <v>#NUM!</v>
      </c>
      <c r="F28" s="62" t="e">
        <f>INDEX('capacity data'!O:O,MATCH(H28,'capacity data'!T:T,0))</f>
        <v>#NUM!</v>
      </c>
      <c r="G28" s="62" t="e">
        <f>INDEX('capacity data'!P:P,MATCH(H28,'capacity data'!T:T,0))</f>
        <v>#NUM!</v>
      </c>
      <c r="H28" s="66" t="e">
        <f>LARGE('capacity data'!$T:$T,9)</f>
        <v>#NUM!</v>
      </c>
      <c r="J28" s="62" t="e">
        <f>INDEX('capacity data'!O:O,MATCH(L28,'capacity data'!T:T,0))</f>
        <v>#NUM!</v>
      </c>
      <c r="K28" s="62" t="e">
        <f>INDEX('capacity data'!P:P,MATCH(L28,'capacity data'!T:T,0))</f>
        <v>#NUM!</v>
      </c>
      <c r="L28" s="66" t="e">
        <f>SMALL('capacity data'!$T:$T,9)</f>
        <v>#NUM!</v>
      </c>
    </row>
    <row r="29" spans="2:12" x14ac:dyDescent="0.15">
      <c r="B29" s="62" t="e">
        <f>INDEX('capacity data'!O:O,MATCH(C29,'capacity data'!P:P,0))</f>
        <v>#NUM!</v>
      </c>
      <c r="C29" s="62" t="e">
        <f>INDEX('capacity data'!P:P,MATCH(D29,'capacity data'!S:S,0))</f>
        <v>#NUM!</v>
      </c>
      <c r="D29" s="167" t="e">
        <f>LARGE('capacity data'!S:S,10)</f>
        <v>#NUM!</v>
      </c>
      <c r="F29" s="62" t="e">
        <f>INDEX('capacity data'!O:O,MATCH(H29,'capacity data'!T:T,0))</f>
        <v>#NUM!</v>
      </c>
      <c r="G29" s="62" t="e">
        <f>INDEX('capacity data'!P:P,MATCH(H29,'capacity data'!T:T,0))</f>
        <v>#NUM!</v>
      </c>
      <c r="H29" s="66" t="e">
        <f>LARGE('capacity data'!$T:$T,10)</f>
        <v>#NUM!</v>
      </c>
      <c r="J29" s="62" t="e">
        <f>INDEX('capacity data'!O:O,MATCH(L29,'capacity data'!T:T,0))</f>
        <v>#NUM!</v>
      </c>
      <c r="K29" s="62" t="e">
        <f>INDEX('capacity data'!P:P,MATCH(L29,'capacity data'!T:T,0))</f>
        <v>#NUM!</v>
      </c>
      <c r="L29" s="66" t="e">
        <f>SMALL('capacity data'!$T:$T,10)</f>
        <v>#NUM!</v>
      </c>
    </row>
    <row r="32" spans="2:12" x14ac:dyDescent="0.15">
      <c r="B32" s="543" t="s">
        <v>1145</v>
      </c>
      <c r="C32" s="543"/>
      <c r="D32" s="543"/>
      <c r="F32" s="543" t="s">
        <v>1146</v>
      </c>
      <c r="G32" s="543"/>
      <c r="H32" s="543"/>
    </row>
    <row r="33" spans="2:8" ht="30" customHeight="1" x14ac:dyDescent="0.15">
      <c r="B33" s="544"/>
      <c r="C33" s="544"/>
      <c r="D33" s="544"/>
      <c r="F33" s="544"/>
      <c r="G33" s="544"/>
      <c r="H33" s="544"/>
    </row>
    <row r="34" spans="2:8" x14ac:dyDescent="0.15">
      <c r="B34" s="76" t="s">
        <v>1139</v>
      </c>
      <c r="C34" s="76" t="s">
        <v>862</v>
      </c>
      <c r="D34" s="76" t="s">
        <v>1144</v>
      </c>
      <c r="F34" s="76" t="s">
        <v>1139</v>
      </c>
      <c r="G34" s="76" t="s">
        <v>862</v>
      </c>
      <c r="H34" s="76" t="s">
        <v>1144</v>
      </c>
    </row>
    <row r="35" spans="2:8" x14ac:dyDescent="0.15">
      <c r="B35" s="62" t="e">
        <f>INDEX('capacity data'!O:O,MATCH(D35,'capacity data'!U:U,0))</f>
        <v>#NUM!</v>
      </c>
      <c r="C35" s="62" t="e">
        <f>INDEX('capacity data'!$P:$P,MATCH(D35,'capacity data'!U:U,0))</f>
        <v>#NUM!</v>
      </c>
      <c r="D35" s="66" t="e">
        <f>LARGE('capacity data'!$U:$U,1)</f>
        <v>#NUM!</v>
      </c>
      <c r="F35" s="62" t="e">
        <f>INDEX('capacity data'!$O:$O,MATCH(H35,'capacity data'!$U:$U,0))</f>
        <v>#NUM!</v>
      </c>
      <c r="G35" s="62" t="e">
        <f>INDEX('capacity data'!$P:$P,MATCH(H35,'capacity data'!$U:$U,0))</f>
        <v>#NUM!</v>
      </c>
      <c r="H35" s="66" t="e">
        <f>SMALL('capacity data'!$U:$U,1)</f>
        <v>#NUM!</v>
      </c>
    </row>
    <row r="36" spans="2:8" x14ac:dyDescent="0.15">
      <c r="B36" s="62" t="e">
        <f>INDEX('capacity data'!O:O,MATCH(D36,'capacity data'!U:U,0))</f>
        <v>#NUM!</v>
      </c>
      <c r="C36" s="62" t="e">
        <f>INDEX('capacity data'!$P:$P,MATCH(D36,'capacity data'!U:U,0))</f>
        <v>#NUM!</v>
      </c>
      <c r="D36" s="66" t="e">
        <f>LARGE('capacity data'!$U:$U,2)</f>
        <v>#NUM!</v>
      </c>
      <c r="F36" s="62" t="e">
        <f>INDEX('capacity data'!$O:$O,MATCH(H36,'capacity data'!$U:$U,0))</f>
        <v>#NUM!</v>
      </c>
      <c r="G36" s="62" t="e">
        <f>INDEX('capacity data'!$P:$P,MATCH(H36,'capacity data'!$U:$U,0))</f>
        <v>#NUM!</v>
      </c>
      <c r="H36" s="66" t="e">
        <f>SMALL('capacity data'!$U:$U,2)</f>
        <v>#NUM!</v>
      </c>
    </row>
    <row r="37" spans="2:8" x14ac:dyDescent="0.15">
      <c r="B37" s="62" t="e">
        <f>INDEX('capacity data'!O:O,MATCH(D37,'capacity data'!U:U,0))</f>
        <v>#NUM!</v>
      </c>
      <c r="C37" s="62" t="e">
        <f>INDEX('capacity data'!$P:$P,MATCH(D37,'capacity data'!U:U,0))</f>
        <v>#NUM!</v>
      </c>
      <c r="D37" s="66" t="e">
        <f>LARGE('capacity data'!$U:$U,3)</f>
        <v>#NUM!</v>
      </c>
      <c r="F37" s="62" t="e">
        <f>INDEX('capacity data'!$O:$O,MATCH(H37,'capacity data'!$U:$U,0))</f>
        <v>#NUM!</v>
      </c>
      <c r="G37" s="62" t="e">
        <f>INDEX('capacity data'!$P:$P,MATCH(H37,'capacity data'!$U:$U,0))</f>
        <v>#NUM!</v>
      </c>
      <c r="H37" s="66" t="e">
        <f>SMALL('capacity data'!$U:$U,3)</f>
        <v>#NUM!</v>
      </c>
    </row>
    <row r="38" spans="2:8" x14ac:dyDescent="0.15">
      <c r="B38" s="62" t="e">
        <f>INDEX('capacity data'!O:O,MATCH(D38,'capacity data'!U:U,0))</f>
        <v>#NUM!</v>
      </c>
      <c r="C38" s="62" t="e">
        <f>INDEX('capacity data'!$P:$P,MATCH(D38,'capacity data'!U:U,0))</f>
        <v>#NUM!</v>
      </c>
      <c r="D38" s="66" t="e">
        <f>LARGE('capacity data'!$U:$U,4)</f>
        <v>#NUM!</v>
      </c>
      <c r="F38" s="62" t="e">
        <f>INDEX('capacity data'!$O:$O,MATCH(H38,'capacity data'!$U:$U,0))</f>
        <v>#NUM!</v>
      </c>
      <c r="G38" s="62" t="e">
        <f>INDEX('capacity data'!$P:$P,MATCH(H38,'capacity data'!$U:$U,0))</f>
        <v>#NUM!</v>
      </c>
      <c r="H38" s="66" t="e">
        <f>SMALL('capacity data'!$U:$U,4)</f>
        <v>#NUM!</v>
      </c>
    </row>
    <row r="39" spans="2:8" x14ac:dyDescent="0.15">
      <c r="B39" s="62" t="e">
        <f>INDEX('capacity data'!O:O,MATCH(D39,'capacity data'!U:U,0))</f>
        <v>#NUM!</v>
      </c>
      <c r="C39" s="62" t="e">
        <f>INDEX('capacity data'!$P:$P,MATCH(D39,'capacity data'!U:U,0))</f>
        <v>#NUM!</v>
      </c>
      <c r="D39" s="66" t="e">
        <f>LARGE('capacity data'!$U:$U,5)</f>
        <v>#NUM!</v>
      </c>
      <c r="F39" s="62" t="e">
        <f>INDEX('capacity data'!$O:$O,MATCH(H39,'capacity data'!$U:$U,0))</f>
        <v>#NUM!</v>
      </c>
      <c r="G39" s="62" t="e">
        <f>INDEX('capacity data'!$P:$P,MATCH(H39,'capacity data'!$U:$U,0))</f>
        <v>#NUM!</v>
      </c>
      <c r="H39" s="66" t="e">
        <f>SMALL('capacity data'!$U:$U,5)</f>
        <v>#NUM!</v>
      </c>
    </row>
    <row r="40" spans="2:8" x14ac:dyDescent="0.15">
      <c r="B40" s="62" t="e">
        <f>INDEX('capacity data'!O:O,MATCH(D40,'capacity data'!U:U,0))</f>
        <v>#NUM!</v>
      </c>
      <c r="C40" s="62" t="e">
        <f>INDEX('capacity data'!$P:$P,MATCH(D40,'capacity data'!U:U,0))</f>
        <v>#NUM!</v>
      </c>
      <c r="D40" s="66" t="e">
        <f>LARGE('capacity data'!$U:$U,6)</f>
        <v>#NUM!</v>
      </c>
      <c r="F40" s="62" t="e">
        <f>INDEX('capacity data'!$O:$O,MATCH(H40,'capacity data'!$U:$U,0))</f>
        <v>#NUM!</v>
      </c>
      <c r="G40" s="62" t="e">
        <f>INDEX('capacity data'!$P:$P,MATCH(H40,'capacity data'!$U:$U,0))</f>
        <v>#NUM!</v>
      </c>
      <c r="H40" s="66" t="e">
        <f>SMALL('capacity data'!$U:$U,6)</f>
        <v>#NUM!</v>
      </c>
    </row>
    <row r="41" spans="2:8" x14ac:dyDescent="0.15">
      <c r="B41" s="62" t="e">
        <f>INDEX('capacity data'!O:O,MATCH(D41,'capacity data'!U:U,0))</f>
        <v>#NUM!</v>
      </c>
      <c r="C41" s="62" t="e">
        <f>INDEX('capacity data'!$P:$P,MATCH(D41,'capacity data'!U:U,0))</f>
        <v>#NUM!</v>
      </c>
      <c r="D41" s="66" t="e">
        <f>LARGE('capacity data'!$U:$U,7)</f>
        <v>#NUM!</v>
      </c>
      <c r="F41" s="62" t="e">
        <f>INDEX('capacity data'!$O:$O,MATCH(H41,'capacity data'!$U:$U,0))</f>
        <v>#NUM!</v>
      </c>
      <c r="G41" s="62" t="e">
        <f>INDEX('capacity data'!$P:$P,MATCH(H41,'capacity data'!$U:$U,0))</f>
        <v>#NUM!</v>
      </c>
      <c r="H41" s="66" t="e">
        <f>SMALL('capacity data'!$U:$U,7)</f>
        <v>#NUM!</v>
      </c>
    </row>
    <row r="42" spans="2:8" x14ac:dyDescent="0.15">
      <c r="B42" s="62" t="e">
        <f>INDEX('capacity data'!O:O,MATCH(D42,'capacity data'!U:U,0))</f>
        <v>#NUM!</v>
      </c>
      <c r="C42" s="62" t="e">
        <f>INDEX('capacity data'!$P:$P,MATCH(D42,'capacity data'!U:U,0))</f>
        <v>#NUM!</v>
      </c>
      <c r="D42" s="66" t="e">
        <f>LARGE('capacity data'!$U:$U,8)</f>
        <v>#NUM!</v>
      </c>
      <c r="F42" s="62" t="e">
        <f>INDEX('capacity data'!$O:$O,MATCH(H42,'capacity data'!$U:$U,0))</f>
        <v>#NUM!</v>
      </c>
      <c r="G42" s="62" t="e">
        <f>INDEX('capacity data'!$P:$P,MATCH(H42,'capacity data'!$U:$U,0))</f>
        <v>#NUM!</v>
      </c>
      <c r="H42" s="66" t="e">
        <f>SMALL('capacity data'!$U:$U,8)</f>
        <v>#NUM!</v>
      </c>
    </row>
    <row r="43" spans="2:8" x14ac:dyDescent="0.15">
      <c r="B43" s="62" t="e">
        <f>INDEX('capacity data'!O:O,MATCH(D43,'capacity data'!U:U,0))</f>
        <v>#NUM!</v>
      </c>
      <c r="C43" s="62" t="e">
        <f>INDEX('capacity data'!$P:$P,MATCH(D43,'capacity data'!U:U,0))</f>
        <v>#NUM!</v>
      </c>
      <c r="D43" s="66" t="e">
        <f>LARGE('capacity data'!$U:$U,9)</f>
        <v>#NUM!</v>
      </c>
      <c r="F43" s="62" t="e">
        <f>INDEX('capacity data'!$O:$O,MATCH(H43,'capacity data'!$U:$U,0))</f>
        <v>#NUM!</v>
      </c>
      <c r="G43" s="62" t="e">
        <f>INDEX('capacity data'!$P:$P,MATCH(H43,'capacity data'!$U:$U,0))</f>
        <v>#NUM!</v>
      </c>
      <c r="H43" s="66" t="e">
        <f>SMALL('capacity data'!$U:$U,9)</f>
        <v>#NUM!</v>
      </c>
    </row>
    <row r="44" spans="2:8" x14ac:dyDescent="0.15">
      <c r="B44" s="62" t="e">
        <f>INDEX('capacity data'!O:O,MATCH(D44,'capacity data'!U:U,0))</f>
        <v>#NUM!</v>
      </c>
      <c r="C44" s="62" t="e">
        <f>INDEX('capacity data'!$P:$P,MATCH(D44,'capacity data'!U:U,0))</f>
        <v>#NUM!</v>
      </c>
      <c r="D44" s="66" t="e">
        <f>LARGE('capacity data'!$U:$U,10)</f>
        <v>#NUM!</v>
      </c>
      <c r="F44" s="62" t="e">
        <f>INDEX('capacity data'!$O:$O,MATCH(H44,'capacity data'!$U:$U,0))</f>
        <v>#NUM!</v>
      </c>
      <c r="G44" s="62" t="e">
        <f>INDEX('capacity data'!$P:$P,MATCH(H44,'capacity data'!$U:$U,0))</f>
        <v>#NUM!</v>
      </c>
      <c r="H44" s="66" t="e">
        <f>SMALL('capacity data'!$U:$U,10)</f>
        <v>#NUM!</v>
      </c>
    </row>
  </sheetData>
  <mergeCells count="9">
    <mergeCell ref="J17:L18"/>
    <mergeCell ref="A1:L1"/>
    <mergeCell ref="A2:L2"/>
    <mergeCell ref="B32:D33"/>
    <mergeCell ref="F32:H33"/>
    <mergeCell ref="B4:D4"/>
    <mergeCell ref="F4:H4"/>
    <mergeCell ref="B17:D18"/>
    <mergeCell ref="F17:H18"/>
  </mergeCells>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5"/>
  <dimension ref="A1:Q35"/>
  <sheetViews>
    <sheetView showGridLines="0" zoomScale="85" zoomScaleNormal="85" workbookViewId="0">
      <selection sqref="A1:L1"/>
    </sheetView>
  </sheetViews>
  <sheetFormatPr baseColWidth="10" defaultColWidth="8.83203125" defaultRowHeight="14" x14ac:dyDescent="0.15"/>
  <cols>
    <col min="1" max="1" width="1.5" customWidth="1"/>
    <col min="2" max="2" width="29.5" bestFit="1" customWidth="1"/>
    <col min="3" max="3" width="13.83203125" customWidth="1"/>
    <col min="4" max="4" width="17.5" customWidth="1"/>
    <col min="5" max="5" width="19.33203125" customWidth="1"/>
    <col min="6" max="6" width="16" customWidth="1"/>
    <col min="7" max="7" width="13.83203125" customWidth="1"/>
    <col min="8" max="8" width="35.1640625" customWidth="1"/>
    <col min="9" max="9" width="14.33203125" customWidth="1"/>
    <col min="10" max="10" width="19.5" customWidth="1"/>
    <col min="11" max="11" width="18.1640625" customWidth="1"/>
    <col min="12" max="12" width="16.83203125" customWidth="1"/>
    <col min="13" max="13" width="14" customWidth="1"/>
    <col min="14" max="14" width="11.83203125" customWidth="1"/>
    <col min="15" max="15" width="35.1640625" bestFit="1" customWidth="1"/>
  </cols>
  <sheetData>
    <row r="1" spans="1:17" ht="47.25" customHeight="1" x14ac:dyDescent="0.15">
      <c r="A1" s="533" t="s">
        <v>1147</v>
      </c>
      <c r="B1" s="533"/>
      <c r="C1" s="533"/>
      <c r="D1" s="533"/>
      <c r="E1" s="533"/>
      <c r="F1" s="533"/>
      <c r="G1" s="533"/>
      <c r="H1" s="533"/>
      <c r="I1" s="533"/>
      <c r="J1" s="533"/>
      <c r="K1" s="533"/>
      <c r="L1" s="533"/>
      <c r="M1" s="261"/>
      <c r="N1" s="261"/>
      <c r="O1" s="261"/>
      <c r="P1" s="261"/>
      <c r="Q1" s="261"/>
    </row>
    <row r="2" spans="1:17" ht="41.25" customHeight="1" x14ac:dyDescent="0.15">
      <c r="A2" s="426"/>
      <c r="B2" s="426"/>
      <c r="C2" s="426"/>
      <c r="D2" s="426"/>
      <c r="E2" s="426"/>
      <c r="F2" s="426"/>
      <c r="G2" s="426"/>
      <c r="H2" s="426"/>
      <c r="I2" s="426"/>
      <c r="J2" s="426"/>
      <c r="K2" s="426"/>
      <c r="L2" s="426"/>
      <c r="M2" s="267"/>
      <c r="N2" s="267"/>
      <c r="O2" s="267"/>
      <c r="P2" s="267"/>
      <c r="Q2" s="267"/>
    </row>
    <row r="3" spans="1:17" ht="30" customHeight="1" x14ac:dyDescent="0.15">
      <c r="B3" s="19"/>
      <c r="C3" s="19"/>
      <c r="D3" s="19"/>
      <c r="E3" s="19"/>
      <c r="F3" s="19"/>
      <c r="G3" s="19"/>
      <c r="H3" s="19"/>
      <c r="I3" s="19"/>
      <c r="J3" s="19"/>
      <c r="K3" s="19"/>
      <c r="L3" s="19"/>
      <c r="M3" s="19"/>
      <c r="N3" s="19"/>
      <c r="O3" s="19"/>
    </row>
    <row r="4" spans="1:17" ht="17" thickBot="1" x14ac:dyDescent="0.25">
      <c r="B4" s="555" t="s">
        <v>1148</v>
      </c>
      <c r="C4" s="556"/>
      <c r="D4" s="556"/>
      <c r="E4" s="556"/>
      <c r="F4" s="556"/>
      <c r="G4" s="33"/>
      <c r="H4" s="559" t="s">
        <v>1149</v>
      </c>
      <c r="I4" s="560"/>
      <c r="J4" s="560"/>
      <c r="K4" s="560"/>
      <c r="L4" s="560"/>
      <c r="O4" s="33"/>
    </row>
    <row r="5" spans="1:17" ht="42" x14ac:dyDescent="0.15">
      <c r="B5" s="168"/>
      <c r="C5" s="192" t="s">
        <v>1150</v>
      </c>
      <c r="D5" s="192" t="s">
        <v>949</v>
      </c>
      <c r="E5" s="193" t="s">
        <v>1151</v>
      </c>
      <c r="F5" s="157" t="s">
        <v>1152</v>
      </c>
      <c r="G5" s="153"/>
      <c r="H5" s="168"/>
      <c r="I5" s="157" t="s">
        <v>1153</v>
      </c>
      <c r="J5" s="157" t="s">
        <v>1154</v>
      </c>
      <c r="K5" s="157" t="s">
        <v>1155</v>
      </c>
      <c r="L5" s="157" t="s">
        <v>1156</v>
      </c>
      <c r="O5" s="34"/>
    </row>
    <row r="6" spans="1:17" ht="16" x14ac:dyDescent="0.2">
      <c r="B6" s="141" t="s">
        <v>17</v>
      </c>
      <c r="C6" s="75">
        <f>COUNTIFS('capacity data'!A:A,B6,'capacity data'!E:E,"PO")</f>
        <v>0</v>
      </c>
      <c r="D6" s="75">
        <f>COUNTIFS('capacity data'!A:A,B6,'capacity data'!E:E,"PO",'capacity data'!F:F,"&gt;110%")</f>
        <v>0</v>
      </c>
      <c r="E6" s="67" t="e">
        <f>D6/C6</f>
        <v>#DIV/0!</v>
      </c>
      <c r="F6" s="67" t="e">
        <f t="array" ref="F6">LARGE(IF('capacity data'!A:A=B6,IF('capacity data'!E:E="PO",'capacity data'!F:F)),1)</f>
        <v>#NUM!</v>
      </c>
      <c r="G6" s="169"/>
      <c r="H6" s="141" t="s">
        <v>17</v>
      </c>
      <c r="I6" s="75">
        <f>COUNTIFS('capacity data'!A:A,H6,'capacity data'!E:E,"PSO")</f>
        <v>0</v>
      </c>
      <c r="J6" s="75">
        <f>COUNTIFS('capacity data'!A:A,H6,'capacity data'!E:E,"PSO",'capacity data'!F:F,"&gt;110%")</f>
        <v>0</v>
      </c>
      <c r="K6" s="67" t="e">
        <f>J6/I6</f>
        <v>#DIV/0!</v>
      </c>
      <c r="L6" s="67" t="e">
        <f t="array" ref="L6">LARGE(IF('capacity data'!A:A=H6,IF('capacity data'!E:E="PSO",'capacity data'!F:F)),1)</f>
        <v>#NUM!</v>
      </c>
      <c r="O6" s="2"/>
    </row>
    <row r="7" spans="1:17" ht="16" x14ac:dyDescent="0.2">
      <c r="B7" s="141" t="s">
        <v>18</v>
      </c>
      <c r="C7" s="75">
        <f>COUNTIFS('capacity data'!A:A,B7,'capacity data'!E:E,"PO")</f>
        <v>0</v>
      </c>
      <c r="D7" s="75">
        <f>COUNTIFS('capacity data'!A:A,B7,'capacity data'!E:E,"PO",'capacity data'!F:F,"&gt;110%")</f>
        <v>0</v>
      </c>
      <c r="E7" s="67" t="e">
        <f t="shared" ref="E7:E17" si="0">D7/C7</f>
        <v>#DIV/0!</v>
      </c>
      <c r="F7" s="67" t="e">
        <f t="array" ref="F7">LARGE(IF('capacity data'!A:A=B7,IF('capacity data'!E:E="PO",'capacity data'!F:F)),1)</f>
        <v>#NUM!</v>
      </c>
      <c r="G7" s="169"/>
      <c r="H7" s="141" t="s">
        <v>18</v>
      </c>
      <c r="I7" s="75">
        <f>COUNTIFS('capacity data'!A:A,H7,'capacity data'!E:E,"PSO")</f>
        <v>0</v>
      </c>
      <c r="J7" s="75">
        <f>COUNTIFS('capacity data'!A:A,H7,'capacity data'!E:E,"PSO",'capacity data'!F:F,"&gt;110%")</f>
        <v>0</v>
      </c>
      <c r="K7" s="67" t="e">
        <f t="shared" ref="K7:K17" si="1">J7/I7</f>
        <v>#DIV/0!</v>
      </c>
      <c r="L7" s="67" t="e">
        <f t="array" ref="L7">LARGE(IF('capacity data'!A:A=H7,IF('capacity data'!E:E="PSO",'capacity data'!F:F)),1)</f>
        <v>#NUM!</v>
      </c>
      <c r="O7" s="2"/>
    </row>
    <row r="8" spans="1:17" ht="16" x14ac:dyDescent="0.2">
      <c r="B8" s="141" t="s">
        <v>19</v>
      </c>
      <c r="C8" s="75">
        <f>COUNTIFS('capacity data'!A:A,B8,'capacity data'!E:E,"PO")</f>
        <v>0</v>
      </c>
      <c r="D8" s="75">
        <f>COUNTIFS('capacity data'!A:A,B8,'capacity data'!E:E,"PO",'capacity data'!F:F,"&gt;110%")</f>
        <v>0</v>
      </c>
      <c r="E8" s="67" t="e">
        <f t="shared" si="0"/>
        <v>#DIV/0!</v>
      </c>
      <c r="F8" s="67" t="e">
        <f t="array" ref="F8">LARGE(IF('capacity data'!A:A=B8,IF('capacity data'!E:E="PO",'capacity data'!F:F)),1)</f>
        <v>#NUM!</v>
      </c>
      <c r="G8" s="169"/>
      <c r="H8" s="141" t="s">
        <v>19</v>
      </c>
      <c r="I8" s="75">
        <f>COUNTIFS('capacity data'!A:A,H8,'capacity data'!E:E,"PSO")</f>
        <v>0</v>
      </c>
      <c r="J8" s="75">
        <f>COUNTIFS('capacity data'!A:A,H8,'capacity data'!E:E,"PSO",'capacity data'!F:F,"&gt;110%")</f>
        <v>0</v>
      </c>
      <c r="K8" s="67" t="e">
        <f t="shared" si="1"/>
        <v>#DIV/0!</v>
      </c>
      <c r="L8" s="67" t="e">
        <f t="array" ref="L8">LARGE(IF('capacity data'!A:A=H8,IF('capacity data'!E:E="PSO",'capacity data'!F:F)),1)</f>
        <v>#NUM!</v>
      </c>
      <c r="O8" s="2"/>
    </row>
    <row r="9" spans="1:17" ht="16" x14ac:dyDescent="0.2">
      <c r="B9" s="141" t="s">
        <v>20</v>
      </c>
      <c r="C9" s="75">
        <f>COUNTIFS('capacity data'!A:A,B9,'capacity data'!E:E,"PO")</f>
        <v>0</v>
      </c>
      <c r="D9" s="75">
        <f>COUNTIFS('capacity data'!A:A,B9,'capacity data'!E:E,"PO",'capacity data'!F:F,"&gt;110%")</f>
        <v>0</v>
      </c>
      <c r="E9" s="67" t="e">
        <f t="shared" si="0"/>
        <v>#DIV/0!</v>
      </c>
      <c r="F9" s="67" t="e">
        <f t="array" ref="F9">LARGE(IF('capacity data'!A:A=B9,IF('capacity data'!E:E="PO",'capacity data'!F:F)),1)</f>
        <v>#NUM!</v>
      </c>
      <c r="G9" s="169"/>
      <c r="H9" s="141" t="s">
        <v>20</v>
      </c>
      <c r="I9" s="75">
        <f>COUNTIFS('capacity data'!A:A,H9,'capacity data'!E:E,"PSO")</f>
        <v>0</v>
      </c>
      <c r="J9" s="75">
        <f>COUNTIFS('capacity data'!A:A,H9,'capacity data'!E:E,"PSO",'capacity data'!F:F,"&gt;110%")</f>
        <v>0</v>
      </c>
      <c r="K9" s="67" t="e">
        <f t="shared" si="1"/>
        <v>#DIV/0!</v>
      </c>
      <c r="L9" s="67" t="e">
        <f t="array" ref="L9">LARGE(IF('capacity data'!A:A=H9,IF('capacity data'!E:E="PSO",'capacity data'!F:F)),1)</f>
        <v>#NUM!</v>
      </c>
      <c r="O9" s="2"/>
    </row>
    <row r="10" spans="1:17" ht="16" x14ac:dyDescent="0.2">
      <c r="B10" s="141" t="s">
        <v>21</v>
      </c>
      <c r="C10" s="75">
        <f>COUNTIFS('capacity data'!A:A,B10,'capacity data'!E:E,"PO")</f>
        <v>0</v>
      </c>
      <c r="D10" s="75">
        <f>COUNTIFS('capacity data'!A:A,B10,'capacity data'!E:E,"PO",'capacity data'!F:F,"&gt;110%")</f>
        <v>0</v>
      </c>
      <c r="E10" s="67" t="e">
        <f t="shared" si="0"/>
        <v>#DIV/0!</v>
      </c>
      <c r="F10" s="67" t="e">
        <f t="array" ref="F10">LARGE(IF('capacity data'!A:A=B10,IF('capacity data'!E:E="PO",'capacity data'!F:F)),1)</f>
        <v>#NUM!</v>
      </c>
      <c r="G10" s="169"/>
      <c r="H10" s="141" t="s">
        <v>21</v>
      </c>
      <c r="I10" s="75">
        <f>COUNTIFS('capacity data'!A:A,H10,'capacity data'!E:E,"PSO")</f>
        <v>0</v>
      </c>
      <c r="J10" s="75">
        <f>COUNTIFS('capacity data'!A:A,H10,'capacity data'!E:E,"PSO",'capacity data'!F:F,"&gt;110%")</f>
        <v>0</v>
      </c>
      <c r="K10" s="67" t="e">
        <f t="shared" si="1"/>
        <v>#DIV/0!</v>
      </c>
      <c r="L10" s="67" t="e">
        <f t="array" ref="L10">LARGE(IF('capacity data'!A:A=H10,IF('capacity data'!E:E="PSO",'capacity data'!F:F)),1)</f>
        <v>#NUM!</v>
      </c>
      <c r="O10" s="2"/>
    </row>
    <row r="11" spans="1:17" ht="16" x14ac:dyDescent="0.2">
      <c r="B11" s="141" t="s">
        <v>22</v>
      </c>
      <c r="C11" s="75">
        <f>COUNTIFS('capacity data'!A:A,B11,'capacity data'!E:E,"PO")</f>
        <v>0</v>
      </c>
      <c r="D11" s="75">
        <f>COUNTIFS('capacity data'!A:A,B11,'capacity data'!E:E,"PO",'capacity data'!F:F,"&gt;110%")</f>
        <v>0</v>
      </c>
      <c r="E11" s="67" t="e">
        <f t="shared" si="0"/>
        <v>#DIV/0!</v>
      </c>
      <c r="F11" s="67" t="e">
        <f t="array" ref="F11">LARGE(IF('capacity data'!A:A=B11,IF('capacity data'!E:E="PO",'capacity data'!F:F)),1)</f>
        <v>#NUM!</v>
      </c>
      <c r="G11" s="64"/>
      <c r="H11" s="141" t="s">
        <v>22</v>
      </c>
      <c r="I11" s="75">
        <f>COUNTIFS('capacity data'!A:A,H11,'capacity data'!E:E,"PSO")</f>
        <v>0</v>
      </c>
      <c r="J11" s="75">
        <f>COUNTIFS('capacity data'!A:A,H11,'capacity data'!E:E,"PSO",'capacity data'!F:F,"&gt;110%")</f>
        <v>0</v>
      </c>
      <c r="K11" s="67" t="e">
        <f t="shared" si="1"/>
        <v>#DIV/0!</v>
      </c>
      <c r="L11" s="67" t="e">
        <f t="array" ref="L11">LARGE(IF('capacity data'!A:A=H11,IF('capacity data'!E:E="PSO",'capacity data'!F:F)),1)</f>
        <v>#NUM!</v>
      </c>
      <c r="O11" s="2"/>
    </row>
    <row r="12" spans="1:17" ht="16" x14ac:dyDescent="0.2">
      <c r="B12" s="141" t="s">
        <v>23</v>
      </c>
      <c r="C12" s="75">
        <f>COUNTIFS('capacity data'!A:A,B12,'capacity data'!E:E,"PO")</f>
        <v>0</v>
      </c>
      <c r="D12" s="75">
        <f>COUNTIFS('capacity data'!A:A,B12,'capacity data'!E:E,"PO",'capacity data'!F:F,"&gt;110%")</f>
        <v>0</v>
      </c>
      <c r="E12" s="67" t="e">
        <f t="shared" si="0"/>
        <v>#DIV/0!</v>
      </c>
      <c r="F12" s="67" t="e">
        <f t="array" ref="F12">LARGE(IF('capacity data'!A:A=B12,IF('capacity data'!E:E="PO",'capacity data'!F:F)),1)</f>
        <v>#NUM!</v>
      </c>
      <c r="G12" s="64"/>
      <c r="H12" s="141" t="s">
        <v>23</v>
      </c>
      <c r="I12" s="75">
        <f>COUNTIFS('capacity data'!A:A,H12,'capacity data'!E:E,"PSO")</f>
        <v>0</v>
      </c>
      <c r="J12" s="75">
        <f>COUNTIFS('capacity data'!A:A,H12,'capacity data'!E:E,"PSO",'capacity data'!F:F,"&gt;110%")</f>
        <v>0</v>
      </c>
      <c r="K12" s="67" t="e">
        <f t="shared" si="1"/>
        <v>#DIV/0!</v>
      </c>
      <c r="L12" s="67" t="e">
        <f t="array" ref="L12">LARGE(IF('capacity data'!A:A=H12,IF('capacity data'!E:E="PSO",'capacity data'!F:F)),1)</f>
        <v>#NUM!</v>
      </c>
      <c r="O12" s="2"/>
    </row>
    <row r="13" spans="1:17" ht="16" x14ac:dyDescent="0.2">
      <c r="B13" s="141" t="s">
        <v>24</v>
      </c>
      <c r="C13" s="75">
        <f>COUNTIFS('capacity data'!A:A,B13,'capacity data'!E:E,"PO")</f>
        <v>0</v>
      </c>
      <c r="D13" s="75">
        <f>COUNTIFS('capacity data'!A:A,B13,'capacity data'!E:E,"PO",'capacity data'!F:F,"&gt;110%")</f>
        <v>0</v>
      </c>
      <c r="E13" s="67" t="e">
        <f t="shared" ref="E13" si="2">D13/C13</f>
        <v>#DIV/0!</v>
      </c>
      <c r="F13" s="67" t="e">
        <f t="array" ref="F13">LARGE(IF('capacity data'!A:A=B13,IF('capacity data'!E:E="PO",'capacity data'!F:F)),1)</f>
        <v>#NUM!</v>
      </c>
      <c r="G13" s="64"/>
      <c r="H13" s="141" t="s">
        <v>24</v>
      </c>
      <c r="I13" s="75">
        <f>COUNTIFS('capacity data'!A:A,H13,'capacity data'!E:E,"PSO")</f>
        <v>0</v>
      </c>
      <c r="J13" s="75">
        <f>COUNTIFS('capacity data'!A:A,H13,'capacity data'!E:E,"PSO",'capacity data'!F:F,"&gt;110%")</f>
        <v>0</v>
      </c>
      <c r="K13" s="67" t="e">
        <f t="shared" ref="K13" si="3">J13/I13</f>
        <v>#DIV/0!</v>
      </c>
      <c r="L13" s="67" t="e">
        <f t="array" ref="L13">LARGE(IF('capacity data'!A:A=H13,IF('capacity data'!E:E="PSO",'capacity data'!F:F)),1)</f>
        <v>#NUM!</v>
      </c>
      <c r="O13" s="2"/>
    </row>
    <row r="14" spans="1:17" ht="16" x14ac:dyDescent="0.2">
      <c r="B14" s="141" t="s">
        <v>25</v>
      </c>
      <c r="C14" s="75">
        <f>COUNTIFS('capacity data'!A:A,B14,'capacity data'!E:E,"PO")</f>
        <v>0</v>
      </c>
      <c r="D14" s="75">
        <f>COUNTIFS('capacity data'!A:A,B14,'capacity data'!E:E,"PO",'capacity data'!F:F,"&gt;110%")</f>
        <v>0</v>
      </c>
      <c r="E14" s="67" t="e">
        <f t="shared" si="0"/>
        <v>#DIV/0!</v>
      </c>
      <c r="F14" s="67" t="e">
        <f t="array" ref="F14">LARGE(IF('capacity data'!A:A=B14,IF('capacity data'!E:E="PO",'capacity data'!F:F)),1)</f>
        <v>#NUM!</v>
      </c>
      <c r="G14" s="64"/>
      <c r="H14" s="141" t="s">
        <v>25</v>
      </c>
      <c r="I14" s="75">
        <f>COUNTIFS('capacity data'!A:A,H14,'capacity data'!E:E,"PSO")</f>
        <v>0</v>
      </c>
      <c r="J14" s="75">
        <f>COUNTIFS('capacity data'!A:A,H14,'capacity data'!E:E,"PSO",'capacity data'!F:F,"&gt;110%")</f>
        <v>0</v>
      </c>
      <c r="K14" s="67" t="e">
        <f t="shared" si="1"/>
        <v>#DIV/0!</v>
      </c>
      <c r="L14" s="67" t="e">
        <f t="array" ref="L14">LARGE(IF('capacity data'!A:A=H14,IF('capacity data'!E:E="PSO",'capacity data'!F:F)),1)</f>
        <v>#NUM!</v>
      </c>
      <c r="O14" s="2"/>
    </row>
    <row r="15" spans="1:17" ht="16" x14ac:dyDescent="0.2">
      <c r="B15" s="141" t="s">
        <v>26</v>
      </c>
      <c r="C15" s="75">
        <f>COUNTIFS('capacity data'!A:A,B15,'capacity data'!E:E,"PO")</f>
        <v>0</v>
      </c>
      <c r="D15" s="75">
        <f>COUNTIFS('capacity data'!A:A,B15,'capacity data'!E:E,"PO",'capacity data'!F:F,"&gt;110%")</f>
        <v>0</v>
      </c>
      <c r="E15" s="67" t="e">
        <f t="shared" si="0"/>
        <v>#DIV/0!</v>
      </c>
      <c r="F15" s="67" t="e">
        <f t="array" ref="F15">LARGE(IF('capacity data'!A:A=B15,IF('capacity data'!E:E="PO",'capacity data'!F:F)),1)</f>
        <v>#NUM!</v>
      </c>
      <c r="G15" s="64"/>
      <c r="H15" s="141" t="s">
        <v>26</v>
      </c>
      <c r="I15" s="75">
        <f>COUNTIFS('capacity data'!A:A,H15,'capacity data'!E:E,"PSO")</f>
        <v>0</v>
      </c>
      <c r="J15" s="75">
        <f>COUNTIFS('capacity data'!A:A,H15,'capacity data'!E:E,"PSO",'capacity data'!F:F,"&gt;110%")</f>
        <v>0</v>
      </c>
      <c r="K15" s="67" t="e">
        <f t="shared" si="1"/>
        <v>#DIV/0!</v>
      </c>
      <c r="L15" s="67" t="e">
        <f t="array" ref="L15">LARGE(IF('capacity data'!A:A=H15,IF('capacity data'!E:E="PSO",'capacity data'!F:F)),1)</f>
        <v>#NUM!</v>
      </c>
      <c r="O15" s="2"/>
    </row>
    <row r="16" spans="1:17" ht="16" x14ac:dyDescent="0.2">
      <c r="B16" s="141" t="s">
        <v>27</v>
      </c>
      <c r="C16" s="75">
        <f>COUNTIFS('capacity data'!A:A,B16,'capacity data'!E:E,"PO")</f>
        <v>0</v>
      </c>
      <c r="D16" s="75">
        <f>COUNTIFS('capacity data'!A:A,B16,'capacity data'!E:E,"PO",'capacity data'!F:F,"&gt;110%")</f>
        <v>0</v>
      </c>
      <c r="E16" s="67" t="e">
        <f t="shared" si="0"/>
        <v>#DIV/0!</v>
      </c>
      <c r="F16" s="67" t="e">
        <f t="array" ref="F16">LARGE(IF('capacity data'!A:A=B16,IF('capacity data'!E:E="PO",'capacity data'!F:F)),1)</f>
        <v>#NUM!</v>
      </c>
      <c r="G16" s="64"/>
      <c r="H16" s="141" t="s">
        <v>27</v>
      </c>
      <c r="I16" s="75">
        <f>COUNTIFS('capacity data'!A:A,H16,'capacity data'!E:E,"PSO")</f>
        <v>0</v>
      </c>
      <c r="J16" s="75">
        <f>COUNTIFS('capacity data'!A:A,H16,'capacity data'!E:E,"PSO",'capacity data'!F:F,"&gt;110%")</f>
        <v>0</v>
      </c>
      <c r="K16" s="67" t="e">
        <f t="shared" si="1"/>
        <v>#DIV/0!</v>
      </c>
      <c r="L16" s="67" t="e">
        <f t="array" ref="L16">LARGE(IF('capacity data'!A:A=H16,IF('capacity data'!E:E="PSO",'capacity data'!F:F)),1)</f>
        <v>#NUM!</v>
      </c>
      <c r="O16" s="2"/>
    </row>
    <row r="17" spans="2:15" ht="16" x14ac:dyDescent="0.2">
      <c r="B17" s="141" t="s">
        <v>28</v>
      </c>
      <c r="C17" s="75">
        <f>COUNTIFS('capacity data'!A:A,B17,'capacity data'!E:E,"PO")</f>
        <v>0</v>
      </c>
      <c r="D17" s="75">
        <f>COUNTIFS('capacity data'!A:A,B17,'capacity data'!E:E,"PO",'capacity data'!F:F,"&gt;110%")</f>
        <v>0</v>
      </c>
      <c r="E17" s="67" t="e">
        <f t="shared" si="0"/>
        <v>#DIV/0!</v>
      </c>
      <c r="F17" s="67" t="e">
        <f t="array" ref="F17">LARGE(IF('capacity data'!A:A=B17,IF('capacity data'!E:E="PO",'capacity data'!F:F)),1)</f>
        <v>#NUM!</v>
      </c>
      <c r="G17" s="64"/>
      <c r="H17" s="141" t="s">
        <v>28</v>
      </c>
      <c r="I17" s="75">
        <f>COUNTIFS('capacity data'!A:A,H17,'capacity data'!E:E,"PSO")</f>
        <v>0</v>
      </c>
      <c r="J17" s="75">
        <f>COUNTIFS('capacity data'!A:A,H17,'capacity data'!E:E,"PSO",'capacity data'!F:F,"&gt;110%")</f>
        <v>0</v>
      </c>
      <c r="K17" s="67" t="e">
        <f t="shared" si="1"/>
        <v>#DIV/0!</v>
      </c>
      <c r="L17" s="67" t="e">
        <f t="array" ref="L17">LARGE(IF('capacity data'!A:A=H17,IF('capacity data'!E:E="PSO",'capacity data'!F:F)),1)</f>
        <v>#NUM!</v>
      </c>
      <c r="O17" s="2"/>
    </row>
    <row r="18" spans="2:15" ht="16" x14ac:dyDescent="0.2">
      <c r="B18" s="173" t="s">
        <v>959</v>
      </c>
      <c r="C18" s="110">
        <f>COUNTIF('capacity data'!E:E,"PO")</f>
        <v>0</v>
      </c>
      <c r="D18" s="110">
        <f>COUNTIFS('capacity data'!E:E,"PO",'capacity data'!F:F,"&gt;110%")</f>
        <v>0</v>
      </c>
      <c r="E18" s="207" t="e">
        <f t="shared" ref="E18" si="4">D18/C18</f>
        <v>#DIV/0!</v>
      </c>
      <c r="F18" s="110" t="s">
        <v>960</v>
      </c>
      <c r="G18" s="64"/>
      <c r="H18" s="173" t="s">
        <v>959</v>
      </c>
      <c r="I18" s="110">
        <f>COUNTIF('capacity data'!E:E,"PSO")</f>
        <v>0</v>
      </c>
      <c r="J18" s="110">
        <f>COUNTIFS('capacity data'!E:E,"PSO",'capacity data'!F:F,"&gt;110%")</f>
        <v>0</v>
      </c>
      <c r="K18" s="207" t="e">
        <f t="shared" ref="K18" si="5">J18/I18</f>
        <v>#DIV/0!</v>
      </c>
      <c r="L18" s="149" t="s">
        <v>960</v>
      </c>
      <c r="O18" s="2"/>
    </row>
    <row r="21" spans="2:15" ht="16" x14ac:dyDescent="0.2">
      <c r="B21" s="557" t="s">
        <v>1157</v>
      </c>
      <c r="C21" s="558"/>
      <c r="D21" s="558"/>
      <c r="E21" s="558"/>
      <c r="F21" s="558"/>
      <c r="G21" s="33"/>
      <c r="H21" s="559" t="s">
        <v>1158</v>
      </c>
      <c r="I21" s="560"/>
      <c r="J21" s="560"/>
      <c r="K21" s="560"/>
    </row>
    <row r="22" spans="2:15" ht="42" x14ac:dyDescent="0.15">
      <c r="B22" s="168"/>
      <c r="C22" s="157" t="s">
        <v>1159</v>
      </c>
      <c r="D22" s="157" t="s">
        <v>1160</v>
      </c>
      <c r="E22" s="157" t="s">
        <v>1161</v>
      </c>
      <c r="F22" s="157" t="s">
        <v>1162</v>
      </c>
      <c r="G22" s="170"/>
      <c r="H22" s="168"/>
      <c r="I22" s="157" t="s">
        <v>1153</v>
      </c>
      <c r="J22" s="157" t="s">
        <v>1163</v>
      </c>
      <c r="K22" s="157" t="s">
        <v>1164</v>
      </c>
      <c r="L22" s="34"/>
    </row>
    <row r="23" spans="2:15" x14ac:dyDescent="0.15">
      <c r="B23" s="141" t="s">
        <v>17</v>
      </c>
      <c r="C23" s="75">
        <f>COUNTIFS('capacity data'!A:A,B23,'capacity data'!E:E,"TPO")</f>
        <v>0</v>
      </c>
      <c r="D23" s="75">
        <f>COUNTIFS('capacity data'!A:A,B23,'capacity data'!E:E,"TPO",'capacity data'!F:F,"&gt;110%")</f>
        <v>0</v>
      </c>
      <c r="E23" s="67" t="e">
        <f>D23/C23</f>
        <v>#DIV/0!</v>
      </c>
      <c r="F23" s="67" t="e">
        <f t="array" ref="F23">LARGE(IF('capacity data'!A:A=B23,IF('capacity data'!E:E="TPO",'capacity data'!F:F)),1)</f>
        <v>#NUM!</v>
      </c>
      <c r="G23" s="171"/>
      <c r="H23" s="141" t="s">
        <v>17</v>
      </c>
      <c r="I23" s="75">
        <f>COUNTIFS('capacity data'!A:A,H23,'capacity data'!E:E,"PSO")</f>
        <v>0</v>
      </c>
      <c r="J23" s="75">
        <f>COUNTIFS('capacity data'!A:A,H23,'capacity data'!E:E,"PSO",'capacity data'!F:F,"&lt;90%")</f>
        <v>0</v>
      </c>
      <c r="K23" s="172" t="e">
        <f>J23/I23</f>
        <v>#DIV/0!</v>
      </c>
    </row>
    <row r="24" spans="2:15" x14ac:dyDescent="0.15">
      <c r="B24" s="141" t="s">
        <v>18</v>
      </c>
      <c r="C24" s="75">
        <f>COUNTIFS('capacity data'!A:A,B24,'capacity data'!E:E,"TPO")</f>
        <v>0</v>
      </c>
      <c r="D24" s="75">
        <f>COUNTIFS('capacity data'!A:A,B24,'capacity data'!E:E,"TPO",'capacity data'!F:F,"&gt;110%")</f>
        <v>0</v>
      </c>
      <c r="E24" s="67" t="e">
        <f t="shared" ref="E24:E34" si="6">D24/C24</f>
        <v>#DIV/0!</v>
      </c>
      <c r="F24" s="67" t="e">
        <f t="array" ref="F24">LARGE(IF('capacity data'!A:A=B24,IF('capacity data'!E:E="TPO",'capacity data'!F:F)),1)</f>
        <v>#NUM!</v>
      </c>
      <c r="G24" s="171"/>
      <c r="H24" s="141" t="s">
        <v>18</v>
      </c>
      <c r="I24" s="75">
        <f>COUNTIFS('capacity data'!A:A,H24,'capacity data'!E:E,"PSO")</f>
        <v>0</v>
      </c>
      <c r="J24" s="75">
        <f>COUNTIFS('capacity data'!A:A,H24,'capacity data'!E:E,"PSO",'capacity data'!F:F,"&lt;90%")</f>
        <v>0</v>
      </c>
      <c r="K24" s="172" t="e">
        <f t="shared" ref="K24:K34" si="7">J24/I24</f>
        <v>#DIV/0!</v>
      </c>
    </row>
    <row r="25" spans="2:15" x14ac:dyDescent="0.15">
      <c r="B25" s="141" t="s">
        <v>19</v>
      </c>
      <c r="C25" s="75">
        <f>COUNTIFS('capacity data'!A:A,B25,'capacity data'!E:E,"TPO")</f>
        <v>0</v>
      </c>
      <c r="D25" s="75">
        <f>COUNTIFS('capacity data'!A:A,B25,'capacity data'!E:E,"TPO",'capacity data'!F:F,"&gt;110%")</f>
        <v>0</v>
      </c>
      <c r="E25" s="67" t="e">
        <f t="shared" si="6"/>
        <v>#DIV/0!</v>
      </c>
      <c r="F25" s="67" t="e">
        <f t="array" ref="F25">LARGE(IF('capacity data'!A:A=B25,IF('capacity data'!E:E="TPO",'capacity data'!F:F)),1)</f>
        <v>#NUM!</v>
      </c>
      <c r="G25" s="171"/>
      <c r="H25" s="141" t="s">
        <v>19</v>
      </c>
      <c r="I25" s="75">
        <f>COUNTIFS('capacity data'!A:A,H25,'capacity data'!E:E,"PSO")</f>
        <v>0</v>
      </c>
      <c r="J25" s="75">
        <f>COUNTIFS('capacity data'!A:A,H25,'capacity data'!E:E,"PSO",'capacity data'!F:F,"&lt;90%")</f>
        <v>0</v>
      </c>
      <c r="K25" s="172" t="e">
        <f t="shared" si="7"/>
        <v>#DIV/0!</v>
      </c>
    </row>
    <row r="26" spans="2:15" x14ac:dyDescent="0.15">
      <c r="B26" s="141" t="s">
        <v>20</v>
      </c>
      <c r="C26" s="75">
        <f>COUNTIFS('capacity data'!A:A,B26,'capacity data'!E:E,"TPO")</f>
        <v>0</v>
      </c>
      <c r="D26" s="75">
        <f>COUNTIFS('capacity data'!A:A,B26,'capacity data'!E:E,"TPO",'capacity data'!F:F,"&gt;110%")</f>
        <v>0</v>
      </c>
      <c r="E26" s="67" t="e">
        <f t="shared" si="6"/>
        <v>#DIV/0!</v>
      </c>
      <c r="F26" s="67" t="e">
        <f t="array" ref="F26">LARGE(IF('capacity data'!A:A=B26,IF('capacity data'!E:E="TPO",'capacity data'!F:F)),1)</f>
        <v>#NUM!</v>
      </c>
      <c r="G26" s="171"/>
      <c r="H26" s="141" t="s">
        <v>20</v>
      </c>
      <c r="I26" s="75">
        <f>COUNTIFS('capacity data'!A:A,H26,'capacity data'!E:E,"PSO")</f>
        <v>0</v>
      </c>
      <c r="J26" s="75">
        <f>COUNTIFS('capacity data'!A:A,H26,'capacity data'!E:E,"PSO",'capacity data'!F:F,"&lt;90%")</f>
        <v>0</v>
      </c>
      <c r="K26" s="172" t="e">
        <f t="shared" si="7"/>
        <v>#DIV/0!</v>
      </c>
    </row>
    <row r="27" spans="2:15" x14ac:dyDescent="0.15">
      <c r="B27" s="141" t="s">
        <v>21</v>
      </c>
      <c r="C27" s="75">
        <f>COUNTIFS('capacity data'!A:A,B27,'capacity data'!E:E,"TPO")</f>
        <v>0</v>
      </c>
      <c r="D27" s="75">
        <f>COUNTIFS('capacity data'!A:A,B27,'capacity data'!E:E,"TPO",'capacity data'!F:F,"&gt;110%")</f>
        <v>0</v>
      </c>
      <c r="E27" s="67" t="e">
        <f t="shared" si="6"/>
        <v>#DIV/0!</v>
      </c>
      <c r="F27" s="67" t="e">
        <f t="array" ref="F27">LARGE(IF('capacity data'!A:A=B27,IF('capacity data'!E:E="TPO",'capacity data'!F:F)),1)</f>
        <v>#NUM!</v>
      </c>
      <c r="G27" s="171"/>
      <c r="H27" s="141" t="s">
        <v>21</v>
      </c>
      <c r="I27" s="75">
        <f>COUNTIFS('capacity data'!A:A,H27,'capacity data'!E:E,"PSO")</f>
        <v>0</v>
      </c>
      <c r="J27" s="75">
        <f>COUNTIFS('capacity data'!A:A,H27,'capacity data'!E:E,"PSO",'capacity data'!F:F,"&lt;90%")</f>
        <v>0</v>
      </c>
      <c r="K27" s="172" t="e">
        <f t="shared" si="7"/>
        <v>#DIV/0!</v>
      </c>
    </row>
    <row r="28" spans="2:15" x14ac:dyDescent="0.15">
      <c r="B28" s="141" t="s">
        <v>22</v>
      </c>
      <c r="C28" s="75">
        <f>COUNTIFS('capacity data'!A:A,B28,'capacity data'!E:E,"TPO")</f>
        <v>0</v>
      </c>
      <c r="D28" s="75">
        <f>COUNTIFS('capacity data'!A:A,B28,'capacity data'!E:E,"TPO",'capacity data'!F:F,"&gt;110%")</f>
        <v>0</v>
      </c>
      <c r="E28" s="67" t="e">
        <f t="shared" si="6"/>
        <v>#DIV/0!</v>
      </c>
      <c r="F28" s="67" t="e">
        <f t="array" ref="F28">LARGE(IF('capacity data'!A:A=B28,IF('capacity data'!E:E="TPO",'capacity data'!F:F)),1)</f>
        <v>#NUM!</v>
      </c>
      <c r="G28" s="171"/>
      <c r="H28" s="141" t="s">
        <v>22</v>
      </c>
      <c r="I28" s="75">
        <f>COUNTIFS('capacity data'!A:A,H28,'capacity data'!E:E,"PSO")</f>
        <v>0</v>
      </c>
      <c r="J28" s="75">
        <f>COUNTIFS('capacity data'!A:A,H28,'capacity data'!E:E,"PSO",'capacity data'!F:F,"&lt;90%")</f>
        <v>0</v>
      </c>
      <c r="K28" s="172" t="e">
        <f t="shared" si="7"/>
        <v>#DIV/0!</v>
      </c>
    </row>
    <row r="29" spans="2:15" x14ac:dyDescent="0.15">
      <c r="B29" s="141" t="s">
        <v>23</v>
      </c>
      <c r="C29" s="75">
        <f>COUNTIFS('capacity data'!A:A,B29,'capacity data'!E:E,"TPO")</f>
        <v>0</v>
      </c>
      <c r="D29" s="75">
        <f>COUNTIFS('capacity data'!A:A,B29,'capacity data'!E:E,"TPO",'capacity data'!F:F,"&gt;110%")</f>
        <v>0</v>
      </c>
      <c r="E29" s="67" t="e">
        <f t="shared" si="6"/>
        <v>#DIV/0!</v>
      </c>
      <c r="F29" s="67" t="e">
        <f t="array" ref="F29">LARGE(IF('capacity data'!A:A=B29,IF('capacity data'!E:E="TPO",'capacity data'!F:F)),1)</f>
        <v>#NUM!</v>
      </c>
      <c r="G29" s="171"/>
      <c r="H29" s="141" t="s">
        <v>23</v>
      </c>
      <c r="I29" s="75">
        <f>COUNTIFS('capacity data'!A:A,H29,'capacity data'!E:E,"PSO")</f>
        <v>0</v>
      </c>
      <c r="J29" s="75">
        <f>COUNTIFS('capacity data'!A:A,H29,'capacity data'!E:E,"PSO",'capacity data'!F:F,"&lt;90%")</f>
        <v>0</v>
      </c>
      <c r="K29" s="172" t="e">
        <f t="shared" si="7"/>
        <v>#DIV/0!</v>
      </c>
    </row>
    <row r="30" spans="2:15" x14ac:dyDescent="0.15">
      <c r="B30" s="141" t="s">
        <v>24</v>
      </c>
      <c r="C30" s="75">
        <f>COUNTIFS('capacity data'!A:A,B30,'capacity data'!E:E,"TPO")</f>
        <v>0</v>
      </c>
      <c r="D30" s="75">
        <f>COUNTIFS('capacity data'!A:A,B30,'capacity data'!E:E,"TPO",'capacity data'!F:F,"&gt;110%")</f>
        <v>0</v>
      </c>
      <c r="E30" s="67" t="e">
        <f t="shared" ref="E30" si="8">D30/C30</f>
        <v>#DIV/0!</v>
      </c>
      <c r="F30" s="67" t="e">
        <f t="array" ref="F30">LARGE(IF('capacity data'!A:A=B30,IF('capacity data'!E:E="TPO",'capacity data'!F:F)),1)</f>
        <v>#NUM!</v>
      </c>
      <c r="G30" s="171"/>
      <c r="H30" s="141" t="s">
        <v>24</v>
      </c>
      <c r="I30" s="75">
        <f>COUNTIFS('capacity data'!A:A,H30,'capacity data'!E:E,"PSO")</f>
        <v>0</v>
      </c>
      <c r="J30" s="75">
        <f>COUNTIFS('capacity data'!A:A,H30,'capacity data'!E:E,"PSO",'capacity data'!F:F,"&lt;90%")</f>
        <v>0</v>
      </c>
      <c r="K30" s="172" t="e">
        <f t="shared" ref="K30" si="9">J30/I30</f>
        <v>#DIV/0!</v>
      </c>
    </row>
    <row r="31" spans="2:15" x14ac:dyDescent="0.15">
      <c r="B31" s="141" t="s">
        <v>25</v>
      </c>
      <c r="C31" s="75">
        <f>COUNTIFS('capacity data'!A:A,B31,'capacity data'!E:E,"TPO")</f>
        <v>0</v>
      </c>
      <c r="D31" s="75">
        <f>COUNTIFS('capacity data'!A:A,B31,'capacity data'!E:E,"TPO",'capacity data'!F:F,"&gt;110%")</f>
        <v>0</v>
      </c>
      <c r="E31" s="67" t="e">
        <f t="shared" si="6"/>
        <v>#DIV/0!</v>
      </c>
      <c r="F31" s="67" t="e">
        <f t="array" ref="F31">LARGE(IF('capacity data'!A:A=B31,IF('capacity data'!E:E="TPO",'capacity data'!F:F)),1)</f>
        <v>#NUM!</v>
      </c>
      <c r="G31" s="171"/>
      <c r="H31" s="141" t="s">
        <v>25</v>
      </c>
      <c r="I31" s="75">
        <f>COUNTIFS('capacity data'!A:A,H31,'capacity data'!E:E,"PSO")</f>
        <v>0</v>
      </c>
      <c r="J31" s="75">
        <f>COUNTIFS('capacity data'!A:A,H31,'capacity data'!E:E,"PSO",'capacity data'!F:F,"&lt;90%")</f>
        <v>0</v>
      </c>
      <c r="K31" s="172" t="e">
        <f t="shared" si="7"/>
        <v>#DIV/0!</v>
      </c>
    </row>
    <row r="32" spans="2:15" x14ac:dyDescent="0.15">
      <c r="B32" s="141" t="s">
        <v>26</v>
      </c>
      <c r="C32" s="75">
        <f>COUNTIFS('capacity data'!A:A,B32,'capacity data'!E:E,"TPO")</f>
        <v>0</v>
      </c>
      <c r="D32" s="75">
        <f>COUNTIFS('capacity data'!A:A,B32,'capacity data'!E:E,"TPO",'capacity data'!F:F,"&gt;110%")</f>
        <v>0</v>
      </c>
      <c r="E32" s="67" t="e">
        <f t="shared" si="6"/>
        <v>#DIV/0!</v>
      </c>
      <c r="F32" s="67" t="e">
        <f t="array" ref="F32">LARGE(IF('capacity data'!A:A=B32,IF('capacity data'!E:E="TPO",'capacity data'!F:F)),1)</f>
        <v>#NUM!</v>
      </c>
      <c r="G32" s="171"/>
      <c r="H32" s="141" t="s">
        <v>26</v>
      </c>
      <c r="I32" s="75">
        <f>COUNTIFS('capacity data'!A:A,H32,'capacity data'!E:E,"PSO")</f>
        <v>0</v>
      </c>
      <c r="J32" s="75">
        <f>COUNTIFS('capacity data'!A:A,H32,'capacity data'!E:E,"PSO",'capacity data'!F:F,"&lt;90%")</f>
        <v>0</v>
      </c>
      <c r="K32" s="172" t="e">
        <f t="shared" si="7"/>
        <v>#DIV/0!</v>
      </c>
    </row>
    <row r="33" spans="2:11" x14ac:dyDescent="0.15">
      <c r="B33" s="141" t="s">
        <v>27</v>
      </c>
      <c r="C33" s="75">
        <f>COUNTIFS('capacity data'!A:A,B33,'capacity data'!E:E,"TPO")</f>
        <v>0</v>
      </c>
      <c r="D33" s="75">
        <f>COUNTIFS('capacity data'!A:A,B33,'capacity data'!E:E,"TPO",'capacity data'!F:F,"&gt;110%")</f>
        <v>0</v>
      </c>
      <c r="E33" s="67" t="e">
        <f t="shared" si="6"/>
        <v>#DIV/0!</v>
      </c>
      <c r="F33" s="67" t="e">
        <f t="array" ref="F33">LARGE(IF('capacity data'!A:A=B33,IF('capacity data'!E:E="TPO",'capacity data'!F:F)),1)</f>
        <v>#NUM!</v>
      </c>
      <c r="G33" s="171"/>
      <c r="H33" s="141" t="s">
        <v>27</v>
      </c>
      <c r="I33" s="75">
        <f>COUNTIFS('capacity data'!A:A,H33,'capacity data'!E:E,"PSO")</f>
        <v>0</v>
      </c>
      <c r="J33" s="75">
        <f>COUNTIFS('capacity data'!A:A,H33,'capacity data'!E:E,"PSO",'capacity data'!F:F,"&lt;90%")</f>
        <v>0</v>
      </c>
      <c r="K33" s="172" t="e">
        <f t="shared" si="7"/>
        <v>#DIV/0!</v>
      </c>
    </row>
    <row r="34" spans="2:11" x14ac:dyDescent="0.15">
      <c r="B34" s="141" t="s">
        <v>28</v>
      </c>
      <c r="C34" s="75">
        <f>COUNTIFS('capacity data'!A:A,B34,'capacity data'!E:E,"TPO")</f>
        <v>0</v>
      </c>
      <c r="D34" s="75">
        <f>COUNTIFS('capacity data'!A:A,B34,'capacity data'!E:E,"TPO",'capacity data'!F:F,"&gt;110%")</f>
        <v>0</v>
      </c>
      <c r="E34" s="67" t="e">
        <f t="shared" si="6"/>
        <v>#DIV/0!</v>
      </c>
      <c r="F34" s="67" t="e">
        <f t="array" ref="F34">LARGE(IF('capacity data'!A:A=B34,IF('capacity data'!E:E="TPO",'capacity data'!F:F)),1)</f>
        <v>#NUM!</v>
      </c>
      <c r="G34" s="171"/>
      <c r="H34" s="141" t="s">
        <v>28</v>
      </c>
      <c r="I34" s="75">
        <f>COUNTIFS('capacity data'!A:A,H34,'capacity data'!E:E,"PSO")</f>
        <v>0</v>
      </c>
      <c r="J34" s="75">
        <f>COUNTIFS('capacity data'!A:A,H34,'capacity data'!E:E,"PSO",'capacity data'!F:F,"&lt;90%")</f>
        <v>0</v>
      </c>
      <c r="K34" s="172" t="e">
        <f t="shared" si="7"/>
        <v>#DIV/0!</v>
      </c>
    </row>
    <row r="35" spans="2:11" x14ac:dyDescent="0.15">
      <c r="B35" s="173" t="s">
        <v>959</v>
      </c>
      <c r="C35" s="110">
        <f>COUNTIF('capacity data'!E:E,"TPO")</f>
        <v>0</v>
      </c>
      <c r="D35" s="110">
        <f>COUNTIFS('capacity data'!E:E,"TPO",'capacity data'!F:F,"&gt;110%")</f>
        <v>0</v>
      </c>
      <c r="E35" s="207" t="e">
        <f t="shared" ref="E35" si="10">D35/C35</f>
        <v>#DIV/0!</v>
      </c>
      <c r="F35" s="110" t="s">
        <v>960</v>
      </c>
      <c r="G35" s="171"/>
      <c r="H35" s="173" t="s">
        <v>959</v>
      </c>
      <c r="I35" s="110">
        <f>COUNTIF('capacity data'!E:E,"PSO")</f>
        <v>0</v>
      </c>
      <c r="J35" s="110">
        <f>COUNTIFS('capacity data'!E:E,"PSO",'capacity data'!F:F,"&lt;90%")</f>
        <v>0</v>
      </c>
      <c r="K35" s="208" t="s">
        <v>960</v>
      </c>
    </row>
  </sheetData>
  <mergeCells count="6">
    <mergeCell ref="B4:F4"/>
    <mergeCell ref="B21:F21"/>
    <mergeCell ref="H4:L4"/>
    <mergeCell ref="H21:K21"/>
    <mergeCell ref="A1:L1"/>
    <mergeCell ref="A2:L2"/>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81"/>
  <dimension ref="A1:O26"/>
  <sheetViews>
    <sheetView showGridLines="0" zoomScaleNormal="100" workbookViewId="0">
      <selection activeCell="D6" sqref="D6"/>
    </sheetView>
  </sheetViews>
  <sheetFormatPr baseColWidth="10" defaultColWidth="8.83203125" defaultRowHeight="14" x14ac:dyDescent="0.15"/>
  <cols>
    <col min="1" max="1" width="4" customWidth="1"/>
    <col min="2" max="2" width="31.5" customWidth="1"/>
    <col min="3" max="3" width="13.5" style="6" customWidth="1"/>
    <col min="4" max="4" width="20" style="6" customWidth="1"/>
    <col min="5" max="5" width="12.5" style="6" customWidth="1"/>
    <col min="6" max="6" width="11.83203125" style="6" customWidth="1"/>
    <col min="7" max="7" width="13.1640625" style="6" customWidth="1"/>
  </cols>
  <sheetData>
    <row r="1" spans="1:15" ht="27" customHeight="1" x14ac:dyDescent="0.15">
      <c r="A1" s="533" t="s">
        <v>1165</v>
      </c>
      <c r="B1" s="533"/>
      <c r="C1" s="533"/>
      <c r="D1" s="533"/>
      <c r="E1" s="533"/>
      <c r="F1" s="533"/>
      <c r="G1" s="533"/>
      <c r="H1" s="261"/>
      <c r="I1" s="261"/>
      <c r="J1" s="261"/>
      <c r="K1" s="261"/>
      <c r="L1" s="261"/>
      <c r="M1" s="561"/>
      <c r="N1" s="561"/>
      <c r="O1" s="561"/>
    </row>
    <row r="2" spans="1:15" ht="33.75" customHeight="1" x14ac:dyDescent="0.15">
      <c r="A2" s="426"/>
      <c r="B2" s="426"/>
      <c r="C2" s="426"/>
      <c r="D2" s="426"/>
      <c r="E2" s="426"/>
      <c r="F2" s="426"/>
      <c r="G2" s="426"/>
      <c r="H2" s="268"/>
      <c r="I2" s="268"/>
      <c r="J2" s="268"/>
      <c r="K2" s="268"/>
      <c r="L2" s="268"/>
      <c r="M2" s="268"/>
      <c r="N2" s="268"/>
      <c r="O2" s="268"/>
    </row>
    <row r="3" spans="1:15" s="6" customFormat="1" ht="20.25" customHeight="1" thickBot="1" x14ac:dyDescent="0.2"/>
    <row r="4" spans="1:15" ht="15" thickBot="1" x14ac:dyDescent="0.2">
      <c r="B4" s="568" t="s">
        <v>838</v>
      </c>
      <c r="C4" s="564" t="s">
        <v>1044</v>
      </c>
      <c r="D4" s="566" t="s">
        <v>1166</v>
      </c>
      <c r="E4" s="562" t="s">
        <v>1167</v>
      </c>
      <c r="F4" s="563"/>
      <c r="G4" s="569" t="s">
        <v>1168</v>
      </c>
    </row>
    <row r="5" spans="1:15" ht="33.75" customHeight="1" thickBot="1" x14ac:dyDescent="0.2">
      <c r="B5" s="565"/>
      <c r="C5" s="565"/>
      <c r="D5" s="567"/>
      <c r="E5" s="174" t="s">
        <v>1169</v>
      </c>
      <c r="F5" s="175" t="s">
        <v>1170</v>
      </c>
      <c r="G5" s="570"/>
    </row>
    <row r="6" spans="1:15" x14ac:dyDescent="0.15">
      <c r="B6" s="141" t="s">
        <v>17</v>
      </c>
      <c r="C6" s="75">
        <f>SUMIFS('capacity data'!K:K,'capacity data'!A:A,B6,'capacity data'!E:E,"SPO")</f>
        <v>0</v>
      </c>
      <c r="D6" s="75">
        <f>SUMIFS('capacity data'!K:K,'capacity data'!E:E,"DMY",'capacity data'!A:A,B6)</f>
        <v>0</v>
      </c>
      <c r="E6" s="176">
        <f>SUM(C6:D6)</f>
        <v>0</v>
      </c>
      <c r="F6" s="177" t="e">
        <f>E6/G6</f>
        <v>#DIV/0!</v>
      </c>
      <c r="G6" s="144">
        <f>SUMIF('capacity data'!A:A,B6,'capacity data'!K:K)</f>
        <v>0</v>
      </c>
    </row>
    <row r="7" spans="1:15" x14ac:dyDescent="0.15">
      <c r="B7" s="141" t="s">
        <v>18</v>
      </c>
      <c r="C7" s="75">
        <f>SUMIFS('capacity data'!K:K,'capacity data'!A:A,B7,'capacity data'!E:E,"SPO")</f>
        <v>0</v>
      </c>
      <c r="D7" s="75">
        <f>SUMIFS('capacity data'!K:K,'capacity data'!E:E,"DMY",'capacity data'!A:A,B7)</f>
        <v>0</v>
      </c>
      <c r="E7" s="176">
        <f t="shared" ref="E7:E17" si="0">SUM(C7:D7)</f>
        <v>0</v>
      </c>
      <c r="F7" s="177" t="e">
        <f t="shared" ref="F7:F17" si="1">E7/G7</f>
        <v>#DIV/0!</v>
      </c>
      <c r="G7" s="144">
        <f>SUMIF('capacity data'!A:A,B7,'capacity data'!K:K)</f>
        <v>0</v>
      </c>
    </row>
    <row r="8" spans="1:15" x14ac:dyDescent="0.15">
      <c r="B8" s="141" t="s">
        <v>19</v>
      </c>
      <c r="C8" s="75">
        <f>SUMIFS('capacity data'!K:K,'capacity data'!A:A,B8,'capacity data'!E:E,"SPO")</f>
        <v>0</v>
      </c>
      <c r="D8" s="75">
        <f>SUMIFS('capacity data'!K:K,'capacity data'!E:E,"DMY",'capacity data'!A:A,B8)</f>
        <v>0</v>
      </c>
      <c r="E8" s="176">
        <f t="shared" si="0"/>
        <v>0</v>
      </c>
      <c r="F8" s="177" t="e">
        <f t="shared" si="1"/>
        <v>#DIV/0!</v>
      </c>
      <c r="G8" s="144">
        <f>SUMIF('capacity data'!A:A,B8,'capacity data'!K:K)</f>
        <v>0</v>
      </c>
    </row>
    <row r="9" spans="1:15" x14ac:dyDescent="0.15">
      <c r="B9" s="141" t="s">
        <v>20</v>
      </c>
      <c r="C9" s="75">
        <f>SUMIFS('capacity data'!K:K,'capacity data'!A:A,B9,'capacity data'!E:E,"SPO")</f>
        <v>0</v>
      </c>
      <c r="D9" s="75">
        <f>SUMIFS('capacity data'!K:K,'capacity data'!E:E,"DMY",'capacity data'!A:A,B9)</f>
        <v>0</v>
      </c>
      <c r="E9" s="176">
        <f t="shared" si="0"/>
        <v>0</v>
      </c>
      <c r="F9" s="177" t="e">
        <f t="shared" si="1"/>
        <v>#DIV/0!</v>
      </c>
      <c r="G9" s="144">
        <f>SUMIF('capacity data'!A:A,B9,'capacity data'!K:K)</f>
        <v>0</v>
      </c>
    </row>
    <row r="10" spans="1:15" x14ac:dyDescent="0.15">
      <c r="B10" s="141" t="s">
        <v>21</v>
      </c>
      <c r="C10" s="75">
        <f>SUMIFS('capacity data'!K:K,'capacity data'!A:A,B10,'capacity data'!E:E,"SPO")</f>
        <v>0</v>
      </c>
      <c r="D10" s="75">
        <f>SUMIFS('capacity data'!K:K,'capacity data'!E:E,"DMY",'capacity data'!A:A,B10)</f>
        <v>0</v>
      </c>
      <c r="E10" s="176">
        <f t="shared" si="0"/>
        <v>0</v>
      </c>
      <c r="F10" s="177" t="e">
        <f t="shared" si="1"/>
        <v>#DIV/0!</v>
      </c>
      <c r="G10" s="144">
        <f>SUMIF('capacity data'!A:A,B10,'capacity data'!K:K)</f>
        <v>0</v>
      </c>
    </row>
    <row r="11" spans="1:15" x14ac:dyDescent="0.15">
      <c r="B11" s="141" t="s">
        <v>22</v>
      </c>
      <c r="C11" s="75">
        <f>SUMIFS('capacity data'!K:K,'capacity data'!A:A,B11,'capacity data'!E:E,"SPO")</f>
        <v>0</v>
      </c>
      <c r="D11" s="75">
        <f>SUMIFS('capacity data'!K:K,'capacity data'!E:E,"DMY",'capacity data'!A:A,B11)</f>
        <v>0</v>
      </c>
      <c r="E11" s="176">
        <f t="shared" si="0"/>
        <v>0</v>
      </c>
      <c r="F11" s="177" t="e">
        <f t="shared" si="1"/>
        <v>#DIV/0!</v>
      </c>
      <c r="G11" s="144">
        <f>SUMIF('capacity data'!A:A,B11,'capacity data'!K:K)</f>
        <v>0</v>
      </c>
    </row>
    <row r="12" spans="1:15" x14ac:dyDescent="0.15">
      <c r="B12" s="141" t="s">
        <v>23</v>
      </c>
      <c r="C12" s="75">
        <f>SUMIFS('capacity data'!K:K,'capacity data'!A:A,B12,'capacity data'!E:E,"SPO")</f>
        <v>0</v>
      </c>
      <c r="D12" s="75">
        <f>SUMIFS('capacity data'!K:K,'capacity data'!E:E,"DMY",'capacity data'!A:A,B12)</f>
        <v>0</v>
      </c>
      <c r="E12" s="176">
        <f t="shared" si="0"/>
        <v>0</v>
      </c>
      <c r="F12" s="177" t="e">
        <f t="shared" si="1"/>
        <v>#DIV/0!</v>
      </c>
      <c r="G12" s="144">
        <f>SUMIF('capacity data'!A:A,B12,'capacity data'!K:K)</f>
        <v>0</v>
      </c>
    </row>
    <row r="13" spans="1:15" x14ac:dyDescent="0.15">
      <c r="B13" s="141" t="s">
        <v>24</v>
      </c>
      <c r="C13" s="75">
        <f>SUMIFS('capacity data'!K:K,'capacity data'!A:A,B13,'capacity data'!E:E,"SPO")</f>
        <v>0</v>
      </c>
      <c r="D13" s="75">
        <f>SUMIFS('capacity data'!K:K,'capacity data'!E:E,"DMY",'capacity data'!A:A,B13)</f>
        <v>0</v>
      </c>
      <c r="E13" s="176">
        <f t="shared" ref="E13" si="2">SUM(C13:D13)</f>
        <v>0</v>
      </c>
      <c r="F13" s="177" t="e">
        <f t="shared" ref="F13" si="3">E13/G13</f>
        <v>#DIV/0!</v>
      </c>
      <c r="G13" s="144">
        <f>SUMIF('capacity data'!A:A,B13,'capacity data'!K:K)</f>
        <v>0</v>
      </c>
    </row>
    <row r="14" spans="1:15" x14ac:dyDescent="0.15">
      <c r="B14" s="141" t="s">
        <v>25</v>
      </c>
      <c r="C14" s="75">
        <f>SUMIFS('capacity data'!K:K,'capacity data'!A:A,B14,'capacity data'!E:E,"SPO")</f>
        <v>0</v>
      </c>
      <c r="D14" s="75">
        <f>SUMIFS('capacity data'!K:K,'capacity data'!E:E,"DMY",'capacity data'!A:A,B14)</f>
        <v>0</v>
      </c>
      <c r="E14" s="176">
        <f t="shared" si="0"/>
        <v>0</v>
      </c>
      <c r="F14" s="177" t="e">
        <f t="shared" si="1"/>
        <v>#DIV/0!</v>
      </c>
      <c r="G14" s="144">
        <f>SUMIF('capacity data'!A:A,B14,'capacity data'!K:K)</f>
        <v>0</v>
      </c>
    </row>
    <row r="15" spans="1:15" x14ac:dyDescent="0.15">
      <c r="B15" s="141" t="s">
        <v>26</v>
      </c>
      <c r="C15" s="75">
        <f>SUMIFS('capacity data'!K:K,'capacity data'!A:A,B15,'capacity data'!E:E,"SPO")</f>
        <v>0</v>
      </c>
      <c r="D15" s="75">
        <f>SUMIFS('capacity data'!K:K,'capacity data'!E:E,"DMY",'capacity data'!A:A,B15)</f>
        <v>0</v>
      </c>
      <c r="E15" s="176">
        <f t="shared" si="0"/>
        <v>0</v>
      </c>
      <c r="F15" s="177" t="e">
        <f t="shared" si="1"/>
        <v>#DIV/0!</v>
      </c>
      <c r="G15" s="144">
        <f>SUMIF('capacity data'!A:A,B15,'capacity data'!K:K)</f>
        <v>0</v>
      </c>
    </row>
    <row r="16" spans="1:15" x14ac:dyDescent="0.15">
      <c r="B16" s="141" t="s">
        <v>27</v>
      </c>
      <c r="C16" s="75">
        <f>SUMIFS('capacity data'!K:K,'capacity data'!A:A,B16,'capacity data'!E:E,"SPO")</f>
        <v>0</v>
      </c>
      <c r="D16" s="75">
        <f>SUMIFS('capacity data'!K:K,'capacity data'!E:E,"DMY",'capacity data'!A:A,B16)</f>
        <v>0</v>
      </c>
      <c r="E16" s="176">
        <f t="shared" si="0"/>
        <v>0</v>
      </c>
      <c r="F16" s="177" t="e">
        <f t="shared" si="1"/>
        <v>#DIV/0!</v>
      </c>
      <c r="G16" s="144">
        <f>SUMIF('capacity data'!A:A,B16,'capacity data'!K:K)</f>
        <v>0</v>
      </c>
    </row>
    <row r="17" spans="1:7" x14ac:dyDescent="0.15">
      <c r="B17" s="141" t="s">
        <v>28</v>
      </c>
      <c r="C17" s="75">
        <f>SUMIFS('capacity data'!K:K,'capacity data'!A:A,B17,'capacity data'!E:E,"SPO")</f>
        <v>0</v>
      </c>
      <c r="D17" s="75">
        <f>SUMIFS('capacity data'!K:K,'capacity data'!E:E,"DMY",'capacity data'!A:A,B17)</f>
        <v>0</v>
      </c>
      <c r="E17" s="176">
        <f t="shared" si="0"/>
        <v>0</v>
      </c>
      <c r="F17" s="177" t="e">
        <f t="shared" si="1"/>
        <v>#DIV/0!</v>
      </c>
      <c r="G17" s="144">
        <f>SUMIF('capacity data'!A:A,B17,'capacity data'!K:K)</f>
        <v>0</v>
      </c>
    </row>
    <row r="18" spans="1:7" ht="15" thickBot="1" x14ac:dyDescent="0.2">
      <c r="B18" s="178" t="s">
        <v>848</v>
      </c>
      <c r="C18" s="110">
        <f>SUMIF('capacity data'!E:E,"SPO",'capacity data'!K:K)</f>
        <v>0</v>
      </c>
      <c r="D18" s="110">
        <f>SUMIF('capacity data'!E:E,"DMY",'capacity data'!K:K)</f>
        <v>0</v>
      </c>
      <c r="E18" s="179">
        <f t="shared" ref="E18" si="4">SUM(C18:D18)</f>
        <v>0</v>
      </c>
      <c r="F18" s="180" t="e">
        <f t="shared" ref="F18" si="5">E18/G18</f>
        <v>#DIV/0!</v>
      </c>
      <c r="G18" s="110">
        <f>SUM('capacity data'!K:K)</f>
        <v>0</v>
      </c>
    </row>
    <row r="19" spans="1:7" x14ac:dyDescent="0.15">
      <c r="C19"/>
      <c r="E19"/>
      <c r="F19"/>
      <c r="G19"/>
    </row>
    <row r="20" spans="1:7" x14ac:dyDescent="0.15">
      <c r="A20" s="31"/>
    </row>
    <row r="21" spans="1:7" x14ac:dyDescent="0.15">
      <c r="A21" s="31"/>
      <c r="C21" s="17"/>
      <c r="D21" s="17"/>
    </row>
    <row r="22" spans="1:7" x14ac:dyDescent="0.15">
      <c r="A22" s="31"/>
    </row>
    <row r="23" spans="1:7" x14ac:dyDescent="0.15">
      <c r="A23" s="31"/>
    </row>
    <row r="24" spans="1:7" x14ac:dyDescent="0.15">
      <c r="A24" s="31"/>
    </row>
    <row r="25" spans="1:7" x14ac:dyDescent="0.15">
      <c r="A25" s="31"/>
    </row>
    <row r="26" spans="1:7" x14ac:dyDescent="0.15">
      <c r="A26" s="31"/>
    </row>
  </sheetData>
  <sheetProtection selectLockedCells="1" selectUnlockedCells="1"/>
  <mergeCells count="8">
    <mergeCell ref="M1:O1"/>
    <mergeCell ref="A1:G1"/>
    <mergeCell ref="A2:G2"/>
    <mergeCell ref="E4:F4"/>
    <mergeCell ref="C4:C5"/>
    <mergeCell ref="D4:D5"/>
    <mergeCell ref="B4:B5"/>
    <mergeCell ref="G4:G5"/>
  </mergeCells>
  <pageMargins left="0.7" right="0.7" top="0.75" bottom="0.75" header="0.3" footer="0.3"/>
  <pageSetup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1"/>
  <dimension ref="A1:O131"/>
  <sheetViews>
    <sheetView showGridLines="0" zoomScale="85" zoomScaleNormal="85" workbookViewId="0">
      <selection activeCell="L116" sqref="L116"/>
    </sheetView>
  </sheetViews>
  <sheetFormatPr baseColWidth="10" defaultColWidth="8.83203125" defaultRowHeight="14" x14ac:dyDescent="0.15"/>
  <cols>
    <col min="1" max="1" width="3.5" customWidth="1"/>
    <col min="2" max="2" width="42.83203125" customWidth="1"/>
    <col min="3" max="3" width="23.83203125" bestFit="1" customWidth="1"/>
    <col min="4" max="4" width="18.83203125" bestFit="1" customWidth="1"/>
    <col min="5" max="5" width="22.5" bestFit="1" customWidth="1"/>
    <col min="6" max="6" width="29" bestFit="1" customWidth="1"/>
    <col min="7" max="7" width="19.5" customWidth="1"/>
    <col min="8" max="10" width="21.5" customWidth="1"/>
    <col min="11" max="11" width="31.5" bestFit="1" customWidth="1"/>
    <col min="12" max="12" width="21.5" customWidth="1"/>
    <col min="13" max="13" width="24.5" bestFit="1" customWidth="1"/>
    <col min="14" max="14" width="28.5" bestFit="1" customWidth="1"/>
    <col min="15" max="15" width="10.83203125" bestFit="1" customWidth="1"/>
    <col min="17" max="17" width="9.5" bestFit="1" customWidth="1"/>
  </cols>
  <sheetData>
    <row r="1" spans="1:15" ht="51.75" customHeight="1" x14ac:dyDescent="0.15">
      <c r="A1" s="533" t="s">
        <v>1171</v>
      </c>
      <c r="B1" s="533"/>
      <c r="C1" s="533"/>
      <c r="D1" s="533"/>
      <c r="E1" s="533"/>
      <c r="F1" s="533"/>
      <c r="G1" s="533"/>
      <c r="H1" s="533"/>
      <c r="I1" s="533"/>
      <c r="J1" s="533"/>
      <c r="K1" s="533"/>
      <c r="L1" s="533"/>
      <c r="M1" s="533"/>
      <c r="N1" s="533"/>
      <c r="O1" s="260"/>
    </row>
    <row r="2" spans="1:15" ht="24.75" customHeight="1" x14ac:dyDescent="0.15">
      <c r="A2" s="573"/>
      <c r="B2" s="573"/>
      <c r="C2" s="573"/>
      <c r="D2" s="573"/>
      <c r="E2" s="573"/>
      <c r="F2" s="573"/>
      <c r="G2" s="573"/>
      <c r="H2" s="573"/>
      <c r="I2" s="573"/>
      <c r="J2" s="573"/>
      <c r="K2" s="573"/>
      <c r="L2" s="573"/>
      <c r="M2" s="573"/>
      <c r="N2" s="573"/>
      <c r="O2" s="573"/>
    </row>
    <row r="3" spans="1:15" ht="9" customHeight="1" x14ac:dyDescent="0.15">
      <c r="B3" s="18"/>
      <c r="C3" s="18"/>
      <c r="D3" s="19"/>
      <c r="E3" s="19"/>
      <c r="F3" s="19"/>
      <c r="G3" s="19"/>
      <c r="H3" s="19"/>
      <c r="I3" s="19"/>
      <c r="J3" s="19"/>
      <c r="K3" s="19"/>
      <c r="L3" s="19"/>
      <c r="M3" s="19"/>
    </row>
    <row r="4" spans="1:15" x14ac:dyDescent="0.15">
      <c r="B4" s="549" t="s">
        <v>1172</v>
      </c>
      <c r="C4" s="551"/>
      <c r="E4" s="584" t="s">
        <v>1173</v>
      </c>
      <c r="F4" s="585"/>
      <c r="G4" s="585"/>
      <c r="H4" s="580" t="s">
        <v>1174</v>
      </c>
      <c r="I4" s="269"/>
      <c r="J4" s="269"/>
      <c r="K4" s="269"/>
      <c r="L4" s="269"/>
      <c r="M4" s="269"/>
    </row>
    <row r="5" spans="1:15" ht="29.25" customHeight="1" x14ac:dyDescent="0.15">
      <c r="B5" s="576"/>
      <c r="C5" s="577"/>
      <c r="E5" s="576"/>
      <c r="F5" s="586"/>
      <c r="G5" s="586"/>
      <c r="H5" s="580"/>
      <c r="I5" s="269"/>
      <c r="J5" s="269"/>
      <c r="K5" s="269"/>
      <c r="L5" s="269"/>
      <c r="M5" s="269"/>
    </row>
    <row r="6" spans="1:15" x14ac:dyDescent="0.15">
      <c r="B6" s="62" t="str">
        <f>INDEX('reductions workings'!C:C,MATCH(C6,'reductions workings'!E:E,0))</f>
        <v>Long Term Sickness Absence</v>
      </c>
      <c r="C6" s="94">
        <f>LARGE('reductions workings'!E:E,1)</f>
        <v>8.9999999999999998E-4</v>
      </c>
      <c r="E6" s="571" t="str">
        <f>INDEX('reductions workings'!$G:$G,MATCH(G6,'reductions workings'!$H:$H,0))</f>
        <v>Adoption Leave</v>
      </c>
      <c r="F6" s="572"/>
      <c r="G6" s="191">
        <f>LARGE('reductions workings'!H:H,2)</f>
        <v>0</v>
      </c>
      <c r="H6" s="66" t="e">
        <f>G6/'reductions workings'!H55:$I$55</f>
        <v>#DIV/0!</v>
      </c>
      <c r="I6" s="111"/>
      <c r="J6" s="111"/>
      <c r="K6" s="111"/>
      <c r="L6" s="111"/>
      <c r="M6" s="111"/>
    </row>
    <row r="7" spans="1:15" x14ac:dyDescent="0.15">
      <c r="B7" s="62" t="str">
        <f>INDEX('reductions workings'!C:C,MATCH(C7,'reductions workings'!E:E,0))</f>
        <v>Long Term Sickness Absence</v>
      </c>
      <c r="C7" s="94">
        <f>LARGE('reductions workings'!E:E,2)</f>
        <v>8.9999999999999998E-4</v>
      </c>
      <c r="E7" s="571" t="str">
        <f>INDEX('reductions workings'!$G:$G,MATCH(G7,'reductions workings'!$H:$H,0))</f>
        <v>Adoption Leave</v>
      </c>
      <c r="F7" s="572"/>
      <c r="G7" s="191">
        <f>LARGE('reductions workings'!H:H,3)</f>
        <v>0</v>
      </c>
      <c r="H7" s="66" t="e">
        <f>G7/'reductions workings'!H$55:$I55</f>
        <v>#DIV/0!</v>
      </c>
      <c r="I7" s="111"/>
      <c r="J7" s="111"/>
      <c r="K7" s="111"/>
      <c r="L7" s="111"/>
      <c r="M7" s="111"/>
    </row>
    <row r="8" spans="1:15" x14ac:dyDescent="0.15">
      <c r="B8" s="62" t="str">
        <f>INDEX('reductions workings'!C:C,MATCH(C8,'reductions workings'!E:E,0))</f>
        <v>Left Service</v>
      </c>
      <c r="C8" s="94">
        <f>LARGE('reductions workings'!E:E,3)</f>
        <v>8.0000000000000004E-4</v>
      </c>
      <c r="E8" s="571" t="str">
        <f>INDEX('reductions workings'!$G:$G,MATCH(G8,'reductions workings'!$H:$H,0))</f>
        <v>Adoption Leave</v>
      </c>
      <c r="F8" s="572"/>
      <c r="G8" s="191">
        <f>LARGE('reductions workings'!H:H,4)</f>
        <v>0</v>
      </c>
      <c r="H8" s="66" t="e">
        <f>G8/'reductions workings'!H$55:$I55</f>
        <v>#DIV/0!</v>
      </c>
      <c r="I8" s="111"/>
      <c r="J8" s="111"/>
      <c r="K8" s="111"/>
      <c r="L8" s="111"/>
      <c r="M8" s="111"/>
    </row>
    <row r="9" spans="1:15" x14ac:dyDescent="0.15">
      <c r="B9" s="62" t="str">
        <f>INDEX('reductions workings'!C:C,MATCH(C9,'reductions workings'!E:E,0))</f>
        <v>Left Service</v>
      </c>
      <c r="C9" s="94">
        <f>LARGE('reductions workings'!E:E,4)</f>
        <v>8.0000000000000004E-4</v>
      </c>
      <c r="E9" s="571" t="str">
        <f>INDEX('reductions workings'!$G:$G,MATCH(G9,'reductions workings'!$H:$H,0))</f>
        <v>Adoption Leave</v>
      </c>
      <c r="F9" s="572"/>
      <c r="G9" s="191">
        <f>LARGE('reductions workings'!H:H,5)</f>
        <v>0</v>
      </c>
      <c r="H9" s="66" t="e">
        <f>G9/'reductions workings'!H$55:$I55</f>
        <v>#DIV/0!</v>
      </c>
      <c r="I9" s="111"/>
      <c r="J9" s="111"/>
      <c r="K9" s="111"/>
      <c r="L9" s="111"/>
      <c r="M9" s="111"/>
    </row>
    <row r="10" spans="1:15" x14ac:dyDescent="0.15">
      <c r="B10" s="62" t="str">
        <f>INDEX('reductions workings'!C:C,MATCH(C10,'reductions workings'!E:E,0))</f>
        <v>Groups (Induction)</v>
      </c>
      <c r="C10" s="94">
        <f>LARGE('reductions workings'!E:E,5)</f>
        <v>5.9999999999999995E-4</v>
      </c>
      <c r="E10" s="571" t="str">
        <f>INDEX('reductions workings'!$G:$G,MATCH(G10,'reductions workings'!$H:$H,0))</f>
        <v>Adoption Leave</v>
      </c>
      <c r="F10" s="572"/>
      <c r="G10" s="191">
        <f>LARGE('reductions workings'!H:H,6)</f>
        <v>0</v>
      </c>
      <c r="H10" s="66" t="e">
        <f>G10/'reductions workings'!H$55:$I55</f>
        <v>#DIV/0!</v>
      </c>
      <c r="I10" s="111"/>
      <c r="J10" s="111"/>
      <c r="K10" s="111"/>
      <c r="L10" s="111"/>
      <c r="M10" s="111"/>
    </row>
    <row r="11" spans="1:15" x14ac:dyDescent="0.15">
      <c r="B11" s="62" t="str">
        <f>INDEX('reductions workings'!C:C,MATCH(C11,'reductions workings'!E:E,0))</f>
        <v>Groups (Induction)</v>
      </c>
      <c r="C11" s="94">
        <f>LARGE('reductions workings'!E:E,6)</f>
        <v>5.9999999999999995E-4</v>
      </c>
      <c r="E11" s="571" t="str">
        <f>INDEX('reductions workings'!$G:$G,MATCH(G11,'reductions workings'!$H:$H,0))</f>
        <v>Adoption Leave</v>
      </c>
      <c r="F11" s="572"/>
      <c r="G11" s="191">
        <f>LARGE('reductions workings'!H:H,7)</f>
        <v>0</v>
      </c>
      <c r="H11" s="66" t="e">
        <f>G11/'reductions workings'!H$55:$I55</f>
        <v>#DIV/0!</v>
      </c>
      <c r="I11" s="111"/>
      <c r="J11" s="111"/>
      <c r="K11" s="111"/>
      <c r="L11" s="111"/>
      <c r="M11" s="111"/>
    </row>
    <row r="12" spans="1:15" x14ac:dyDescent="0.15">
      <c r="B12" s="62" t="str">
        <f>INDEX('reductions workings'!C:C,MATCH(C12,'reductions workings'!E:E,0))</f>
        <v>Groups (Group supervision)</v>
      </c>
      <c r="C12" s="94">
        <f>LARGE('reductions workings'!E:E,7)</f>
        <v>5.0000000000000001E-4</v>
      </c>
      <c r="E12" s="571" t="str">
        <f>INDEX('reductions workings'!$G:$G,MATCH(G12,'reductions workings'!$H:$H,0))</f>
        <v>Adoption Leave</v>
      </c>
      <c r="F12" s="572"/>
      <c r="G12" s="191">
        <f>LARGE('reductions workings'!H:H,8)</f>
        <v>0</v>
      </c>
      <c r="H12" s="66" t="e">
        <f>G12/'reductions workings'!H$55:$I55</f>
        <v>#DIV/0!</v>
      </c>
      <c r="I12" s="111"/>
      <c r="J12" s="111"/>
      <c r="K12" s="111"/>
      <c r="L12" s="111"/>
      <c r="M12" s="111"/>
    </row>
    <row r="13" spans="1:15" x14ac:dyDescent="0.15">
      <c r="B13" s="62" t="str">
        <f>INDEX('reductions workings'!C:C,MATCH(C13,'reductions workings'!E:E,0))</f>
        <v>Wellbeing/Work-life balance</v>
      </c>
      <c r="C13" s="94">
        <f>LARGE('reductions workings'!E:E,8)</f>
        <v>4.0999999999999999E-4</v>
      </c>
      <c r="E13" s="571" t="str">
        <f>INDEX('reductions workings'!$G:$G,MATCH(G13,'reductions workings'!$H:$H,0))</f>
        <v>Adoption Leave</v>
      </c>
      <c r="F13" s="572"/>
      <c r="G13" s="191">
        <f>LARGE('reductions workings'!H:H,9)</f>
        <v>0</v>
      </c>
      <c r="H13" s="66" t="e">
        <f>G13/'reductions workings'!H$55:$I55</f>
        <v>#DIV/0!</v>
      </c>
      <c r="I13" s="111"/>
      <c r="J13" s="111"/>
      <c r="K13" s="111"/>
      <c r="L13" s="111"/>
      <c r="M13" s="111"/>
    </row>
    <row r="14" spans="1:15" x14ac:dyDescent="0.15">
      <c r="B14" s="62" t="str">
        <f>INDEX('reductions workings'!C:C,MATCH(C14,'reductions workings'!E:E,0))</f>
        <v>Disability</v>
      </c>
      <c r="C14" s="94">
        <f>LARGE('reductions workings'!E:E,9)</f>
        <v>4.0000000000000002E-4</v>
      </c>
      <c r="E14" s="571" t="str">
        <f>INDEX('reductions workings'!$G:$G,MATCH(G14,'reductions workings'!$H:$H,0))</f>
        <v>Adoption Leave</v>
      </c>
      <c r="F14" s="572"/>
      <c r="G14" s="191">
        <f>LARGE('reductions workings'!H:H,10)</f>
        <v>0</v>
      </c>
      <c r="H14" s="66" t="e">
        <f>G14/'reductions workings'!H$55:$I55</f>
        <v>#DIV/0!</v>
      </c>
      <c r="I14" s="111"/>
      <c r="J14" s="111"/>
      <c r="K14" s="111"/>
      <c r="L14" s="111"/>
      <c r="M14" s="111"/>
    </row>
    <row r="15" spans="1:15" x14ac:dyDescent="0.15">
      <c r="B15" s="62" t="str">
        <f>INDEX('reductions workings'!C:C,MATCH(C15,'reductions workings'!E:E,0))</f>
        <v>VQ3</v>
      </c>
      <c r="C15" s="94">
        <f>LARGE('reductions workings'!E:E,10)</f>
        <v>3.8999999999999999E-4</v>
      </c>
      <c r="E15" s="571" t="str">
        <f>INDEX('reductions workings'!$G:$G,MATCH(G15,'reductions workings'!$H:$H,0))</f>
        <v>Adoption Leave</v>
      </c>
      <c r="F15" s="572"/>
      <c r="G15" s="191">
        <f>LARGE('reductions workings'!H:H,11)</f>
        <v>0</v>
      </c>
      <c r="H15" s="66" t="e">
        <f>G15/'reductions workings'!H$55:$I55</f>
        <v>#DIV/0!</v>
      </c>
      <c r="I15" s="111"/>
      <c r="J15" s="111"/>
      <c r="K15" s="111"/>
      <c r="L15" s="111"/>
      <c r="M15" s="111"/>
    </row>
    <row r="16" spans="1:15" x14ac:dyDescent="0.15">
      <c r="B16" s="62" t="str">
        <f>INDEX('reductions workings'!C:C,MATCH(C16,'reductions workings'!E:E,0))</f>
        <v>VQ3</v>
      </c>
      <c r="C16" s="94">
        <f>LARGE('reductions workings'!E:E,11)</f>
        <v>3.8999999999999999E-4</v>
      </c>
      <c r="E16" s="571" t="str">
        <f>INDEX('reductions workings'!$G:$G,MATCH(G16,'reductions workings'!$H:$H,0))</f>
        <v>Adoption Leave</v>
      </c>
      <c r="F16" s="572"/>
      <c r="G16" s="191">
        <f>LARGE('reductions workings'!H:H,12)</f>
        <v>0</v>
      </c>
      <c r="H16" s="66" t="e">
        <f>G16/'reductions workings'!H$55:$I55</f>
        <v>#DIV/0!</v>
      </c>
      <c r="I16" s="111"/>
      <c r="J16" s="111"/>
      <c r="K16" s="111"/>
      <c r="L16" s="111"/>
      <c r="M16" s="111"/>
    </row>
    <row r="17" spans="2:15" x14ac:dyDescent="0.15">
      <c r="B17" s="62" t="str">
        <f>INDEX('reductions workings'!C:C,MATCH(C17,'reductions workings'!E:E,0))</f>
        <v>Trade Union Facility Time</v>
      </c>
      <c r="C17" s="94">
        <f>LARGE('reductions workings'!E:E,12)</f>
        <v>3.8000000000000002E-4</v>
      </c>
      <c r="E17" s="571" t="str">
        <f>INDEX('reductions workings'!$G:$G,MATCH(G17,'reductions workings'!$H:$H,0))</f>
        <v>Adoption Leave</v>
      </c>
      <c r="F17" s="572"/>
      <c r="G17" s="191">
        <f>LARGE('reductions workings'!H:H,13)</f>
        <v>0</v>
      </c>
      <c r="H17" s="66" t="e">
        <f>G17/'reductions workings'!H$55:$I55</f>
        <v>#DIV/0!</v>
      </c>
      <c r="I17" s="111"/>
      <c r="J17" s="111"/>
      <c r="K17" s="111"/>
      <c r="L17" s="111"/>
      <c r="M17" s="111"/>
    </row>
    <row r="18" spans="2:15" x14ac:dyDescent="0.15">
      <c r="B18" s="62" t="str">
        <f>INDEX('reductions workings'!C:C,MATCH(C18,'reductions workings'!E:E,0))</f>
        <v>SPOC Lead</v>
      </c>
      <c r="C18" s="94">
        <f>LARGE('reductions workings'!E:E,13)</f>
        <v>3.6999999999999999E-4</v>
      </c>
      <c r="E18" s="571" t="str">
        <f>INDEX('reductions workings'!$G:$G,MATCH(G18,'reductions workings'!$H:$H,0))</f>
        <v>Adoption Leave</v>
      </c>
      <c r="F18" s="572"/>
      <c r="G18" s="191">
        <f>LARGE('reductions workings'!H:H,14)</f>
        <v>0</v>
      </c>
      <c r="H18" s="66" t="e">
        <f>G18/'reductions workings'!H$55:$I55</f>
        <v>#DIV/0!</v>
      </c>
      <c r="I18" s="111"/>
      <c r="J18" s="111"/>
      <c r="K18" s="111"/>
      <c r="L18" s="111"/>
      <c r="M18" s="111"/>
    </row>
    <row r="19" spans="2:15" x14ac:dyDescent="0.15">
      <c r="B19" s="62" t="str">
        <f>INDEX('reductions workings'!C:C,MATCH(C19,'reductions workings'!E:E,0))</f>
        <v>Split Role</v>
      </c>
      <c r="C19" s="94">
        <f>LARGE('reductions workings'!E:E,14)</f>
        <v>3.6000000000000002E-4</v>
      </c>
      <c r="E19" s="571" t="str">
        <f>INDEX('reductions workings'!$G:$G,MATCH(G19,'reductions workings'!$H:$H,0))</f>
        <v>Adoption Leave</v>
      </c>
      <c r="F19" s="572"/>
      <c r="G19" s="191">
        <f>LARGE('reductions workings'!H:H,15)</f>
        <v>0</v>
      </c>
      <c r="H19" s="66" t="e">
        <f>G19/'reductions workings'!H$55:$I55</f>
        <v>#DIV/0!</v>
      </c>
      <c r="I19" s="111"/>
      <c r="J19" s="111"/>
      <c r="K19" s="111"/>
      <c r="L19" s="111"/>
      <c r="M19" s="111"/>
    </row>
    <row r="20" spans="2:15" x14ac:dyDescent="0.15">
      <c r="B20" s="62" t="str">
        <f>INDEX('reductions workings'!C:C,MATCH(C20,'reductions workings'!E:E,0))</f>
        <v>Special Leave</v>
      </c>
      <c r="C20" s="94">
        <f>LARGE('reductions workings'!E:E,15)</f>
        <v>3.5E-4</v>
      </c>
      <c r="E20" s="571" t="str">
        <f>INDEX('reductions workings'!$G:$G,MATCH(G20,'reductions workings'!$H:$H,0))</f>
        <v>Adoption Leave</v>
      </c>
      <c r="F20" s="572"/>
      <c r="G20" s="191">
        <f>LARGE('reductions workings'!H:H,16)</f>
        <v>0</v>
      </c>
      <c r="H20" s="66" t="e">
        <f>G20/'reductions workings'!H$55:$I55</f>
        <v>#DIV/0!</v>
      </c>
      <c r="I20" s="111"/>
      <c r="J20" s="111"/>
      <c r="K20" s="111"/>
      <c r="L20" s="111"/>
      <c r="M20" s="111"/>
    </row>
    <row r="21" spans="2:15" ht="28" x14ac:dyDescent="0.15">
      <c r="B21" s="217" t="s">
        <v>1175</v>
      </c>
      <c r="C21" s="134">
        <f>SUM(C6:C20)</f>
        <v>8.1499999999999993E-3</v>
      </c>
      <c r="E21" s="583" t="s">
        <v>1176</v>
      </c>
      <c r="F21" s="572"/>
      <c r="G21" s="581">
        <f>SUM(G6:G20)</f>
        <v>0</v>
      </c>
      <c r="H21" s="582"/>
      <c r="I21" s="6"/>
      <c r="J21" s="6"/>
      <c r="K21" s="6"/>
      <c r="L21" s="6"/>
      <c r="M21" s="6"/>
    </row>
    <row r="22" spans="2:15" ht="28" x14ac:dyDescent="0.15">
      <c r="B22" s="218" t="s">
        <v>1177</v>
      </c>
      <c r="C22" s="135">
        <f>COUNTIF('reductions data'!K:K,"ACTIVE")</f>
        <v>0</v>
      </c>
      <c r="E22" s="578" t="s">
        <v>1178</v>
      </c>
      <c r="F22" s="579"/>
      <c r="G22" s="581">
        <f>LARGE('reductions workings'!H:H,1)</f>
        <v>0</v>
      </c>
      <c r="H22" s="582"/>
      <c r="I22" s="6"/>
      <c r="J22" s="6"/>
      <c r="K22" s="6"/>
      <c r="L22" s="6"/>
      <c r="M22" s="6"/>
    </row>
    <row r="23" spans="2:15" ht="16" x14ac:dyDescent="0.2">
      <c r="B23" s="1"/>
      <c r="C23" s="1"/>
    </row>
    <row r="24" spans="2:15" ht="20" x14ac:dyDescent="0.2">
      <c r="C24" s="574" t="s">
        <v>1179</v>
      </c>
      <c r="D24" s="575"/>
      <c r="E24" s="575"/>
      <c r="F24" s="575"/>
      <c r="G24" s="575"/>
      <c r="H24" s="575"/>
      <c r="I24" s="575"/>
      <c r="J24" s="575"/>
      <c r="K24" s="575"/>
      <c r="L24" s="575"/>
      <c r="M24" s="575"/>
      <c r="N24" s="575"/>
      <c r="O24" s="575"/>
    </row>
    <row r="25" spans="2:15" ht="40.5" customHeight="1" x14ac:dyDescent="0.15">
      <c r="B25" s="76" t="s">
        <v>889</v>
      </c>
      <c r="C25" s="76" t="s">
        <v>17</v>
      </c>
      <c r="D25" s="76" t="s">
        <v>18</v>
      </c>
      <c r="E25" s="76" t="s">
        <v>19</v>
      </c>
      <c r="F25" s="76" t="s">
        <v>20</v>
      </c>
      <c r="G25" s="76" t="s">
        <v>21</v>
      </c>
      <c r="H25" s="76" t="s">
        <v>22</v>
      </c>
      <c r="I25" s="76" t="s">
        <v>23</v>
      </c>
      <c r="J25" s="76" t="s">
        <v>24</v>
      </c>
      <c r="K25" s="76" t="s">
        <v>25</v>
      </c>
      <c r="L25" s="76" t="s">
        <v>26</v>
      </c>
      <c r="M25" s="76" t="s">
        <v>27</v>
      </c>
      <c r="N25" s="76" t="s">
        <v>28</v>
      </c>
      <c r="O25" s="76" t="s">
        <v>1180</v>
      </c>
    </row>
    <row r="26" spans="2:15" x14ac:dyDescent="0.15">
      <c r="B26" s="112" t="s">
        <v>892</v>
      </c>
      <c r="C26" s="62">
        <f>COUNTIFS('reductions data'!G:G,'reasons for reduction division'!B26,'reductions data'!A:A,$C$25)</f>
        <v>0</v>
      </c>
      <c r="D26" s="62">
        <f>COUNTIFS('reductions data'!G:G,'reasons for reduction division'!B26,'reductions data'!A:A,$D$25)</f>
        <v>0</v>
      </c>
      <c r="E26" s="62">
        <f>COUNTIFS('reductions data'!G:G,'reasons for reduction division'!B26,'reductions data'!A:A,$E$25)</f>
        <v>0</v>
      </c>
      <c r="F26" s="62">
        <f>COUNTIFS('reductions data'!G:G,'reasons for reduction division'!B26,'reductions data'!A:A,$F$25)</f>
        <v>0</v>
      </c>
      <c r="G26" s="62">
        <f>COUNTIFS('reductions data'!G:G,'reasons for reduction division'!B26,'reductions data'!A:A,$G$25)</f>
        <v>0</v>
      </c>
      <c r="H26" s="62">
        <f>COUNTIFS('reductions data'!G:G,'reasons for reduction division'!B26,'reductions data'!A:A,$H$25)</f>
        <v>0</v>
      </c>
      <c r="I26" s="62">
        <f>COUNTIFS('reductions data'!G:G,'reasons for reduction division'!B26,'reductions data'!A:A,$I$25)</f>
        <v>0</v>
      </c>
      <c r="J26" s="62">
        <f>COUNTIFS('reductions data'!G:G,'reasons for reduction division'!B26,'reductions data'!A:A,$J$25)</f>
        <v>0</v>
      </c>
      <c r="K26" s="62">
        <f>COUNTIFS('reductions data'!G:G,'reasons for reduction division'!B26,'reductions data'!A:A,$K$25)</f>
        <v>0</v>
      </c>
      <c r="L26" s="62">
        <f>COUNTIFS('reductions data'!G:G,'reasons for reduction division'!B26,'reductions data'!A:A,$L$25)</f>
        <v>0</v>
      </c>
      <c r="M26" s="62">
        <f>COUNTIFS('reductions data'!G:G,'reasons for reduction division'!B26,'reductions data'!A:A,$M$25)</f>
        <v>0</v>
      </c>
      <c r="N26" s="62">
        <f>COUNTIFS('reductions data'!G:G,'reasons for reduction division'!B26,'reductions data'!A:A,$N$25)</f>
        <v>0</v>
      </c>
      <c r="O26" s="105">
        <f>COUNTIF('reductions data'!G:G,'reasons for reduction division'!B26)</f>
        <v>0</v>
      </c>
    </row>
    <row r="27" spans="2:15" x14ac:dyDescent="0.15">
      <c r="B27" s="113" t="s">
        <v>894</v>
      </c>
      <c r="C27" s="62">
        <f>COUNTIFS('reductions data'!G:G,'reasons for reduction division'!B27,'reductions data'!A:A,$C$25)</f>
        <v>0</v>
      </c>
      <c r="D27" s="62">
        <f>COUNTIFS('reductions data'!G:G,'reasons for reduction division'!B27,'reductions data'!A:A,$D$25)</f>
        <v>0</v>
      </c>
      <c r="E27" s="62">
        <f>COUNTIFS('reductions data'!G:G,'reasons for reduction division'!B27,'reductions data'!A:A,$E$25)</f>
        <v>0</v>
      </c>
      <c r="F27" s="62">
        <f>COUNTIFS('reductions data'!G:G,'reasons for reduction division'!B27,'reductions data'!A:A,$F$25)</f>
        <v>0</v>
      </c>
      <c r="G27" s="62">
        <f>COUNTIFS('reductions data'!G:G,'reasons for reduction division'!B27,'reductions data'!A:A,$G$25)</f>
        <v>0</v>
      </c>
      <c r="H27" s="62">
        <f>COUNTIFS('reductions data'!G:G,'reasons for reduction division'!B27,'reductions data'!A:A,$H$25)</f>
        <v>0</v>
      </c>
      <c r="I27" s="62">
        <f>COUNTIFS('reductions data'!G:G,'reasons for reduction division'!B27,'reductions data'!A:A,$I$25)</f>
        <v>0</v>
      </c>
      <c r="J27" s="62">
        <f>COUNTIFS('reductions data'!G:G,'reasons for reduction division'!B27,'reductions data'!A:A,$J$25)</f>
        <v>0</v>
      </c>
      <c r="K27" s="62">
        <f>COUNTIFS('reductions data'!G:G,'reasons for reduction division'!B27,'reductions data'!A:A,$K$25)</f>
        <v>0</v>
      </c>
      <c r="L27" s="62">
        <f>COUNTIFS('reductions data'!G:G,'reasons for reduction division'!B27,'reductions data'!A:A,$L$25)</f>
        <v>0</v>
      </c>
      <c r="M27" s="62">
        <f>COUNTIFS('reductions data'!G:G,'reasons for reduction division'!B27,'reductions data'!A:A,$M$25)</f>
        <v>0</v>
      </c>
      <c r="N27" s="62">
        <f>COUNTIFS('reductions data'!G:G,'reasons for reduction division'!B27,'reductions data'!A:A,$N$25)</f>
        <v>0</v>
      </c>
      <c r="O27" s="105">
        <f>COUNTIF('reductions data'!G:G,'reasons for reduction division'!B27)</f>
        <v>0</v>
      </c>
    </row>
    <row r="28" spans="2:15" x14ac:dyDescent="0.15">
      <c r="B28" s="113" t="s">
        <v>893</v>
      </c>
      <c r="C28" s="62">
        <f>COUNTIFS('reductions data'!G:G,'reasons for reduction division'!B28,'reductions data'!A:A,$C$25)</f>
        <v>0</v>
      </c>
      <c r="D28" s="62">
        <f>COUNTIFS('reductions data'!G:G,'reasons for reduction division'!B28,'reductions data'!A:A,$D$25)</f>
        <v>0</v>
      </c>
      <c r="E28" s="62">
        <f>COUNTIFS('reductions data'!G:G,'reasons for reduction division'!B28,'reductions data'!A:A,$E$25)</f>
        <v>0</v>
      </c>
      <c r="F28" s="62">
        <f>COUNTIFS('reductions data'!G:G,'reasons for reduction division'!B28,'reductions data'!A:A,$F$25)</f>
        <v>0</v>
      </c>
      <c r="G28" s="62">
        <f>COUNTIFS('reductions data'!G:G,'reasons for reduction division'!B28,'reductions data'!A:A,$G$25)</f>
        <v>0</v>
      </c>
      <c r="H28" s="62">
        <f>COUNTIFS('reductions data'!G:G,'reasons for reduction division'!B28,'reductions data'!A:A,$H$25)</f>
        <v>0</v>
      </c>
      <c r="I28" s="62">
        <f>COUNTIFS('reductions data'!G:G,'reasons for reduction division'!B28,'reductions data'!A:A,$I$25)</f>
        <v>0</v>
      </c>
      <c r="J28" s="62">
        <f>COUNTIFS('reductions data'!G:G,'reasons for reduction division'!B28,'reductions data'!A:A,$J$25)</f>
        <v>0</v>
      </c>
      <c r="K28" s="62">
        <f>COUNTIFS('reductions data'!G:G,'reasons for reduction division'!B28,'reductions data'!A:A,$K$25)</f>
        <v>0</v>
      </c>
      <c r="L28" s="62">
        <f>COUNTIFS('reductions data'!G:G,'reasons for reduction division'!B28,'reductions data'!A:A,$L$25)</f>
        <v>0</v>
      </c>
      <c r="M28" s="62">
        <f>COUNTIFS('reductions data'!G:G,'reasons for reduction division'!B28,'reductions data'!A:A,$M$25)</f>
        <v>0</v>
      </c>
      <c r="N28" s="62">
        <f>COUNTIFS('reductions data'!G:G,'reasons for reduction division'!B28,'reductions data'!A:A,$N$25)</f>
        <v>0</v>
      </c>
      <c r="O28" s="105">
        <f>COUNTIF('reductions data'!G:G,'reasons for reduction division'!B28)</f>
        <v>0</v>
      </c>
    </row>
    <row r="29" spans="2:15" x14ac:dyDescent="0.15">
      <c r="B29" s="113" t="s">
        <v>895</v>
      </c>
      <c r="C29" s="62">
        <f>COUNTIFS('reductions data'!G:G,'reasons for reduction division'!B29,'reductions data'!A:A,$C$25)</f>
        <v>0</v>
      </c>
      <c r="D29" s="62">
        <f>COUNTIFS('reductions data'!G:G,'reasons for reduction division'!B29,'reductions data'!A:A,$D$25)</f>
        <v>0</v>
      </c>
      <c r="E29" s="62">
        <f>COUNTIFS('reductions data'!G:G,'reasons for reduction division'!B29,'reductions data'!A:A,$E$25)</f>
        <v>0</v>
      </c>
      <c r="F29" s="62">
        <f>COUNTIFS('reductions data'!G:G,'reasons for reduction division'!B29,'reductions data'!A:A,$F$25)</f>
        <v>0</v>
      </c>
      <c r="G29" s="62">
        <f>COUNTIFS('reductions data'!G:G,'reasons for reduction division'!B29,'reductions data'!A:A,$G$25)</f>
        <v>0</v>
      </c>
      <c r="H29" s="62">
        <f>COUNTIFS('reductions data'!G:G,'reasons for reduction division'!B29,'reductions data'!A:A,$H$25)</f>
        <v>0</v>
      </c>
      <c r="I29" s="62">
        <f>COUNTIFS('reductions data'!G:G,'reasons for reduction division'!B29,'reductions data'!A:A,$I$25)</f>
        <v>0</v>
      </c>
      <c r="J29" s="62">
        <f>COUNTIFS('reductions data'!G:G,'reasons for reduction division'!B29,'reductions data'!A:A,$J$25)</f>
        <v>0</v>
      </c>
      <c r="K29" s="62">
        <f>COUNTIFS('reductions data'!G:G,'reasons for reduction division'!B29,'reductions data'!A:A,$K$25)</f>
        <v>0</v>
      </c>
      <c r="L29" s="62">
        <f>COUNTIFS('reductions data'!G:G,'reasons for reduction division'!B29,'reductions data'!A:A,$L$25)</f>
        <v>0</v>
      </c>
      <c r="M29" s="62">
        <f>COUNTIFS('reductions data'!G:G,'reasons for reduction division'!B29,'reductions data'!A:A,$M$25)</f>
        <v>0</v>
      </c>
      <c r="N29" s="62">
        <f>COUNTIFS('reductions data'!G:G,'reasons for reduction division'!B29,'reductions data'!A:A,$N$25)</f>
        <v>0</v>
      </c>
      <c r="O29" s="105">
        <f>COUNTIF('reductions data'!G:G,'reasons for reduction division'!B29)</f>
        <v>0</v>
      </c>
    </row>
    <row r="30" spans="2:15" x14ac:dyDescent="0.15">
      <c r="B30" s="113" t="s">
        <v>896</v>
      </c>
      <c r="C30" s="62">
        <f>COUNTIFS('reductions data'!G:G,'reasons for reduction division'!B30,'reductions data'!A:A,$C$25)</f>
        <v>0</v>
      </c>
      <c r="D30" s="62">
        <f>COUNTIFS('reductions data'!G:G,'reasons for reduction division'!B30,'reductions data'!A:A,$D$25)</f>
        <v>0</v>
      </c>
      <c r="E30" s="62">
        <f>COUNTIFS('reductions data'!G:G,'reasons for reduction division'!B30,'reductions data'!A:A,$E$25)</f>
        <v>0</v>
      </c>
      <c r="F30" s="62">
        <f>COUNTIFS('reductions data'!G:G,'reasons for reduction division'!B30,'reductions data'!A:A,$F$25)</f>
        <v>0</v>
      </c>
      <c r="G30" s="62">
        <f>COUNTIFS('reductions data'!G:G,'reasons for reduction division'!B30,'reductions data'!A:A,$G$25)</f>
        <v>0</v>
      </c>
      <c r="H30" s="62">
        <f>COUNTIFS('reductions data'!G:G,'reasons for reduction division'!B30,'reductions data'!A:A,$H$25)</f>
        <v>0</v>
      </c>
      <c r="I30" s="62">
        <f>COUNTIFS('reductions data'!G:G,'reasons for reduction division'!B30,'reductions data'!A:A,$I$25)</f>
        <v>0</v>
      </c>
      <c r="J30" s="62">
        <f>COUNTIFS('reductions data'!G:G,'reasons for reduction division'!B30,'reductions data'!A:A,$J$25)</f>
        <v>0</v>
      </c>
      <c r="K30" s="62">
        <f>COUNTIFS('reductions data'!G:G,'reasons for reduction division'!B30,'reductions data'!A:A,$K$25)</f>
        <v>0</v>
      </c>
      <c r="L30" s="62">
        <f>COUNTIFS('reductions data'!G:G,'reasons for reduction division'!B30,'reductions data'!A:A,$L$25)</f>
        <v>0</v>
      </c>
      <c r="M30" s="62">
        <f>COUNTIFS('reductions data'!G:G,'reasons for reduction division'!B30,'reductions data'!A:A,$M$25)</f>
        <v>0</v>
      </c>
      <c r="N30" s="62">
        <f>COUNTIFS('reductions data'!G:G,'reasons for reduction division'!B30,'reductions data'!A:A,$N$25)</f>
        <v>0</v>
      </c>
      <c r="O30" s="105">
        <f>COUNTIF('reductions data'!G:G,'reasons for reduction division'!B30)</f>
        <v>0</v>
      </c>
    </row>
    <row r="31" spans="2:15" ht="15" customHeight="1" x14ac:dyDescent="0.15">
      <c r="B31" s="113" t="s">
        <v>897</v>
      </c>
      <c r="C31" s="62">
        <f>COUNTIFS('reductions data'!G:G,'reasons for reduction division'!B31,'reductions data'!A:A,$C$25)</f>
        <v>0</v>
      </c>
      <c r="D31" s="62">
        <f>COUNTIFS('reductions data'!G:G,'reasons for reduction division'!B31,'reductions data'!A:A,$D$25)</f>
        <v>0</v>
      </c>
      <c r="E31" s="62">
        <f>COUNTIFS('reductions data'!G:G,'reasons for reduction division'!B31,'reductions data'!A:A,$E$25)</f>
        <v>0</v>
      </c>
      <c r="F31" s="62">
        <f>COUNTIFS('reductions data'!G:G,'reasons for reduction division'!B31,'reductions data'!A:A,$F$25)</f>
        <v>0</v>
      </c>
      <c r="G31" s="62">
        <f>COUNTIFS('reductions data'!G:G,'reasons for reduction division'!B31,'reductions data'!A:A,$G$25)</f>
        <v>0</v>
      </c>
      <c r="H31" s="62">
        <f>COUNTIFS('reductions data'!G:G,'reasons for reduction division'!B31,'reductions data'!A:A,$H$25)</f>
        <v>0</v>
      </c>
      <c r="I31" s="62">
        <f>COUNTIFS('reductions data'!G:G,'reasons for reduction division'!B31,'reductions data'!A:A,$I$25)</f>
        <v>0</v>
      </c>
      <c r="J31" s="62">
        <f>COUNTIFS('reductions data'!G:G,'reasons for reduction division'!B31,'reductions data'!A:A,$J$25)</f>
        <v>0</v>
      </c>
      <c r="K31" s="62">
        <f>COUNTIFS('reductions data'!G:G,'reasons for reduction division'!B31,'reductions data'!A:A,$K$25)</f>
        <v>0</v>
      </c>
      <c r="L31" s="62">
        <f>COUNTIFS('reductions data'!G:G,'reasons for reduction division'!B31,'reductions data'!A:A,$L$25)</f>
        <v>0</v>
      </c>
      <c r="M31" s="62">
        <f>COUNTIFS('reductions data'!G:G,'reasons for reduction division'!B31,'reductions data'!A:A,$M$25)</f>
        <v>0</v>
      </c>
      <c r="N31" s="62">
        <f>COUNTIFS('reductions data'!G:G,'reasons for reduction division'!B31,'reductions data'!A:A,$N$25)</f>
        <v>0</v>
      </c>
      <c r="O31" s="105">
        <f>COUNTIF('reductions data'!G:G,'reasons for reduction division'!B31)</f>
        <v>0</v>
      </c>
    </row>
    <row r="32" spans="2:15" ht="15" customHeight="1" x14ac:dyDescent="0.15">
      <c r="B32" s="113" t="s">
        <v>898</v>
      </c>
      <c r="C32" s="62">
        <f>COUNTIFS('reductions data'!G:G,'reasons for reduction division'!B32,'reductions data'!A:A,$C$25)</f>
        <v>0</v>
      </c>
      <c r="D32" s="62">
        <f>COUNTIFS('reductions data'!G:G,'reasons for reduction division'!B32,'reductions data'!A:A,$D$25)</f>
        <v>0</v>
      </c>
      <c r="E32" s="62">
        <f>COUNTIFS('reductions data'!G:G,'reasons for reduction division'!B32,'reductions data'!A:A,$E$25)</f>
        <v>0</v>
      </c>
      <c r="F32" s="62">
        <f>COUNTIFS('reductions data'!G:G,'reasons for reduction division'!B32,'reductions data'!A:A,$F$25)</f>
        <v>0</v>
      </c>
      <c r="G32" s="62">
        <f>COUNTIFS('reductions data'!G:G,'reasons for reduction division'!B32,'reductions data'!A:A,$G$25)</f>
        <v>0</v>
      </c>
      <c r="H32" s="62">
        <f>COUNTIFS('reductions data'!G:G,'reasons for reduction division'!B32,'reductions data'!A:A,$H$25)</f>
        <v>0</v>
      </c>
      <c r="I32" s="62">
        <f>COUNTIFS('reductions data'!G:G,'reasons for reduction division'!B32,'reductions data'!A:A,$I$25)</f>
        <v>0</v>
      </c>
      <c r="J32" s="62">
        <f>COUNTIFS('reductions data'!G:G,'reasons for reduction division'!B32,'reductions data'!A:A,$J$25)</f>
        <v>0</v>
      </c>
      <c r="K32" s="62">
        <f>COUNTIFS('reductions data'!G:G,'reasons for reduction division'!B32,'reductions data'!A:A,$K$25)</f>
        <v>0</v>
      </c>
      <c r="L32" s="62">
        <f>COUNTIFS('reductions data'!G:G,'reasons for reduction division'!B32,'reductions data'!A:A,$L$25)</f>
        <v>0</v>
      </c>
      <c r="M32" s="62">
        <f>COUNTIFS('reductions data'!G:G,'reasons for reduction division'!B32,'reductions data'!A:A,$M$25)</f>
        <v>0</v>
      </c>
      <c r="N32" s="62">
        <f>COUNTIFS('reductions data'!G:G,'reasons for reduction division'!B32,'reductions data'!A:A,$N$25)</f>
        <v>0</v>
      </c>
      <c r="O32" s="105">
        <f>COUNTIF('reductions data'!G:G,'reasons for reduction division'!B32)</f>
        <v>0</v>
      </c>
    </row>
    <row r="33" spans="2:15" x14ac:dyDescent="0.15">
      <c r="B33" s="113" t="s">
        <v>1257</v>
      </c>
      <c r="C33" s="62">
        <f>COUNTIFS('reductions data'!G:G,'reasons for reduction division'!B34,'reductions data'!A:A,$C$25)</f>
        <v>0</v>
      </c>
      <c r="D33" s="62">
        <f>COUNTIFS('reductions data'!G:G,'reasons for reduction division'!B34,'reductions data'!A:A,$D$25)</f>
        <v>0</v>
      </c>
      <c r="E33" s="62">
        <f>COUNTIFS('reductions data'!G:G,'reasons for reduction division'!B34,'reductions data'!A:A,$E$25)</f>
        <v>0</v>
      </c>
      <c r="F33" s="62">
        <f>COUNTIFS('reductions data'!G:G,'reasons for reduction division'!B33,'reductions data'!A:A,$F$25)</f>
        <v>0</v>
      </c>
      <c r="G33" s="62">
        <f>COUNTIFS('reductions data'!G:G,'reasons for reduction division'!B33,'reductions data'!A:A,$G$25)</f>
        <v>0</v>
      </c>
      <c r="H33" s="62">
        <f>COUNTIFS('reductions data'!G:G,'reasons for reduction division'!B33,'reductions data'!A:A,$H$25)</f>
        <v>0</v>
      </c>
      <c r="I33" s="62">
        <f>COUNTIFS('reductions data'!G:G,'reasons for reduction division'!B33,'reductions data'!A:A,$I$25)</f>
        <v>0</v>
      </c>
      <c r="J33" s="62">
        <f>COUNTIFS('reductions data'!G:G,'reasons for reduction division'!B33,'reductions data'!A:A,$J$25)</f>
        <v>0</v>
      </c>
      <c r="K33" s="62">
        <f>COUNTIFS('reductions data'!G:G,'reasons for reduction division'!B33,'reductions data'!A:A,$K$25)</f>
        <v>0</v>
      </c>
      <c r="L33" s="62">
        <f>COUNTIFS('reductions data'!G:G,'reasons for reduction division'!B33,'reductions data'!A:A,$L$25)</f>
        <v>0</v>
      </c>
      <c r="M33" s="62">
        <f>COUNTIFS('reductions data'!G:G,'reasons for reduction division'!B33,'reductions data'!A:A,$M$25)</f>
        <v>0</v>
      </c>
      <c r="N33" s="62">
        <f>COUNTIFS('reductions data'!G:G,'reasons for reduction division'!B33,'reductions data'!A:A,$N$25)</f>
        <v>0</v>
      </c>
      <c r="O33" s="105">
        <f>COUNTIF('reductions data'!G:G,'reasons for reduction division'!B33)</f>
        <v>0</v>
      </c>
    </row>
    <row r="34" spans="2:15" x14ac:dyDescent="0.15">
      <c r="B34" s="113" t="s">
        <v>899</v>
      </c>
      <c r="C34" s="62">
        <f>COUNTIFS('reductions data'!G:G,'reasons for reduction division'!B33,'reductions data'!A:A,$C$25)</f>
        <v>0</v>
      </c>
      <c r="D34" s="62">
        <f>COUNTIFS('reductions data'!G:G,'reasons for reduction division'!B33,'reductions data'!A:A,$D$25)</f>
        <v>0</v>
      </c>
      <c r="E34" s="62">
        <f>COUNTIFS('reductions data'!G:G,'reasons for reduction division'!B33,'reductions data'!A:A,$E$25)</f>
        <v>0</v>
      </c>
      <c r="F34" s="62">
        <f>COUNTIFS('reductions data'!G:G,'reasons for reduction division'!B34,'reductions data'!A:A,$F$25)</f>
        <v>0</v>
      </c>
      <c r="G34" s="62">
        <f>COUNTIFS('reductions data'!G:G,'reasons for reduction division'!B34,'reductions data'!A:A,$G$25)</f>
        <v>0</v>
      </c>
      <c r="H34" s="62">
        <f>COUNTIFS('reductions data'!G:G,'reasons for reduction division'!B34,'reductions data'!A:A,$H$25)</f>
        <v>0</v>
      </c>
      <c r="I34" s="62">
        <f>COUNTIFS('reductions data'!G:G,'reasons for reduction division'!B34,'reductions data'!A:A,$I$25)</f>
        <v>0</v>
      </c>
      <c r="J34" s="62">
        <f>COUNTIFS('reductions data'!G:G,'reasons for reduction division'!B34,'reductions data'!A:A,$J$25)</f>
        <v>0</v>
      </c>
      <c r="K34" s="62">
        <f>COUNTIFS('reductions data'!G:G,'reasons for reduction division'!B34,'reductions data'!A:A,$K$25)</f>
        <v>0</v>
      </c>
      <c r="L34" s="62">
        <f>COUNTIFS('reductions data'!G:G,'reasons for reduction division'!B34,'reductions data'!A:A,$L$25)</f>
        <v>0</v>
      </c>
      <c r="M34" s="62">
        <f>COUNTIFS('reductions data'!G:G,'reasons for reduction division'!B34,'reductions data'!A:A,$M$25)</f>
        <v>0</v>
      </c>
      <c r="N34" s="62">
        <f>COUNTIFS('reductions data'!G:G,'reasons for reduction division'!B34,'reductions data'!A:A,$N$25)</f>
        <v>0</v>
      </c>
      <c r="O34" s="105">
        <f>COUNTIF('reductions data'!G:G,'reasons for reduction division'!B34)</f>
        <v>0</v>
      </c>
    </row>
    <row r="35" spans="2:15" x14ac:dyDescent="0.15">
      <c r="B35" s="113" t="s">
        <v>900</v>
      </c>
      <c r="C35" s="62">
        <f>COUNTIFS('reductions data'!G:G,'reasons for reduction division'!B35,'reductions data'!A:A,$C$25)</f>
        <v>0</v>
      </c>
      <c r="D35" s="62">
        <f>COUNTIFS('reductions data'!G:G,'reasons for reduction division'!B35,'reductions data'!A:A,$D$25)</f>
        <v>0</v>
      </c>
      <c r="E35" s="62">
        <f>COUNTIFS('reductions data'!G:G,'reasons for reduction division'!B35,'reductions data'!A:A,$E$25)</f>
        <v>0</v>
      </c>
      <c r="F35" s="62">
        <f>COUNTIFS('reductions data'!G:G,'reasons for reduction division'!B35,'reductions data'!A:A,$F$25)</f>
        <v>0</v>
      </c>
      <c r="G35" s="62">
        <f>COUNTIFS('reductions data'!G:G,'reasons for reduction division'!B35,'reductions data'!A:A,$G$25)</f>
        <v>0</v>
      </c>
      <c r="H35" s="62">
        <f>COUNTIFS('reductions data'!G:G,'reasons for reduction division'!B35,'reductions data'!A:A,$H$25)</f>
        <v>0</v>
      </c>
      <c r="I35" s="62">
        <f>COUNTIFS('reductions data'!G:G,'reasons for reduction division'!B35,'reductions data'!A:A,$I$25)</f>
        <v>0</v>
      </c>
      <c r="J35" s="62">
        <f>COUNTIFS('reductions data'!G:G,'reasons for reduction division'!B35,'reductions data'!A:A,$J$25)</f>
        <v>0</v>
      </c>
      <c r="K35" s="62">
        <f>COUNTIFS('reductions data'!G:G,'reasons for reduction division'!B35,'reductions data'!A:A,$K$25)</f>
        <v>0</v>
      </c>
      <c r="L35" s="62">
        <f>COUNTIFS('reductions data'!G:G,'reasons for reduction division'!B35,'reductions data'!A:A,$L$25)</f>
        <v>0</v>
      </c>
      <c r="M35" s="62">
        <f>COUNTIFS('reductions data'!G:G,'reasons for reduction division'!B35,'reductions data'!A:A,$M$25)</f>
        <v>0</v>
      </c>
      <c r="N35" s="62">
        <f>COUNTIFS('reductions data'!G:G,'reasons for reduction division'!B35,'reductions data'!A:A,$N$25)</f>
        <v>0</v>
      </c>
      <c r="O35" s="105">
        <f>COUNTIF('reductions data'!G:G,'reasons for reduction division'!B35)</f>
        <v>0</v>
      </c>
    </row>
    <row r="36" spans="2:15" x14ac:dyDescent="0.15">
      <c r="B36" s="113" t="s">
        <v>901</v>
      </c>
      <c r="C36" s="62">
        <f>COUNTIFS('reductions data'!G:G,'reasons for reduction division'!B36,'reductions data'!A:A,$C$25)</f>
        <v>0</v>
      </c>
      <c r="D36" s="62">
        <f>COUNTIFS('reductions data'!G:G,'reasons for reduction division'!B36,'reductions data'!A:A,$D$25)</f>
        <v>0</v>
      </c>
      <c r="E36" s="62">
        <f>COUNTIFS('reductions data'!G:G,'reasons for reduction division'!B36,'reductions data'!A:A,$E$25)</f>
        <v>0</v>
      </c>
      <c r="F36" s="62">
        <f>COUNTIFS('reductions data'!G:G,'reasons for reduction division'!B36,'reductions data'!A:A,$F$25)</f>
        <v>0</v>
      </c>
      <c r="G36" s="62">
        <f>COUNTIFS('reductions data'!G:G,'reasons for reduction division'!B36,'reductions data'!A:A,$G$25)</f>
        <v>0</v>
      </c>
      <c r="H36" s="62">
        <f>COUNTIFS('reductions data'!G:G,'reasons for reduction division'!B36,'reductions data'!A:A,$H$25)</f>
        <v>0</v>
      </c>
      <c r="I36" s="62">
        <f>COUNTIFS('reductions data'!G:G,'reasons for reduction division'!B36,'reductions data'!A:A,$I$25)</f>
        <v>0</v>
      </c>
      <c r="J36" s="62">
        <f>COUNTIFS('reductions data'!G:G,'reasons for reduction division'!B36,'reductions data'!A:A,$J$25)</f>
        <v>0</v>
      </c>
      <c r="K36" s="62">
        <f>COUNTIFS('reductions data'!G:G,'reasons for reduction division'!B36,'reductions data'!A:A,$K$25)</f>
        <v>0</v>
      </c>
      <c r="L36" s="62">
        <f>COUNTIFS('reductions data'!G:G,'reasons for reduction division'!B36,'reductions data'!A:A,$L$25)</f>
        <v>0</v>
      </c>
      <c r="M36" s="62">
        <f>COUNTIFS('reductions data'!G:G,'reasons for reduction division'!B36,'reductions data'!A:A,$M$25)</f>
        <v>0</v>
      </c>
      <c r="N36" s="62">
        <f>COUNTIFS('reductions data'!G:G,'reasons for reduction division'!B36,'reductions data'!A:A,$N$25)</f>
        <v>0</v>
      </c>
      <c r="O36" s="105">
        <f>COUNTIF('reductions data'!G:G,'reasons for reduction division'!B36)</f>
        <v>0</v>
      </c>
    </row>
    <row r="37" spans="2:15" x14ac:dyDescent="0.15">
      <c r="B37" s="113" t="s">
        <v>902</v>
      </c>
      <c r="C37" s="62">
        <f>COUNTIFS('reductions data'!G:G,'reasons for reduction division'!B37,'reductions data'!A:A,$C$25)</f>
        <v>0</v>
      </c>
      <c r="D37" s="62">
        <f>COUNTIFS('reductions data'!G:G,'reasons for reduction division'!B37,'reductions data'!A:A,$D$25)</f>
        <v>0</v>
      </c>
      <c r="E37" s="62">
        <f>COUNTIFS('reductions data'!G:G,'reasons for reduction division'!B37,'reductions data'!A:A,$E$25)</f>
        <v>0</v>
      </c>
      <c r="F37" s="62">
        <f>COUNTIFS('reductions data'!G:G,'reasons for reduction division'!B37,'reductions data'!A:A,$F$25)</f>
        <v>0</v>
      </c>
      <c r="G37" s="62">
        <f>COUNTIFS('reductions data'!G:G,'reasons for reduction division'!B37,'reductions data'!A:A,$G$25)</f>
        <v>0</v>
      </c>
      <c r="H37" s="62">
        <f>COUNTIFS('reductions data'!G:G,'reasons for reduction division'!B37,'reductions data'!A:A,$H$25)</f>
        <v>0</v>
      </c>
      <c r="I37" s="62">
        <f>COUNTIFS('reductions data'!G:G,'reasons for reduction division'!B37,'reductions data'!A:A,$I$25)</f>
        <v>0</v>
      </c>
      <c r="J37" s="62">
        <f>COUNTIFS('reductions data'!G:G,'reasons for reduction division'!B37,'reductions data'!A:A,$J$25)</f>
        <v>0</v>
      </c>
      <c r="K37" s="62">
        <f>COUNTIFS('reductions data'!G:G,'reasons for reduction division'!B37,'reductions data'!A:A,$K$25)</f>
        <v>0</v>
      </c>
      <c r="L37" s="62">
        <f>COUNTIFS('reductions data'!G:G,'reasons for reduction division'!B37,'reductions data'!A:A,$L$25)</f>
        <v>0</v>
      </c>
      <c r="M37" s="62">
        <f>COUNTIFS('reductions data'!G:G,'reasons for reduction division'!B37,'reductions data'!A:A,$M$25)</f>
        <v>0</v>
      </c>
      <c r="N37" s="62">
        <f>COUNTIFS('reductions data'!G:G,'reasons for reduction division'!B37,'reductions data'!A:A,$N$25)</f>
        <v>0</v>
      </c>
      <c r="O37" s="105">
        <f>COUNTIF('reductions data'!G:G,'reasons for reduction division'!B37)</f>
        <v>0</v>
      </c>
    </row>
    <row r="38" spans="2:15" x14ac:dyDescent="0.15">
      <c r="B38" s="113" t="s">
        <v>903</v>
      </c>
      <c r="C38" s="62">
        <f>COUNTIFS('reductions data'!G:G,'reasons for reduction division'!B38,'reductions data'!A:A,$C$25)</f>
        <v>0</v>
      </c>
      <c r="D38" s="62">
        <f>COUNTIFS('reductions data'!G:G,'reasons for reduction division'!B38,'reductions data'!A:A,$D$25)</f>
        <v>0</v>
      </c>
      <c r="E38" s="62">
        <f>COUNTIFS('reductions data'!G:G,'reasons for reduction division'!B38,'reductions data'!A:A,$E$25)</f>
        <v>0</v>
      </c>
      <c r="F38" s="62">
        <f>COUNTIFS('reductions data'!G:G,'reasons for reduction division'!B38,'reductions data'!A:A,$F$25)</f>
        <v>0</v>
      </c>
      <c r="G38" s="62">
        <f>COUNTIFS('reductions data'!G:G,'reasons for reduction division'!B38,'reductions data'!A:A,$G$25)</f>
        <v>0</v>
      </c>
      <c r="H38" s="62">
        <f>COUNTIFS('reductions data'!G:G,'reasons for reduction division'!B38,'reductions data'!A:A,$H$25)</f>
        <v>0</v>
      </c>
      <c r="I38" s="62">
        <f>COUNTIFS('reductions data'!G:G,'reasons for reduction division'!B38,'reductions data'!A:A,$I$25)</f>
        <v>0</v>
      </c>
      <c r="J38" s="62">
        <f>COUNTIFS('reductions data'!G:G,'reasons for reduction division'!B38,'reductions data'!A:A,$J$25)</f>
        <v>0</v>
      </c>
      <c r="K38" s="62">
        <f>COUNTIFS('reductions data'!G:G,'reasons for reduction division'!B38,'reductions data'!A:A,$K$25)</f>
        <v>0</v>
      </c>
      <c r="L38" s="62">
        <f>COUNTIFS('reductions data'!G:G,'reasons for reduction division'!B38,'reductions data'!A:A,$L$25)</f>
        <v>0</v>
      </c>
      <c r="M38" s="62">
        <f>COUNTIFS('reductions data'!G:G,'reasons for reduction division'!B38,'reductions data'!A:A,$M$25)</f>
        <v>0</v>
      </c>
      <c r="N38" s="62">
        <f>COUNTIFS('reductions data'!G:G,'reasons for reduction division'!B38,'reductions data'!A:A,$N$25)</f>
        <v>0</v>
      </c>
      <c r="O38" s="105">
        <f>COUNTIF('reductions data'!G:G,'reasons for reduction division'!B38)</f>
        <v>0</v>
      </c>
    </row>
    <row r="39" spans="2:15" x14ac:dyDescent="0.15">
      <c r="B39" s="113" t="s">
        <v>905</v>
      </c>
      <c r="C39" s="62">
        <f>COUNTIFS('reductions data'!G:G,'reasons for reduction division'!B39,'reductions data'!A:A,$C$25)</f>
        <v>0</v>
      </c>
      <c r="D39" s="62">
        <f>COUNTIFS('reductions data'!G:G,'reasons for reduction division'!B39,'reductions data'!A:A,$D$25)</f>
        <v>0</v>
      </c>
      <c r="E39" s="62">
        <f>COUNTIFS('reductions data'!G:G,'reasons for reduction division'!B39,'reductions data'!A:A,$E$25)</f>
        <v>0</v>
      </c>
      <c r="F39" s="62">
        <f>COUNTIFS('reductions data'!G:G,'reasons for reduction division'!B39,'reductions data'!A:A,$F$25)</f>
        <v>0</v>
      </c>
      <c r="G39" s="62">
        <f>COUNTIFS('reductions data'!G:G,'reasons for reduction division'!B39,'reductions data'!A:A,$G$25)</f>
        <v>0</v>
      </c>
      <c r="H39" s="62">
        <f>COUNTIFS('reductions data'!G:G,'reasons for reduction division'!B39,'reductions data'!A:A,$H$25)</f>
        <v>0</v>
      </c>
      <c r="I39" s="62">
        <f>COUNTIFS('reductions data'!G:G,'reasons for reduction division'!B39,'reductions data'!A:A,$I$25)</f>
        <v>0</v>
      </c>
      <c r="J39" s="62">
        <f>COUNTIFS('reductions data'!G:G,'reasons for reduction division'!B39,'reductions data'!A:A,$J$25)</f>
        <v>0</v>
      </c>
      <c r="K39" s="62">
        <f>COUNTIFS('reductions data'!G:G,'reasons for reduction division'!B39,'reductions data'!A:A,$K$25)</f>
        <v>0</v>
      </c>
      <c r="L39" s="62">
        <f>COUNTIFS('reductions data'!G:G,'reasons for reduction division'!B39,'reductions data'!A:A,$L$25)</f>
        <v>0</v>
      </c>
      <c r="M39" s="62">
        <f>COUNTIFS('reductions data'!G:G,'reasons for reduction division'!B39,'reductions data'!A:A,$M$25)</f>
        <v>0</v>
      </c>
      <c r="N39" s="62">
        <f>COUNTIFS('reductions data'!G:G,'reasons for reduction division'!B39,'reductions data'!A:A,$N$25)</f>
        <v>0</v>
      </c>
      <c r="O39" s="105">
        <f>COUNTIF('reductions data'!G:G,'reasons for reduction division'!B39)</f>
        <v>0</v>
      </c>
    </row>
    <row r="40" spans="2:15" x14ac:dyDescent="0.15">
      <c r="B40" s="113" t="s">
        <v>908</v>
      </c>
      <c r="C40" s="62">
        <f>COUNTIFS('reductions data'!G:G,'reasons for reduction division'!B40,'reductions data'!A:A,$C$25)</f>
        <v>0</v>
      </c>
      <c r="D40" s="62">
        <f>COUNTIFS('reductions data'!G:G,'reasons for reduction division'!B40,'reductions data'!A:A,$D$25)</f>
        <v>0</v>
      </c>
      <c r="E40" s="62">
        <f>COUNTIFS('reductions data'!G:G,'reasons for reduction division'!B40,'reductions data'!A:A,$E$25)</f>
        <v>0</v>
      </c>
      <c r="F40" s="62">
        <f>COUNTIFS('reductions data'!G:G,'reasons for reduction division'!B40,'reductions data'!A:A,$F$25)</f>
        <v>0</v>
      </c>
      <c r="G40" s="62">
        <f>COUNTIFS('reductions data'!G:G,'reasons for reduction division'!B40,'reductions data'!A:A,$G$25)</f>
        <v>0</v>
      </c>
      <c r="H40" s="62">
        <f>COUNTIFS('reductions data'!G:G,'reasons for reduction division'!B40,'reductions data'!A:A,$H$25)</f>
        <v>0</v>
      </c>
      <c r="I40" s="62">
        <f>COUNTIFS('reductions data'!G:G,'reasons for reduction division'!B40,'reductions data'!A:A,$I$25)</f>
        <v>0</v>
      </c>
      <c r="J40" s="62">
        <f>COUNTIFS('reductions data'!G:G,'reasons for reduction division'!B40,'reductions data'!A:A,$J$25)</f>
        <v>0</v>
      </c>
      <c r="K40" s="62">
        <f>COUNTIFS('reductions data'!G:G,'reasons for reduction division'!B40,'reductions data'!A:A,$K$25)</f>
        <v>0</v>
      </c>
      <c r="L40" s="62">
        <f>COUNTIFS('reductions data'!G:G,'reasons for reduction division'!B40,'reductions data'!A:A,$L$25)</f>
        <v>0</v>
      </c>
      <c r="M40" s="62">
        <f>COUNTIFS('reductions data'!G:G,'reasons for reduction division'!B40,'reductions data'!A:A,$M$25)</f>
        <v>0</v>
      </c>
      <c r="N40" s="62">
        <f>COUNTIFS('reductions data'!G:G,'reasons for reduction division'!B40,'reductions data'!A:A,$N$25)</f>
        <v>0</v>
      </c>
      <c r="O40" s="105">
        <f>COUNTIF('reductions data'!G:G,'reasons for reduction division'!B40)</f>
        <v>0</v>
      </c>
    </row>
    <row r="41" spans="2:15" x14ac:dyDescent="0.15">
      <c r="B41" s="113" t="s">
        <v>904</v>
      </c>
      <c r="C41" s="62">
        <f>COUNTIFS('reductions data'!G:G,'reasons for reduction division'!B41,'reductions data'!A:A,$C$25)</f>
        <v>0</v>
      </c>
      <c r="D41" s="62">
        <f>COUNTIFS('reductions data'!G:G,'reasons for reduction division'!B41,'reductions data'!A:A,$D$25)</f>
        <v>0</v>
      </c>
      <c r="E41" s="62">
        <f>COUNTIFS('reductions data'!G:G,'reasons for reduction division'!B41,'reductions data'!A:A,$E$25)</f>
        <v>0</v>
      </c>
      <c r="F41" s="62">
        <f>COUNTIFS('reductions data'!G:G,'reasons for reduction division'!B41,'reductions data'!A:A,$F$25)</f>
        <v>0</v>
      </c>
      <c r="G41" s="62">
        <f>COUNTIFS('reductions data'!G:G,'reasons for reduction division'!B41,'reductions data'!A:A,$G$25)</f>
        <v>0</v>
      </c>
      <c r="H41" s="62">
        <f>COUNTIFS('reductions data'!G:G,'reasons for reduction division'!B41,'reductions data'!A:A,$H$25)</f>
        <v>0</v>
      </c>
      <c r="I41" s="62">
        <f>COUNTIFS('reductions data'!G:G,'reasons for reduction division'!B41,'reductions data'!A:A,$I$25)</f>
        <v>0</v>
      </c>
      <c r="J41" s="62">
        <f>COUNTIFS('reductions data'!G:G,'reasons for reduction division'!B41,'reductions data'!A:A,$J$25)</f>
        <v>0</v>
      </c>
      <c r="K41" s="62">
        <f>COUNTIFS('reductions data'!G:G,'reasons for reduction division'!B41,'reductions data'!A:A,$K$25)</f>
        <v>0</v>
      </c>
      <c r="L41" s="62">
        <f>COUNTIFS('reductions data'!G:G,'reasons for reduction division'!B41,'reductions data'!A:A,$L$25)</f>
        <v>0</v>
      </c>
      <c r="M41" s="62">
        <f>COUNTIFS('reductions data'!G:G,'reasons for reduction division'!B41,'reductions data'!A:A,$M$25)</f>
        <v>0</v>
      </c>
      <c r="N41" s="62">
        <f>COUNTIFS('reductions data'!G:G,'reasons for reduction division'!B41,'reductions data'!A:A,$N$25)</f>
        <v>0</v>
      </c>
      <c r="O41" s="105">
        <f>COUNTIF('reductions data'!G:G,'reasons for reduction division'!B41)</f>
        <v>0</v>
      </c>
    </row>
    <row r="42" spans="2:15" x14ac:dyDescent="0.15">
      <c r="B42" s="113" t="s">
        <v>989</v>
      </c>
      <c r="C42" s="62">
        <f>COUNTIFS('reductions data'!G:G,'reasons for reduction division'!B42,'reductions data'!A:A,$C$25)</f>
        <v>0</v>
      </c>
      <c r="D42" s="62">
        <f>COUNTIFS('reductions data'!G:G,'reasons for reduction division'!B42,'reductions data'!A:A,$D$25)</f>
        <v>0</v>
      </c>
      <c r="E42" s="62">
        <f>COUNTIFS('reductions data'!G:G,'reasons for reduction division'!B42,'reductions data'!A:A,$E$25)</f>
        <v>0</v>
      </c>
      <c r="F42" s="62">
        <f>COUNTIFS('reductions data'!G:G,'reasons for reduction division'!B42,'reductions data'!A:A,$F$25)</f>
        <v>0</v>
      </c>
      <c r="G42" s="62">
        <f>COUNTIFS('reductions data'!G:G,'reasons for reduction division'!B42,'reductions data'!A:A,$G$25)</f>
        <v>0</v>
      </c>
      <c r="H42" s="62">
        <f>COUNTIFS('reductions data'!G:G,'reasons for reduction division'!B42,'reductions data'!A:A,$H$25)</f>
        <v>0</v>
      </c>
      <c r="I42" s="62">
        <f>COUNTIFS('reductions data'!G:G,'reasons for reduction division'!B42,'reductions data'!A:A,$I$25)</f>
        <v>0</v>
      </c>
      <c r="J42" s="62">
        <f>COUNTIFS('reductions data'!G:G,'reasons for reduction division'!B42,'reductions data'!A:A,$J$25)</f>
        <v>0</v>
      </c>
      <c r="K42" s="62">
        <f>COUNTIFS('reductions data'!G:G,'reasons for reduction division'!B42,'reductions data'!A:A,$K$25)</f>
        <v>0</v>
      </c>
      <c r="L42" s="62">
        <f>COUNTIFS('reductions data'!G:G,'reasons for reduction division'!B42,'reductions data'!A:A,$L$25)</f>
        <v>0</v>
      </c>
      <c r="M42" s="62">
        <f>COUNTIFS('reductions data'!G:G,'reasons for reduction division'!B42,'reductions data'!A:A,$M$25)</f>
        <v>0</v>
      </c>
      <c r="N42" s="62">
        <f>COUNTIFS('reductions data'!G:G,'reasons for reduction division'!B42,'reductions data'!A:A,$N$25)</f>
        <v>0</v>
      </c>
      <c r="O42" s="105">
        <f>COUNTIF('reductions data'!G:G,'reasons for reduction division'!B42)</f>
        <v>0</v>
      </c>
    </row>
    <row r="43" spans="2:15" x14ac:dyDescent="0.15">
      <c r="B43" s="113" t="s">
        <v>909</v>
      </c>
      <c r="C43" s="62">
        <f>COUNTIFS('reductions data'!G:G,'reasons for reduction division'!B43,'reductions data'!A:A,$C$25)</f>
        <v>0</v>
      </c>
      <c r="D43" s="62">
        <f>COUNTIFS('reductions data'!G:G,'reasons for reduction division'!B43,'reductions data'!A:A,$D$25)</f>
        <v>0</v>
      </c>
      <c r="E43" s="62">
        <f>COUNTIFS('reductions data'!G:G,'reasons for reduction division'!B43,'reductions data'!A:A,$E$25)</f>
        <v>0</v>
      </c>
      <c r="F43" s="62">
        <f>COUNTIFS('reductions data'!G:G,'reasons for reduction division'!B43,'reductions data'!A:A,$F$25)</f>
        <v>0</v>
      </c>
      <c r="G43" s="62">
        <f>COUNTIFS('reductions data'!G:G,'reasons for reduction division'!B43,'reductions data'!A:A,$G$25)</f>
        <v>0</v>
      </c>
      <c r="H43" s="62">
        <f>COUNTIFS('reductions data'!G:G,'reasons for reduction division'!B43,'reductions data'!A:A,$H$25)</f>
        <v>0</v>
      </c>
      <c r="I43" s="62">
        <f>COUNTIFS('reductions data'!G:G,'reasons for reduction division'!B43,'reductions data'!A:A,$I$25)</f>
        <v>0</v>
      </c>
      <c r="J43" s="62">
        <f>COUNTIFS('reductions data'!G:G,'reasons for reduction division'!B43,'reductions data'!A:A,$J$25)</f>
        <v>0</v>
      </c>
      <c r="K43" s="62">
        <f>COUNTIFS('reductions data'!G:G,'reasons for reduction division'!B43,'reductions data'!A:A,$K$25)</f>
        <v>0</v>
      </c>
      <c r="L43" s="62">
        <f>COUNTIFS('reductions data'!G:G,'reasons for reduction division'!B43,'reductions data'!A:A,$L$25)</f>
        <v>0</v>
      </c>
      <c r="M43" s="62">
        <f>COUNTIFS('reductions data'!G:G,'reasons for reduction division'!B43,'reductions data'!A:A,$M$25)</f>
        <v>0</v>
      </c>
      <c r="N43" s="62">
        <f>COUNTIFS('reductions data'!G:G,'reasons for reduction division'!B43,'reductions data'!A:A,$N$25)</f>
        <v>0</v>
      </c>
      <c r="O43" s="105">
        <f>COUNTIF('reductions data'!G:G,'reasons for reduction division'!B43)</f>
        <v>0</v>
      </c>
    </row>
    <row r="44" spans="2:15" x14ac:dyDescent="0.15">
      <c r="B44" s="113" t="s">
        <v>910</v>
      </c>
      <c r="C44" s="62">
        <f>COUNTIFS('reductions data'!G:G,'reasons for reduction division'!B44,'reductions data'!A:A,$C$25)</f>
        <v>0</v>
      </c>
      <c r="D44" s="62">
        <f>COUNTIFS('reductions data'!G:G,'reasons for reduction division'!B44,'reductions data'!A:A,$D$25)</f>
        <v>0</v>
      </c>
      <c r="E44" s="62">
        <f>COUNTIFS('reductions data'!G:G,'reasons for reduction division'!B44,'reductions data'!A:A,$E$25)</f>
        <v>0</v>
      </c>
      <c r="F44" s="62">
        <f>COUNTIFS('reductions data'!G:G,'reasons for reduction division'!B44,'reductions data'!A:A,$F$25)</f>
        <v>0</v>
      </c>
      <c r="G44" s="62">
        <f>COUNTIFS('reductions data'!G:G,'reasons for reduction division'!B44,'reductions data'!A:A,$G$25)</f>
        <v>0</v>
      </c>
      <c r="H44" s="62">
        <f>COUNTIFS('reductions data'!G:G,'reasons for reduction division'!B44,'reductions data'!A:A,$H$25)</f>
        <v>0</v>
      </c>
      <c r="I44" s="62">
        <f>COUNTIFS('reductions data'!G:G,'reasons for reduction division'!B44,'reductions data'!A:A,$I$25)</f>
        <v>0</v>
      </c>
      <c r="J44" s="62">
        <f>COUNTIFS('reductions data'!G:G,'reasons for reduction division'!B44,'reductions data'!A:A,$J$25)</f>
        <v>0</v>
      </c>
      <c r="K44" s="62">
        <f>COUNTIFS('reductions data'!G:G,'reasons for reduction division'!B44,'reductions data'!A:A,$K$25)</f>
        <v>0</v>
      </c>
      <c r="L44" s="62">
        <f>COUNTIFS('reductions data'!G:G,'reasons for reduction division'!B44,'reductions data'!A:A,$L$25)</f>
        <v>0</v>
      </c>
      <c r="M44" s="62">
        <f>COUNTIFS('reductions data'!G:G,'reasons for reduction division'!B44,'reductions data'!A:A,$M$25)</f>
        <v>0</v>
      </c>
      <c r="N44" s="62">
        <f>COUNTIFS('reductions data'!G:G,'reasons for reduction division'!B44,'reductions data'!A:A,$N$25)</f>
        <v>0</v>
      </c>
      <c r="O44" s="105">
        <f>COUNTIF('reductions data'!G:G,'reasons for reduction division'!B44)</f>
        <v>0</v>
      </c>
    </row>
    <row r="45" spans="2:15" x14ac:dyDescent="0.15">
      <c r="B45" s="113" t="s">
        <v>911</v>
      </c>
      <c r="C45" s="62">
        <f>COUNTIFS('reductions data'!G:G,'reasons for reduction division'!B45,'reductions data'!A:A,$C$25)</f>
        <v>0</v>
      </c>
      <c r="D45" s="62">
        <f>COUNTIFS('reductions data'!G:G,'reasons for reduction division'!B45,'reductions data'!A:A,$D$25)</f>
        <v>0</v>
      </c>
      <c r="E45" s="62">
        <f>COUNTIFS('reductions data'!G:G,'reasons for reduction division'!B45,'reductions data'!A:A,$E$25)</f>
        <v>0</v>
      </c>
      <c r="F45" s="62">
        <f>COUNTIFS('reductions data'!G:G,'reasons for reduction division'!B45,'reductions data'!A:A,$F$25)</f>
        <v>0</v>
      </c>
      <c r="G45" s="62">
        <f>COUNTIFS('reductions data'!G:G,'reasons for reduction division'!B45,'reductions data'!A:A,$G$25)</f>
        <v>0</v>
      </c>
      <c r="H45" s="62">
        <f>COUNTIFS('reductions data'!G:G,'reasons for reduction division'!B45,'reductions data'!A:A,$H$25)</f>
        <v>0</v>
      </c>
      <c r="I45" s="62">
        <f>COUNTIFS('reductions data'!G:G,'reasons for reduction division'!B45,'reductions data'!A:A,$I$25)</f>
        <v>0</v>
      </c>
      <c r="J45" s="62">
        <f>COUNTIFS('reductions data'!G:G,'reasons for reduction division'!B45,'reductions data'!A:A,$J$25)</f>
        <v>0</v>
      </c>
      <c r="K45" s="62">
        <f>COUNTIFS('reductions data'!G:G,'reasons for reduction division'!B45,'reductions data'!A:A,$K$25)</f>
        <v>0</v>
      </c>
      <c r="L45" s="62">
        <f>COUNTIFS('reductions data'!G:G,'reasons for reduction division'!B45,'reductions data'!A:A,$L$25)</f>
        <v>0</v>
      </c>
      <c r="M45" s="62">
        <f>COUNTIFS('reductions data'!G:G,'reasons for reduction division'!B45,'reductions data'!A:A,$M$25)</f>
        <v>0</v>
      </c>
      <c r="N45" s="62">
        <f>COUNTIFS('reductions data'!G:G,'reasons for reduction division'!B45,'reductions data'!A:A,$N$25)</f>
        <v>0</v>
      </c>
      <c r="O45" s="105">
        <f>COUNTIF('reductions data'!G:G,'reasons for reduction division'!B45)</f>
        <v>0</v>
      </c>
    </row>
    <row r="46" spans="2:15" x14ac:dyDescent="0.15">
      <c r="B46" s="113" t="s">
        <v>912</v>
      </c>
      <c r="C46" s="62">
        <f>COUNTIFS('reductions data'!G:G,'reasons for reduction division'!B46,'reductions data'!A:A,$C$25)</f>
        <v>0</v>
      </c>
      <c r="D46" s="62">
        <f>COUNTIFS('reductions data'!G:G,'reasons for reduction division'!B46,'reductions data'!A:A,$D$25)</f>
        <v>0</v>
      </c>
      <c r="E46" s="62">
        <f>COUNTIFS('reductions data'!G:G,'reasons for reduction division'!B46,'reductions data'!A:A,$E$25)</f>
        <v>0</v>
      </c>
      <c r="F46" s="62">
        <f>COUNTIFS('reductions data'!G:G,'reasons for reduction division'!B46,'reductions data'!A:A,$F$25)</f>
        <v>0</v>
      </c>
      <c r="G46" s="62">
        <f>COUNTIFS('reductions data'!G:G,'reasons for reduction division'!B46,'reductions data'!A:A,$G$25)</f>
        <v>0</v>
      </c>
      <c r="H46" s="62">
        <f>COUNTIFS('reductions data'!G:G,'reasons for reduction division'!B46,'reductions data'!A:A,$H$25)</f>
        <v>0</v>
      </c>
      <c r="I46" s="62">
        <f>COUNTIFS('reductions data'!G:G,'reasons for reduction division'!B46,'reductions data'!A:A,$I$25)</f>
        <v>0</v>
      </c>
      <c r="J46" s="62">
        <f>COUNTIFS('reductions data'!G:G,'reasons for reduction division'!B46,'reductions data'!A:A,$J$25)</f>
        <v>0</v>
      </c>
      <c r="K46" s="62">
        <f>COUNTIFS('reductions data'!G:G,'reasons for reduction division'!B46,'reductions data'!A:A,$K$25)</f>
        <v>0</v>
      </c>
      <c r="L46" s="62">
        <f>COUNTIFS('reductions data'!G:G,'reasons for reduction division'!B46,'reductions data'!A:A,$L$25)</f>
        <v>0</v>
      </c>
      <c r="M46" s="62">
        <f>COUNTIFS('reductions data'!G:G,'reasons for reduction division'!B46,'reductions data'!A:A,$M$25)</f>
        <v>0</v>
      </c>
      <c r="N46" s="62">
        <f>COUNTIFS('reductions data'!G:G,'reasons for reduction division'!B46,'reductions data'!A:A,$N$25)</f>
        <v>0</v>
      </c>
      <c r="O46" s="105">
        <f>COUNTIF('reductions data'!G:G,'reasons for reduction division'!B46)</f>
        <v>0</v>
      </c>
    </row>
    <row r="47" spans="2:15" x14ac:dyDescent="0.15">
      <c r="B47" s="113" t="s">
        <v>913</v>
      </c>
      <c r="C47" s="62">
        <f>COUNTIFS('reductions data'!G:G,'reasons for reduction division'!B47,'reductions data'!A:A,$C$25)</f>
        <v>0</v>
      </c>
      <c r="D47" s="62">
        <f>COUNTIFS('reductions data'!G:G,'reasons for reduction division'!B47,'reductions data'!A:A,$D$25)</f>
        <v>0</v>
      </c>
      <c r="E47" s="62">
        <f>COUNTIFS('reductions data'!G:G,'reasons for reduction division'!B47,'reductions data'!A:A,$E$25)</f>
        <v>0</v>
      </c>
      <c r="F47" s="62">
        <f>COUNTIFS('reductions data'!G:G,'reasons for reduction division'!B47,'reductions data'!A:A,$F$25)</f>
        <v>0</v>
      </c>
      <c r="G47" s="62">
        <f>COUNTIFS('reductions data'!G:G,'reasons for reduction division'!B47,'reductions data'!A:A,$G$25)</f>
        <v>0</v>
      </c>
      <c r="H47" s="62">
        <f>COUNTIFS('reductions data'!G:G,'reasons for reduction division'!B47,'reductions data'!A:A,$H$25)</f>
        <v>0</v>
      </c>
      <c r="I47" s="62">
        <f>COUNTIFS('reductions data'!G:G,'reasons for reduction division'!B47,'reductions data'!A:A,$I$25)</f>
        <v>0</v>
      </c>
      <c r="J47" s="62">
        <f>COUNTIFS('reductions data'!G:G,'reasons for reduction division'!B47,'reductions data'!A:A,$J$25)</f>
        <v>0</v>
      </c>
      <c r="K47" s="62">
        <f>COUNTIFS('reductions data'!G:G,'reasons for reduction division'!B47,'reductions data'!A:A,$K$25)</f>
        <v>0</v>
      </c>
      <c r="L47" s="62">
        <f>COUNTIFS('reductions data'!G:G,'reasons for reduction division'!B47,'reductions data'!A:A,$L$25)</f>
        <v>0</v>
      </c>
      <c r="M47" s="62">
        <f>COUNTIFS('reductions data'!G:G,'reasons for reduction division'!B47,'reductions data'!A:A,$M$25)</f>
        <v>0</v>
      </c>
      <c r="N47" s="62">
        <f>COUNTIFS('reductions data'!G:G,'reasons for reduction division'!B47,'reductions data'!A:A,$N$25)</f>
        <v>0</v>
      </c>
      <c r="O47" s="105">
        <f>COUNTIF('reductions data'!G:G,'reasons for reduction division'!B47)</f>
        <v>0</v>
      </c>
    </row>
    <row r="48" spans="2:15" x14ac:dyDescent="0.15">
      <c r="B48" s="113" t="s">
        <v>914</v>
      </c>
      <c r="C48" s="62">
        <f>COUNTIFS('reductions data'!G:G,'reasons for reduction division'!B48,'reductions data'!A:A,$C$25)</f>
        <v>0</v>
      </c>
      <c r="D48" s="62">
        <f>COUNTIFS('reductions data'!G:G,'reasons for reduction division'!B48,'reductions data'!A:A,$D$25)</f>
        <v>0</v>
      </c>
      <c r="E48" s="62">
        <f>COUNTIFS('reductions data'!G:G,'reasons for reduction division'!B48,'reductions data'!A:A,$E$25)</f>
        <v>0</v>
      </c>
      <c r="F48" s="62">
        <f>COUNTIFS('reductions data'!G:G,'reasons for reduction division'!B48,'reductions data'!A:A,$F$25)</f>
        <v>0</v>
      </c>
      <c r="G48" s="62">
        <f>COUNTIFS('reductions data'!G:G,'reasons for reduction division'!B48,'reductions data'!A:A,$G$25)</f>
        <v>0</v>
      </c>
      <c r="H48" s="62">
        <f>COUNTIFS('reductions data'!G:G,'reasons for reduction division'!B48,'reductions data'!A:A,$H$25)</f>
        <v>0</v>
      </c>
      <c r="I48" s="62">
        <f>COUNTIFS('reductions data'!G:G,'reasons for reduction division'!B48,'reductions data'!A:A,$I$25)</f>
        <v>0</v>
      </c>
      <c r="J48" s="62">
        <f>COUNTIFS('reductions data'!G:G,'reasons for reduction division'!B48,'reductions data'!A:A,$J$25)</f>
        <v>0</v>
      </c>
      <c r="K48" s="62">
        <f>COUNTIFS('reductions data'!G:G,'reasons for reduction division'!B48,'reductions data'!A:A,$K$25)</f>
        <v>0</v>
      </c>
      <c r="L48" s="62">
        <f>COUNTIFS('reductions data'!G:G,'reasons for reduction division'!B48,'reductions data'!A:A,$L$25)</f>
        <v>0</v>
      </c>
      <c r="M48" s="62">
        <f>COUNTIFS('reductions data'!G:G,'reasons for reduction division'!B48,'reductions data'!A:A,$M$25)</f>
        <v>0</v>
      </c>
      <c r="N48" s="62">
        <f>COUNTIFS('reductions data'!G:G,'reasons for reduction division'!B48,'reductions data'!A:A,$N$25)</f>
        <v>0</v>
      </c>
      <c r="O48" s="105">
        <f>COUNTIF('reductions data'!G:G,'reasons for reduction division'!B48)</f>
        <v>0</v>
      </c>
    </row>
    <row r="49" spans="2:15" x14ac:dyDescent="0.15">
      <c r="B49" s="113" t="s">
        <v>915</v>
      </c>
      <c r="C49" s="62">
        <f>COUNTIFS('reductions data'!G:G,'reasons for reduction division'!B49,'reductions data'!A:A,$C$25)</f>
        <v>0</v>
      </c>
      <c r="D49" s="62">
        <f>COUNTIFS('reductions data'!G:G,'reasons for reduction division'!B49,'reductions data'!A:A,$D$25)</f>
        <v>0</v>
      </c>
      <c r="E49" s="62">
        <f>COUNTIFS('reductions data'!G:G,'reasons for reduction division'!B49,'reductions data'!A:A,$E$25)</f>
        <v>0</v>
      </c>
      <c r="F49" s="62">
        <f>COUNTIFS('reductions data'!G:G,'reasons for reduction division'!B49,'reductions data'!A:A,$F$25)</f>
        <v>0</v>
      </c>
      <c r="G49" s="62">
        <f>COUNTIFS('reductions data'!G:G,'reasons for reduction division'!B49,'reductions data'!A:A,$G$25)</f>
        <v>0</v>
      </c>
      <c r="H49" s="62">
        <f>COUNTIFS('reductions data'!G:G,'reasons for reduction division'!B49,'reductions data'!A:A,$H$25)</f>
        <v>0</v>
      </c>
      <c r="I49" s="62">
        <f>COUNTIFS('reductions data'!G:G,'reasons for reduction division'!B49,'reductions data'!A:A,$I$25)</f>
        <v>0</v>
      </c>
      <c r="J49" s="62">
        <f>COUNTIFS('reductions data'!G:G,'reasons for reduction division'!B49,'reductions data'!A:A,$J$25)</f>
        <v>0</v>
      </c>
      <c r="K49" s="62">
        <f>COUNTIFS('reductions data'!G:G,'reasons for reduction division'!B49,'reductions data'!A:A,$K$25)</f>
        <v>0</v>
      </c>
      <c r="L49" s="62">
        <f>COUNTIFS('reductions data'!G:G,'reasons for reduction division'!B49,'reductions data'!A:A,$L$25)</f>
        <v>0</v>
      </c>
      <c r="M49" s="62">
        <f>COUNTIFS('reductions data'!G:G,'reasons for reduction division'!B49,'reductions data'!A:A,$M$25)</f>
        <v>0</v>
      </c>
      <c r="N49" s="62">
        <f>COUNTIFS('reductions data'!G:G,'reasons for reduction division'!B49,'reductions data'!A:A,$N$25)</f>
        <v>0</v>
      </c>
      <c r="O49" s="105">
        <f>COUNTIF('reductions data'!G:G,'reasons for reduction division'!B49)</f>
        <v>0</v>
      </c>
    </row>
    <row r="50" spans="2:15" x14ac:dyDescent="0.15">
      <c r="B50" s="113" t="s">
        <v>1250</v>
      </c>
      <c r="C50" s="62">
        <f>COUNTIFS('reductions data'!G:G,'reasons for reduction division'!B50,'reductions data'!A:A,$C$25)</f>
        <v>0</v>
      </c>
      <c r="D50" s="62">
        <f>COUNTIFS('reductions data'!G:G,'reasons for reduction division'!B50,'reductions data'!A:A,$D$25)</f>
        <v>0</v>
      </c>
      <c r="E50" s="62">
        <f>COUNTIFS('reductions data'!G:G,'reasons for reduction division'!B50,'reductions data'!A:A,$E$25)</f>
        <v>0</v>
      </c>
      <c r="F50" s="62">
        <f>COUNTIFS('reductions data'!G:G,'reasons for reduction division'!B50,'reductions data'!A:A,$F$25)</f>
        <v>0</v>
      </c>
      <c r="G50" s="62">
        <f>COUNTIFS('reductions data'!G:G,'reasons for reduction division'!B50,'reductions data'!A:A,$G$25)</f>
        <v>0</v>
      </c>
      <c r="H50" s="62">
        <f>COUNTIFS('reductions data'!G:G,'reasons for reduction division'!B50,'reductions data'!A:A,$H$25)</f>
        <v>0</v>
      </c>
      <c r="I50" s="62">
        <f>COUNTIFS('reductions data'!G:G,'reasons for reduction division'!B50,'reductions data'!A:A,$I$25)</f>
        <v>0</v>
      </c>
      <c r="J50" s="62">
        <f>COUNTIFS('reductions data'!G:G,'reasons for reduction division'!B50,'reductions data'!A:A,$J$25)</f>
        <v>0</v>
      </c>
      <c r="K50" s="62">
        <f>COUNTIFS('reductions data'!G:G,'reasons for reduction division'!B50,'reductions data'!A:A,$K$25)</f>
        <v>0</v>
      </c>
      <c r="L50" s="62">
        <f>COUNTIFS('reductions data'!G:G,'reasons for reduction division'!B50,'reductions data'!A:A,$L$25)</f>
        <v>0</v>
      </c>
      <c r="M50" s="62">
        <f>COUNTIFS('reductions data'!G:G,'reasons for reduction division'!B50,'reductions data'!A:A,$M$25)</f>
        <v>0</v>
      </c>
      <c r="N50" s="62">
        <f>COUNTIFS('reductions data'!G:G,'reasons for reduction division'!B50,'reductions data'!A:A,$N$25)</f>
        <v>0</v>
      </c>
      <c r="O50" s="105">
        <f>COUNTIF('reductions data'!G:G,'reasons for reduction division'!B50)</f>
        <v>0</v>
      </c>
    </row>
    <row r="51" spans="2:15" x14ac:dyDescent="0.15">
      <c r="B51" s="113" t="s">
        <v>1251</v>
      </c>
      <c r="C51" s="62">
        <f>COUNTIFS('reductions data'!G:G,'reasons for reduction division'!B51,'reductions data'!A:A,$C$25)</f>
        <v>0</v>
      </c>
      <c r="D51" s="62">
        <f>COUNTIFS('reductions data'!G:G,'reasons for reduction division'!B51,'reductions data'!A:A,$D$25)</f>
        <v>0</v>
      </c>
      <c r="E51" s="62">
        <f>COUNTIFS('reductions data'!G:G,'reasons for reduction division'!B51,'reductions data'!A:A,$E$25)</f>
        <v>0</v>
      </c>
      <c r="F51" s="62">
        <f>COUNTIFS('reductions data'!G:G,'reasons for reduction division'!B51,'reductions data'!A:A,$F$25)</f>
        <v>0</v>
      </c>
      <c r="G51" s="62">
        <f>COUNTIFS('reductions data'!G:G,'reasons for reduction division'!B51,'reductions data'!A:A,$G$25)</f>
        <v>0</v>
      </c>
      <c r="H51" s="62">
        <f>COUNTIFS('reductions data'!G:G,'reasons for reduction division'!B51,'reductions data'!A:A,$H$25)</f>
        <v>0</v>
      </c>
      <c r="I51" s="62">
        <f>COUNTIFS('reductions data'!G:G,'reasons for reduction division'!B51,'reductions data'!A:A,$I$25)</f>
        <v>0</v>
      </c>
      <c r="J51" s="62">
        <f>COUNTIFS('reductions data'!G:G,'reasons for reduction division'!B51,'reductions data'!A:A,$J$25)</f>
        <v>0</v>
      </c>
      <c r="K51" s="62">
        <f>COUNTIFS('reductions data'!G:G,'reasons for reduction division'!B51,'reductions data'!A:A,$K$25)</f>
        <v>0</v>
      </c>
      <c r="L51" s="62">
        <f>COUNTIFS('reductions data'!G:G,'reasons for reduction division'!B51,'reductions data'!A:A,$L$25)</f>
        <v>0</v>
      </c>
      <c r="M51" s="62">
        <f>COUNTIFS('reductions data'!G:G,'reasons for reduction division'!B51,'reductions data'!A:A,$M$25)</f>
        <v>0</v>
      </c>
      <c r="N51" s="62">
        <f>COUNTIFS('reductions data'!G:G,'reasons for reduction division'!B51,'reductions data'!A:A,$N$25)</f>
        <v>0</v>
      </c>
      <c r="O51" s="105">
        <f>COUNTIF('reductions data'!G:G,'reasons for reduction division'!B51)</f>
        <v>0</v>
      </c>
    </row>
    <row r="52" spans="2:15" x14ac:dyDescent="0.15">
      <c r="B52" s="322" t="s">
        <v>1248</v>
      </c>
      <c r="C52" s="62">
        <f>COUNTIFS('reductions data'!G:G,'reasons for reduction division'!B52,'reductions data'!A:A,$C$25)</f>
        <v>0</v>
      </c>
      <c r="D52" s="62">
        <f>COUNTIFS('reductions data'!G:G,'reasons for reduction division'!B52,'reductions data'!A:A,$D$25)</f>
        <v>0</v>
      </c>
      <c r="E52" s="62">
        <f>COUNTIFS('reductions data'!G:G,'reasons for reduction division'!B52,'reductions data'!A:A,$E$25)</f>
        <v>0</v>
      </c>
      <c r="F52" s="62">
        <f>COUNTIFS('reductions data'!G:G,'reasons for reduction division'!B52,'reductions data'!A:A,$F$25)</f>
        <v>0</v>
      </c>
      <c r="G52" s="62">
        <f>COUNTIFS('reductions data'!G:G,'reasons for reduction division'!B52,'reductions data'!A:A,$G$25)</f>
        <v>0</v>
      </c>
      <c r="H52" s="62">
        <f>COUNTIFS('reductions data'!G:G,'reasons for reduction division'!B52,'reductions data'!A:A,$H$25)</f>
        <v>0</v>
      </c>
      <c r="I52" s="62">
        <f>COUNTIFS('reductions data'!G:G,'reasons for reduction division'!B52,'reductions data'!A:A,$I$25)</f>
        <v>0</v>
      </c>
      <c r="J52" s="62">
        <f>COUNTIFS('reductions data'!G:G,'reasons for reduction division'!B52,'reductions data'!A:A,$J$25)</f>
        <v>0</v>
      </c>
      <c r="K52" s="62">
        <f>COUNTIFS('reductions data'!G:G,'reasons for reduction division'!B52,'reductions data'!A:A,$K$25)</f>
        <v>0</v>
      </c>
      <c r="L52" s="62">
        <f>COUNTIFS('reductions data'!G:G,'reasons for reduction division'!B52,'reductions data'!A:A,$L$25)</f>
        <v>0</v>
      </c>
      <c r="M52" s="62">
        <f>COUNTIFS('reductions data'!G:G,'reasons for reduction division'!B52,'reductions data'!A:A,$M$25)</f>
        <v>0</v>
      </c>
      <c r="N52" s="62">
        <f>COUNTIFS('reductions data'!G:G,'reasons for reduction division'!B52,'reductions data'!A:A,$N$25)</f>
        <v>0</v>
      </c>
      <c r="O52" s="105">
        <f>COUNTIF('reductions data'!G:G,'reasons for reduction division'!B52)</f>
        <v>0</v>
      </c>
    </row>
    <row r="53" spans="2:15" x14ac:dyDescent="0.15">
      <c r="B53" s="322" t="s">
        <v>1249</v>
      </c>
      <c r="C53" s="62">
        <f>COUNTIFS('reductions data'!G:G,'reasons for reduction division'!B53,'reductions data'!A:A,$C$25)</f>
        <v>0</v>
      </c>
      <c r="D53" s="62">
        <f>COUNTIFS('reductions data'!G:G,'reasons for reduction division'!B53,'reductions data'!A:A,$D$25)</f>
        <v>0</v>
      </c>
      <c r="E53" s="62">
        <f>COUNTIFS('reductions data'!G:G,'reasons for reduction division'!B53,'reductions data'!A:A,$E$25)</f>
        <v>0</v>
      </c>
      <c r="F53" s="62">
        <f>COUNTIFS('reductions data'!G:G,'reasons for reduction division'!B53,'reductions data'!A:A,$F$25)</f>
        <v>0</v>
      </c>
      <c r="G53" s="62">
        <f>COUNTIFS('reductions data'!G:G,'reasons for reduction division'!B53,'reductions data'!A:A,$G$25)</f>
        <v>0</v>
      </c>
      <c r="H53" s="62">
        <f>COUNTIFS('reductions data'!G:G,'reasons for reduction division'!B53,'reductions data'!A:A,$H$25)</f>
        <v>0</v>
      </c>
      <c r="I53" s="62">
        <f>COUNTIFS('reductions data'!G:G,'reasons for reduction division'!B53,'reductions data'!A:A,$I$25)</f>
        <v>0</v>
      </c>
      <c r="J53" s="62">
        <f>COUNTIFS('reductions data'!G:G,'reasons for reduction division'!B53,'reductions data'!A:A,$J$25)</f>
        <v>0</v>
      </c>
      <c r="K53" s="62">
        <f>COUNTIFS('reductions data'!G:G,'reasons for reduction division'!B53,'reductions data'!A:A,$K$25)</f>
        <v>0</v>
      </c>
      <c r="L53" s="62">
        <f>COUNTIFS('reductions data'!G:G,'reasons for reduction division'!B53,'reductions data'!A:A,$L$25)</f>
        <v>0</v>
      </c>
      <c r="M53" s="62">
        <f>COUNTIFS('reductions data'!G:G,'reasons for reduction division'!B53,'reductions data'!A:A,$M$25)</f>
        <v>0</v>
      </c>
      <c r="N53" s="62">
        <f>COUNTIFS('reductions data'!G:G,'reasons for reduction division'!B53,'reductions data'!A:A,$N$25)</f>
        <v>0</v>
      </c>
      <c r="O53" s="105">
        <f>COUNTIF('reductions data'!G:G,'reasons for reduction division'!B53)</f>
        <v>0</v>
      </c>
    </row>
    <row r="54" spans="2:15" x14ac:dyDescent="0.15">
      <c r="B54" s="322" t="s">
        <v>1258</v>
      </c>
      <c r="C54" s="62">
        <f>COUNTIFS('reductions data'!G:G,'reasons for reduction division'!B54,'reductions data'!A:A,$C$25)</f>
        <v>0</v>
      </c>
      <c r="D54" s="62">
        <f>COUNTIFS('reductions data'!G:G,'reasons for reduction division'!B54,'reductions data'!A:A,$D$25)</f>
        <v>0</v>
      </c>
      <c r="E54" s="62">
        <f>COUNTIFS('reductions data'!G:G,'reasons for reduction division'!B54,'reductions data'!A:A,$E$25)</f>
        <v>0</v>
      </c>
      <c r="F54" s="62">
        <f>COUNTIFS('reductions data'!G:G,'reasons for reduction division'!B54,'reductions data'!A:A,$F$25)</f>
        <v>0</v>
      </c>
      <c r="G54" s="62">
        <f>COUNTIFS('reductions data'!G:G,'reasons for reduction division'!B54,'reductions data'!A:A,$G$25)</f>
        <v>0</v>
      </c>
      <c r="H54" s="62">
        <f>COUNTIFS('reductions data'!G:G,'reasons for reduction division'!B54,'reductions data'!A:A,$H$25)</f>
        <v>0</v>
      </c>
      <c r="I54" s="62">
        <f>COUNTIFS('reductions data'!G:G,'reasons for reduction division'!B54,'reductions data'!A:A,$I$25)</f>
        <v>0</v>
      </c>
      <c r="J54" s="62">
        <f>COUNTIFS('reductions data'!G:G,'reasons for reduction division'!B54,'reductions data'!A:A,$J$25)</f>
        <v>0</v>
      </c>
      <c r="K54" s="62">
        <f>COUNTIFS('reductions data'!G:G,'reasons for reduction division'!B54,'reductions data'!A:A,$K$25)</f>
        <v>0</v>
      </c>
      <c r="L54" s="62">
        <f>COUNTIFS('reductions data'!G:G,'reasons for reduction division'!B54,'reductions data'!A:A,$L$25)</f>
        <v>0</v>
      </c>
      <c r="M54" s="62">
        <f>COUNTIFS('reductions data'!G:G,'reasons for reduction division'!B54,'reductions data'!A:A,$M$25)</f>
        <v>0</v>
      </c>
      <c r="N54" s="62">
        <f>COUNTIFS('reductions data'!G:G,'reasons for reduction division'!B54,'reductions data'!A:A,$N$25)</f>
        <v>0</v>
      </c>
      <c r="O54" s="105">
        <f>COUNTIF('reductions data'!G:G,'reasons for reduction division'!B54)</f>
        <v>0</v>
      </c>
    </row>
    <row r="55" spans="2:15" x14ac:dyDescent="0.15">
      <c r="B55" s="112" t="s">
        <v>1252</v>
      </c>
      <c r="C55" s="62">
        <f>COUNTIFS('reductions data'!G:G,'reasons for reduction division'!B55,'reductions data'!A:A,$C$25)</f>
        <v>0</v>
      </c>
      <c r="D55" s="62">
        <f>COUNTIFS('reductions data'!G:G,'reasons for reduction division'!B55,'reductions data'!A:A,$D$25)</f>
        <v>0</v>
      </c>
      <c r="E55" s="62">
        <f>COUNTIFS('reductions data'!G:G,'reasons for reduction division'!B55,'reductions data'!A:A,$E$25)</f>
        <v>0</v>
      </c>
      <c r="F55" s="62">
        <f>COUNTIFS('reductions data'!G:G,'reasons for reduction division'!B55,'reductions data'!A:A,$F$25)</f>
        <v>0</v>
      </c>
      <c r="G55" s="62">
        <f>COUNTIFS('reductions data'!G:G,'reasons for reduction division'!B55,'reductions data'!A:A,$G$25)</f>
        <v>0</v>
      </c>
      <c r="H55" s="62">
        <f>COUNTIFS('reductions data'!G:G,'reasons for reduction division'!B55,'reductions data'!A:A,$H$25)</f>
        <v>0</v>
      </c>
      <c r="I55" s="62">
        <f>COUNTIFS('reductions data'!G:G,'reasons for reduction division'!B55,'reductions data'!A:A,$I$25)</f>
        <v>0</v>
      </c>
      <c r="J55" s="62">
        <f>COUNTIFS('reductions data'!G:G,'reasons for reduction division'!B55,'reductions data'!A:A,$J$25)</f>
        <v>0</v>
      </c>
      <c r="K55" s="62">
        <f>COUNTIFS('reductions data'!G:G,'reasons for reduction division'!B55,'reductions data'!A:A,$K$25)</f>
        <v>0</v>
      </c>
      <c r="L55" s="62">
        <f>COUNTIFS('reductions data'!G:G,'reasons for reduction division'!B55,'reductions data'!A:A,$L$25)</f>
        <v>0</v>
      </c>
      <c r="M55" s="62">
        <f>COUNTIFS('reductions data'!G:G,'reasons for reduction division'!B55,'reductions data'!A:A,$M$25)</f>
        <v>0</v>
      </c>
      <c r="N55" s="62">
        <f>COUNTIFS('reductions data'!G:G,'reasons for reduction division'!B55,'reductions data'!A:A,$N$25)</f>
        <v>0</v>
      </c>
      <c r="O55" s="105">
        <f>COUNTIF('reductions data'!G:G,'reasons for reduction division'!B55)</f>
        <v>0</v>
      </c>
    </row>
    <row r="56" spans="2:15" x14ac:dyDescent="0.15">
      <c r="B56" s="113" t="s">
        <v>1253</v>
      </c>
      <c r="C56" s="62">
        <f>COUNTIFS('reductions data'!G:G,'reasons for reduction division'!B56,'reductions data'!A:A,$C$25)</f>
        <v>0</v>
      </c>
      <c r="D56" s="62">
        <f>COUNTIFS('reductions data'!G:G,'reasons for reduction division'!B56,'reductions data'!A:A,$D$25)</f>
        <v>0</v>
      </c>
      <c r="E56" s="62">
        <f>COUNTIFS('reductions data'!G:G,'reasons for reduction division'!B56,'reductions data'!A:A,$E$25)</f>
        <v>0</v>
      </c>
      <c r="F56" s="62">
        <f>COUNTIFS('reductions data'!G:G,'reasons for reduction division'!B56,'reductions data'!A:A,$F$25)</f>
        <v>0</v>
      </c>
      <c r="G56" s="62">
        <f>COUNTIFS('reductions data'!G:G,'reasons for reduction division'!B56,'reductions data'!A:A,$G$25)</f>
        <v>0</v>
      </c>
      <c r="H56" s="62">
        <f>COUNTIFS('reductions data'!G:G,'reasons for reduction division'!B56,'reductions data'!A:A,$H$25)</f>
        <v>0</v>
      </c>
      <c r="I56" s="62">
        <f>COUNTIFS('reductions data'!G:G,'reasons for reduction division'!B56,'reductions data'!A:A,$I$25)</f>
        <v>0</v>
      </c>
      <c r="J56" s="62">
        <f>COUNTIFS('reductions data'!G:G,'reasons for reduction division'!B56,'reductions data'!A:A,$J$25)</f>
        <v>0</v>
      </c>
      <c r="K56" s="62">
        <f>COUNTIFS('reductions data'!G:G,'reasons for reduction division'!B56,'reductions data'!A:A,$K$25)</f>
        <v>0</v>
      </c>
      <c r="L56" s="62">
        <f>COUNTIFS('reductions data'!G:G,'reasons for reduction division'!B56,'reductions data'!A:A,$L$25)</f>
        <v>0</v>
      </c>
      <c r="M56" s="62">
        <f>COUNTIFS('reductions data'!G:G,'reasons for reduction division'!B56,'reductions data'!A:A,$M$25)</f>
        <v>0</v>
      </c>
      <c r="N56" s="62">
        <f>COUNTIFS('reductions data'!G:G,'reasons for reduction division'!B56,'reductions data'!A:A,$N$25)</f>
        <v>0</v>
      </c>
      <c r="O56" s="105">
        <f>COUNTIF('reductions data'!G:G,'reasons for reduction division'!B56)</f>
        <v>0</v>
      </c>
    </row>
    <row r="57" spans="2:15" x14ac:dyDescent="0.15">
      <c r="B57" s="113" t="s">
        <v>917</v>
      </c>
      <c r="C57" s="62">
        <f>COUNTIFS('reductions data'!G:G,'reasons for reduction division'!B57,'reductions data'!A:A,$C$25)</f>
        <v>0</v>
      </c>
      <c r="D57" s="62">
        <f>COUNTIFS('reductions data'!G:G,'reasons for reduction division'!B57,'reductions data'!A:A,$D$25)</f>
        <v>0</v>
      </c>
      <c r="E57" s="62">
        <f>COUNTIFS('reductions data'!G:G,'reasons for reduction division'!B57,'reductions data'!A:A,$E$25)</f>
        <v>0</v>
      </c>
      <c r="F57" s="62">
        <f>COUNTIFS('reductions data'!G:G,'reasons for reduction division'!B57,'reductions data'!A:A,$F$25)</f>
        <v>0</v>
      </c>
      <c r="G57" s="62">
        <f>COUNTIFS('reductions data'!G:G,'reasons for reduction division'!B57,'reductions data'!A:A,$G$25)</f>
        <v>0</v>
      </c>
      <c r="H57" s="62">
        <f>COUNTIFS('reductions data'!G:G,'reasons for reduction division'!B57,'reductions data'!A:A,$H$25)</f>
        <v>0</v>
      </c>
      <c r="I57" s="62">
        <f>COUNTIFS('reductions data'!G:G,'reasons for reduction division'!B57,'reductions data'!A:A,$I$25)</f>
        <v>0</v>
      </c>
      <c r="J57" s="62">
        <f>COUNTIFS('reductions data'!G:G,'reasons for reduction division'!B57,'reductions data'!A:A,$J$25)</f>
        <v>0</v>
      </c>
      <c r="K57" s="62">
        <f>COUNTIFS('reductions data'!G:G,'reasons for reduction division'!B57,'reductions data'!A:A,$K$25)</f>
        <v>0</v>
      </c>
      <c r="L57" s="62">
        <f>COUNTIFS('reductions data'!G:G,'reasons for reduction division'!B57,'reductions data'!A:A,$L$25)</f>
        <v>0</v>
      </c>
      <c r="M57" s="62">
        <f>COUNTIFS('reductions data'!G:G,'reasons for reduction division'!B57,'reductions data'!A:A,$M$25)</f>
        <v>0</v>
      </c>
      <c r="N57" s="62">
        <f>COUNTIFS('reductions data'!G:G,'reasons for reduction division'!B57,'reductions data'!A:A,$N$25)</f>
        <v>0</v>
      </c>
      <c r="O57" s="105">
        <f>COUNTIF('reductions data'!G:G,'reasons for reduction division'!B57)</f>
        <v>0</v>
      </c>
    </row>
    <row r="58" spans="2:15" x14ac:dyDescent="0.15">
      <c r="B58" s="113" t="s">
        <v>918</v>
      </c>
      <c r="C58" s="62">
        <f>COUNTIFS('reductions data'!G:G,'reasons for reduction division'!B58,'reductions data'!A:A,$C$25)</f>
        <v>0</v>
      </c>
      <c r="D58" s="62">
        <f>COUNTIFS('reductions data'!G:G,'reasons for reduction division'!B58,'reductions data'!A:A,$D$25)</f>
        <v>0</v>
      </c>
      <c r="E58" s="62">
        <f>COUNTIFS('reductions data'!G:G,'reasons for reduction division'!B58,'reductions data'!A:A,$E$25)</f>
        <v>0</v>
      </c>
      <c r="F58" s="62">
        <f>COUNTIFS('reductions data'!G:G,'reasons for reduction division'!B58,'reductions data'!A:A,$F$25)</f>
        <v>0</v>
      </c>
      <c r="G58" s="62">
        <f>COUNTIFS('reductions data'!G:G,'reasons for reduction division'!B58,'reductions data'!A:A,$G$25)</f>
        <v>0</v>
      </c>
      <c r="H58" s="62">
        <f>COUNTIFS('reductions data'!G:G,'reasons for reduction division'!B58,'reductions data'!A:A,$H$25)</f>
        <v>0</v>
      </c>
      <c r="I58" s="62">
        <f>COUNTIFS('reductions data'!G:G,'reasons for reduction division'!B58,'reductions data'!A:A,$I$25)</f>
        <v>0</v>
      </c>
      <c r="J58" s="62">
        <f>COUNTIFS('reductions data'!G:G,'reasons for reduction division'!B58,'reductions data'!A:A,$J$25)</f>
        <v>0</v>
      </c>
      <c r="K58" s="62">
        <f>COUNTIFS('reductions data'!G:G,'reasons for reduction division'!B58,'reductions data'!A:A,$K$25)</f>
        <v>0</v>
      </c>
      <c r="L58" s="62">
        <f>COUNTIFS('reductions data'!G:G,'reasons for reduction division'!B58,'reductions data'!A:A,$L$25)</f>
        <v>0</v>
      </c>
      <c r="M58" s="62">
        <f>COUNTIFS('reductions data'!G:G,'reasons for reduction division'!B58,'reductions data'!A:A,$M$25)</f>
        <v>0</v>
      </c>
      <c r="N58" s="62">
        <f>COUNTIFS('reductions data'!G:G,'reasons for reduction division'!B58,'reductions data'!A:A,$N$25)</f>
        <v>0</v>
      </c>
      <c r="O58" s="105">
        <f>COUNTIF('reductions data'!G:G,'reasons for reduction division'!B58)</f>
        <v>0</v>
      </c>
    </row>
    <row r="59" spans="2:15" x14ac:dyDescent="0.15">
      <c r="B59" s="113" t="s">
        <v>919</v>
      </c>
      <c r="C59" s="62">
        <f>COUNTIFS('reductions data'!G:G,'reasons for reduction division'!B59,'reductions data'!A:A,$C$25)</f>
        <v>0</v>
      </c>
      <c r="D59" s="62">
        <f>COUNTIFS('reductions data'!G:G,'reasons for reduction division'!B59,'reductions data'!A:A,$D$25)</f>
        <v>0</v>
      </c>
      <c r="E59" s="62">
        <f>COUNTIFS('reductions data'!G:G,'reasons for reduction division'!B59,'reductions data'!A:A,$E$25)</f>
        <v>0</v>
      </c>
      <c r="F59" s="62">
        <f>COUNTIFS('reductions data'!G:G,'reasons for reduction division'!B59,'reductions data'!A:A,$F$25)</f>
        <v>0</v>
      </c>
      <c r="G59" s="62">
        <f>COUNTIFS('reductions data'!G:G,'reasons for reduction division'!B59,'reductions data'!A:A,$G$25)</f>
        <v>0</v>
      </c>
      <c r="H59" s="62">
        <f>COUNTIFS('reductions data'!G:G,'reasons for reduction division'!B59,'reductions data'!A:A,$H$25)</f>
        <v>0</v>
      </c>
      <c r="I59" s="62">
        <f>COUNTIFS('reductions data'!G:G,'reasons for reduction division'!B59,'reductions data'!A:A,$I$25)</f>
        <v>0</v>
      </c>
      <c r="J59" s="62">
        <f>COUNTIFS('reductions data'!G:G,'reasons for reduction division'!B59,'reductions data'!A:A,$J$25)</f>
        <v>0</v>
      </c>
      <c r="K59" s="62">
        <f>COUNTIFS('reductions data'!G:G,'reasons for reduction division'!B59,'reductions data'!A:A,$K$25)</f>
        <v>0</v>
      </c>
      <c r="L59" s="62">
        <f>COUNTIFS('reductions data'!G:G,'reasons for reduction division'!B59,'reductions data'!A:A,$L$25)</f>
        <v>0</v>
      </c>
      <c r="M59" s="62">
        <f>COUNTIFS('reductions data'!G:G,'reasons for reduction division'!B59,'reductions data'!A:A,$M$25)</f>
        <v>0</v>
      </c>
      <c r="N59" s="62">
        <f>COUNTIFS('reductions data'!G:G,'reasons for reduction division'!B59,'reductions data'!A:A,$N$25)</f>
        <v>0</v>
      </c>
      <c r="O59" s="105">
        <f>COUNTIF('reductions data'!G:G,'reasons for reduction division'!B59)</f>
        <v>0</v>
      </c>
    </row>
    <row r="60" spans="2:15" x14ac:dyDescent="0.15">
      <c r="B60" s="322" t="s">
        <v>1254</v>
      </c>
      <c r="C60" s="62">
        <f>COUNTIFS('reductions data'!G:G,'reasons for reduction division'!B60,'reductions data'!A:A,$C$25)</f>
        <v>0</v>
      </c>
      <c r="D60" s="62">
        <f>COUNTIFS('reductions data'!G:G,'reasons for reduction division'!B60,'reductions data'!A:A,$D$25)</f>
        <v>0</v>
      </c>
      <c r="E60" s="62">
        <f>COUNTIFS('reductions data'!G:G,'reasons for reduction division'!B60,'reductions data'!A:A,$E$25)</f>
        <v>0</v>
      </c>
      <c r="F60" s="62">
        <f>COUNTIFS('reductions data'!G:G,'reasons for reduction division'!B60,'reductions data'!A:A,$F$25)</f>
        <v>0</v>
      </c>
      <c r="G60" s="62">
        <f>COUNTIFS('reductions data'!G:G,'reasons for reduction division'!B60,'reductions data'!A:A,$G$25)</f>
        <v>0</v>
      </c>
      <c r="H60" s="62">
        <f>COUNTIFS('reductions data'!G:G,'reasons for reduction division'!B60,'reductions data'!A:A,$H$25)</f>
        <v>0</v>
      </c>
      <c r="I60" s="62">
        <f>COUNTIFS('reductions data'!G:G,'reasons for reduction division'!B60,'reductions data'!A:A,$I$25)</f>
        <v>0</v>
      </c>
      <c r="J60" s="62">
        <f>COUNTIFS('reductions data'!G:G,'reasons for reduction division'!B60,'reductions data'!A:A,$J$25)</f>
        <v>0</v>
      </c>
      <c r="K60" s="62">
        <f>COUNTIFS('reductions data'!G:G,'reasons for reduction division'!B60,'reductions data'!A:A,$K$25)</f>
        <v>0</v>
      </c>
      <c r="L60" s="62">
        <f>COUNTIFS('reductions data'!G:G,'reasons for reduction division'!B60,'reductions data'!A:A,$L$25)</f>
        <v>0</v>
      </c>
      <c r="M60" s="62">
        <f>COUNTIFS('reductions data'!G:G,'reasons for reduction division'!B60,'reductions data'!A:A,$M$25)</f>
        <v>0</v>
      </c>
      <c r="N60" s="62">
        <f>COUNTIFS('reductions data'!G:G,'reasons for reduction division'!B60,'reductions data'!A:A,$N$25)</f>
        <v>0</v>
      </c>
      <c r="O60" s="105">
        <f>COUNTIF('reductions data'!G:G,'reasons for reduction division'!B60)</f>
        <v>0</v>
      </c>
    </row>
    <row r="61" spans="2:15" x14ac:dyDescent="0.15">
      <c r="B61" s="322" t="s">
        <v>1255</v>
      </c>
      <c r="C61" s="62">
        <f>COUNTIFS('reductions data'!G:G,'reasons for reduction division'!B61,'reductions data'!A:A,$C$25)</f>
        <v>0</v>
      </c>
      <c r="D61" s="62">
        <f>COUNTIFS('reductions data'!G:G,'reasons for reduction division'!B61,'reductions data'!A:A,$D$25)</f>
        <v>0</v>
      </c>
      <c r="E61" s="62">
        <f>COUNTIFS('reductions data'!G:G,'reasons for reduction division'!B61,'reductions data'!A:A,$E$25)</f>
        <v>0</v>
      </c>
      <c r="F61" s="62">
        <f>COUNTIFS('reductions data'!G:G,'reasons for reduction division'!B61,'reductions data'!A:A,$F$25)</f>
        <v>0</v>
      </c>
      <c r="G61" s="62">
        <f>COUNTIFS('reductions data'!G:G,'reasons for reduction division'!B61,'reductions data'!A:A,$G$25)</f>
        <v>0</v>
      </c>
      <c r="H61" s="62">
        <f>COUNTIFS('reductions data'!G:G,'reasons for reduction division'!B61,'reductions data'!A:A,$H$25)</f>
        <v>0</v>
      </c>
      <c r="I61" s="62">
        <f>COUNTIFS('reductions data'!G:G,'reasons for reduction division'!B61,'reductions data'!A:A,$I$25)</f>
        <v>0</v>
      </c>
      <c r="J61" s="62">
        <f>COUNTIFS('reductions data'!G:G,'reasons for reduction division'!B61,'reductions data'!A:A,$J$25)</f>
        <v>0</v>
      </c>
      <c r="K61" s="62">
        <f>COUNTIFS('reductions data'!G:G,'reasons for reduction division'!B61,'reductions data'!A:A,$K$25)</f>
        <v>0</v>
      </c>
      <c r="L61" s="62">
        <f>COUNTIFS('reductions data'!G:G,'reasons for reduction division'!B61,'reductions data'!A:A,$L$25)</f>
        <v>0</v>
      </c>
      <c r="M61" s="62">
        <f>COUNTIFS('reductions data'!G:G,'reasons for reduction division'!B61,'reductions data'!A:A,$M$25)</f>
        <v>0</v>
      </c>
      <c r="N61" s="62">
        <f>COUNTIFS('reductions data'!G:G,'reasons for reduction division'!B61,'reductions data'!A:A,$N$25)</f>
        <v>0</v>
      </c>
      <c r="O61" s="105">
        <f>COUNTIF('reductions data'!G:G,'reasons for reduction division'!B61)</f>
        <v>0</v>
      </c>
    </row>
    <row r="62" spans="2:15" x14ac:dyDescent="0.15">
      <c r="B62" s="322" t="s">
        <v>1259</v>
      </c>
      <c r="C62" s="62">
        <f>COUNTIFS('reductions data'!G:G,'reasons for reduction division'!B62,'reductions data'!A:A,$C$25)</f>
        <v>0</v>
      </c>
      <c r="D62" s="62">
        <f>COUNTIFS('reductions data'!G:G,'reasons for reduction division'!B62,'reductions data'!A:A,$D$25)</f>
        <v>0</v>
      </c>
      <c r="E62" s="62">
        <f>COUNTIFS('reductions data'!G:G,'reasons for reduction division'!B62,'reductions data'!A:A,$E$25)</f>
        <v>0</v>
      </c>
      <c r="F62" s="62">
        <f>COUNTIFS('reductions data'!G:G,'reasons for reduction division'!B62,'reductions data'!A:A,$F$25)</f>
        <v>0</v>
      </c>
      <c r="G62" s="62">
        <f>COUNTIFS('reductions data'!G:G,'reasons for reduction division'!B62,'reductions data'!A:A,$G$25)</f>
        <v>0</v>
      </c>
      <c r="H62" s="62">
        <f>COUNTIFS('reductions data'!G:G,'reasons for reduction division'!B62,'reductions data'!A:A,$H$25)</f>
        <v>0</v>
      </c>
      <c r="I62" s="62">
        <f>COUNTIFS('reductions data'!G:G,'reasons for reduction division'!B62,'reductions data'!A:A,$I$25)</f>
        <v>0</v>
      </c>
      <c r="J62" s="62">
        <f>COUNTIFS('reductions data'!G:G,'reasons for reduction division'!B62,'reductions data'!A:A,$J$25)</f>
        <v>0</v>
      </c>
      <c r="K62" s="62">
        <f>COUNTIFS('reductions data'!G:G,'reasons for reduction division'!B62,'reductions data'!A:A,$K$25)</f>
        <v>0</v>
      </c>
      <c r="L62" s="62">
        <f>COUNTIFS('reductions data'!G:G,'reasons for reduction division'!B62,'reductions data'!A:A,$L$25)</f>
        <v>0</v>
      </c>
      <c r="M62" s="62">
        <f>COUNTIFS('reductions data'!G:G,'reasons for reduction division'!B62,'reductions data'!A:A,$M$25)</f>
        <v>0</v>
      </c>
      <c r="N62" s="62">
        <f>COUNTIFS('reductions data'!G:G,'reasons for reduction division'!B62,'reductions data'!A:A,$N$25)</f>
        <v>0</v>
      </c>
      <c r="O62" s="105">
        <f>COUNTIF('reductions data'!G:G,'reasons for reduction division'!B62)</f>
        <v>0</v>
      </c>
    </row>
    <row r="63" spans="2:15" x14ac:dyDescent="0.15">
      <c r="B63" s="113" t="s">
        <v>920</v>
      </c>
      <c r="C63" s="62">
        <f>COUNTIFS('reductions data'!G:G,'reasons for reduction division'!B63,'reductions data'!A:A,$C$25)</f>
        <v>0</v>
      </c>
      <c r="D63" s="62">
        <f>COUNTIFS('reductions data'!G:G,'reasons for reduction division'!B63,'reductions data'!A:A,$D$25)</f>
        <v>0</v>
      </c>
      <c r="E63" s="62">
        <f>COUNTIFS('reductions data'!G:G,'reasons for reduction division'!B63,'reductions data'!A:A,$E$25)</f>
        <v>0</v>
      </c>
      <c r="F63" s="62">
        <f>COUNTIFS('reductions data'!G:G,'reasons for reduction division'!B63,'reductions data'!A:A,$F$25)</f>
        <v>0</v>
      </c>
      <c r="G63" s="62">
        <f>COUNTIFS('reductions data'!G:G,'reasons for reduction division'!B63,'reductions data'!A:A,$G$25)</f>
        <v>0</v>
      </c>
      <c r="H63" s="62">
        <f>COUNTIFS('reductions data'!G:G,'reasons for reduction division'!B63,'reductions data'!A:A,$H$25)</f>
        <v>0</v>
      </c>
      <c r="I63" s="62">
        <f>COUNTIFS('reductions data'!G:G,'reasons for reduction division'!B63,'reductions data'!A:A,$I$25)</f>
        <v>0</v>
      </c>
      <c r="J63" s="62">
        <f>COUNTIFS('reductions data'!G:G,'reasons for reduction division'!B63,'reductions data'!A:A,$J$25)</f>
        <v>0</v>
      </c>
      <c r="K63" s="62">
        <f>COUNTIFS('reductions data'!G:G,'reasons for reduction division'!B63,'reductions data'!A:A,$K$25)</f>
        <v>0</v>
      </c>
      <c r="L63" s="62">
        <f>COUNTIFS('reductions data'!G:G,'reasons for reduction division'!B63,'reductions data'!A:A,$L$25)</f>
        <v>0</v>
      </c>
      <c r="M63" s="62">
        <f>COUNTIFS('reductions data'!G:G,'reasons for reduction division'!B63,'reductions data'!A:A,$M$25)</f>
        <v>0</v>
      </c>
      <c r="N63" s="62">
        <f>COUNTIFS('reductions data'!G:G,'reasons for reduction division'!B63,'reductions data'!A:A,$N$25)</f>
        <v>0</v>
      </c>
      <c r="O63" s="105">
        <f>COUNTIF('reductions data'!G:G,'reasons for reduction division'!B63)</f>
        <v>0</v>
      </c>
    </row>
    <row r="64" spans="2:15" x14ac:dyDescent="0.15">
      <c r="B64" s="113" t="s">
        <v>921</v>
      </c>
      <c r="C64" s="62">
        <f>COUNTIFS('reductions data'!G:G,'reasons for reduction division'!B64,'reductions data'!A:A,$C$25)</f>
        <v>0</v>
      </c>
      <c r="D64" s="62">
        <f>COUNTIFS('reductions data'!G:G,'reasons for reduction division'!B64,'reductions data'!A:A,$D$25)</f>
        <v>0</v>
      </c>
      <c r="E64" s="62">
        <f>COUNTIFS('reductions data'!G:G,'reasons for reduction division'!B64,'reductions data'!A:A,$E$25)</f>
        <v>0</v>
      </c>
      <c r="F64" s="62">
        <f>COUNTIFS('reductions data'!G:G,'reasons for reduction division'!B64,'reductions data'!A:A,$F$25)</f>
        <v>0</v>
      </c>
      <c r="G64" s="62">
        <f>COUNTIFS('reductions data'!G:G,'reasons for reduction division'!B64,'reductions data'!A:A,$G$25)</f>
        <v>0</v>
      </c>
      <c r="H64" s="62">
        <f>COUNTIFS('reductions data'!G:G,'reasons for reduction division'!B64,'reductions data'!A:A,$H$25)</f>
        <v>0</v>
      </c>
      <c r="I64" s="62">
        <f>COUNTIFS('reductions data'!G:G,'reasons for reduction division'!B64,'reductions data'!A:A,$I$25)</f>
        <v>0</v>
      </c>
      <c r="J64" s="62">
        <f>COUNTIFS('reductions data'!G:G,'reasons for reduction division'!B64,'reductions data'!A:A,$J$25)</f>
        <v>0</v>
      </c>
      <c r="K64" s="62">
        <f>COUNTIFS('reductions data'!G:G,'reasons for reduction division'!B64,'reductions data'!A:A,$K$25)</f>
        <v>0</v>
      </c>
      <c r="L64" s="62">
        <f>COUNTIFS('reductions data'!G:G,'reasons for reduction division'!B64,'reductions data'!A:A,$L$25)</f>
        <v>0</v>
      </c>
      <c r="M64" s="62">
        <f>COUNTIFS('reductions data'!G:G,'reasons for reduction division'!B64,'reductions data'!A:A,$M$25)</f>
        <v>0</v>
      </c>
      <c r="N64" s="62">
        <f>COUNTIFS('reductions data'!G:G,'reasons for reduction division'!B64,'reductions data'!A:A,$N$25)</f>
        <v>0</v>
      </c>
      <c r="O64" s="105">
        <f>COUNTIF('reductions data'!G:G,'reasons for reduction division'!B64)</f>
        <v>0</v>
      </c>
    </row>
    <row r="65" spans="2:15" x14ac:dyDescent="0.15">
      <c r="B65" s="113" t="s">
        <v>922</v>
      </c>
      <c r="C65" s="62">
        <f>COUNTIFS('reductions data'!G:G,'reasons for reduction division'!B65,'reductions data'!A:A,$C$25)</f>
        <v>0</v>
      </c>
      <c r="D65" s="62">
        <f>COUNTIFS('reductions data'!G:G,'reasons for reduction division'!B65,'reductions data'!A:A,$D$25)</f>
        <v>0</v>
      </c>
      <c r="E65" s="62">
        <f>COUNTIFS('reductions data'!G:G,'reasons for reduction division'!B65,'reductions data'!A:A,$E$25)</f>
        <v>0</v>
      </c>
      <c r="F65" s="62">
        <f>COUNTIFS('reductions data'!G:G,'reasons for reduction division'!B65,'reductions data'!A:A,$F$25)</f>
        <v>0</v>
      </c>
      <c r="G65" s="62">
        <f>COUNTIFS('reductions data'!G:G,'reasons for reduction division'!B65,'reductions data'!A:A,$G$25)</f>
        <v>0</v>
      </c>
      <c r="H65" s="62">
        <f>COUNTIFS('reductions data'!G:G,'reasons for reduction division'!B65,'reductions data'!A:A,$H$25)</f>
        <v>0</v>
      </c>
      <c r="I65" s="62">
        <f>COUNTIFS('reductions data'!G:G,'reasons for reduction division'!B65,'reductions data'!A:A,$I$25)</f>
        <v>0</v>
      </c>
      <c r="J65" s="62">
        <f>COUNTIFS('reductions data'!G:G,'reasons for reduction division'!B65,'reductions data'!A:A,$J$25)</f>
        <v>0</v>
      </c>
      <c r="K65" s="62">
        <f>COUNTIFS('reductions data'!G:G,'reasons for reduction division'!B65,'reductions data'!A:A,$K$25)</f>
        <v>0</v>
      </c>
      <c r="L65" s="62">
        <f>COUNTIFS('reductions data'!G:G,'reasons for reduction division'!B65,'reductions data'!A:A,$L$25)</f>
        <v>0</v>
      </c>
      <c r="M65" s="62">
        <f>COUNTIFS('reductions data'!G:G,'reasons for reduction division'!B65,'reductions data'!A:A,$M$25)</f>
        <v>0</v>
      </c>
      <c r="N65" s="62">
        <f>COUNTIFS('reductions data'!G:G,'reasons for reduction division'!B65,'reductions data'!A:A,$N$25)</f>
        <v>0</v>
      </c>
      <c r="O65" s="105">
        <f>COUNTIF('reductions data'!G:G,'reasons for reduction division'!B65)</f>
        <v>0</v>
      </c>
    </row>
    <row r="66" spans="2:15" x14ac:dyDescent="0.15">
      <c r="B66" s="113" t="s">
        <v>916</v>
      </c>
      <c r="C66" s="62">
        <f>COUNTIFS('reductions data'!G:G,'reasons for reduction division'!B66,'reductions data'!A:A,$C$25)</f>
        <v>0</v>
      </c>
      <c r="D66" s="62">
        <f>COUNTIFS('reductions data'!G:G,'reasons for reduction division'!B66,'reductions data'!A:A,$D$25)</f>
        <v>0</v>
      </c>
      <c r="E66" s="62">
        <f>COUNTIFS('reductions data'!G:G,'reasons for reduction division'!B66,'reductions data'!A:A,$E$25)</f>
        <v>0</v>
      </c>
      <c r="F66" s="62">
        <f>COUNTIFS('reductions data'!G:G,'reasons for reduction division'!B66,'reductions data'!A:A,$F$25)</f>
        <v>0</v>
      </c>
      <c r="G66" s="62">
        <f>COUNTIFS('reductions data'!G:G,'reasons for reduction division'!B66,'reductions data'!A:A,$G$25)</f>
        <v>0</v>
      </c>
      <c r="H66" s="62">
        <f>COUNTIFS('reductions data'!G:G,'reasons for reduction division'!B66,'reductions data'!A:A,$H$25)</f>
        <v>0</v>
      </c>
      <c r="I66" s="62">
        <f>COUNTIFS('reductions data'!G:G,'reasons for reduction division'!B66,'reductions data'!A:A,$I$25)</f>
        <v>0</v>
      </c>
      <c r="J66" s="62">
        <f>COUNTIFS('reductions data'!G:G,'reasons for reduction division'!B66,'reductions data'!A:A,$J$25)</f>
        <v>0</v>
      </c>
      <c r="K66" s="62">
        <f>COUNTIFS('reductions data'!G:G,'reasons for reduction division'!B66,'reductions data'!A:A,$K$25)</f>
        <v>0</v>
      </c>
      <c r="L66" s="62">
        <f>COUNTIFS('reductions data'!G:G,'reasons for reduction division'!B66,'reductions data'!A:A,$L$25)</f>
        <v>0</v>
      </c>
      <c r="M66" s="62">
        <f>COUNTIFS('reductions data'!G:G,'reasons for reduction division'!B66,'reductions data'!A:A,$M$25)</f>
        <v>0</v>
      </c>
      <c r="N66" s="62">
        <f>COUNTIFS('reductions data'!G:G,'reasons for reduction division'!B66,'reductions data'!A:A,$N$25)</f>
        <v>0</v>
      </c>
      <c r="O66" s="105">
        <f>COUNTIF('reductions data'!G:G,'reasons for reduction division'!B66)</f>
        <v>0</v>
      </c>
    </row>
    <row r="67" spans="2:15" x14ac:dyDescent="0.15">
      <c r="B67" s="113" t="s">
        <v>923</v>
      </c>
      <c r="C67" s="62">
        <f>COUNTIFS('reductions data'!G:G,'reasons for reduction division'!B67,'reductions data'!A:A,$C$25)</f>
        <v>0</v>
      </c>
      <c r="D67" s="62">
        <f>COUNTIFS('reductions data'!G:G,'reasons for reduction division'!B67,'reductions data'!A:A,$D$25)</f>
        <v>0</v>
      </c>
      <c r="E67" s="62">
        <f>COUNTIFS('reductions data'!G:G,'reasons for reduction division'!B67,'reductions data'!A:A,$E$25)</f>
        <v>0</v>
      </c>
      <c r="F67" s="62">
        <f>COUNTIFS('reductions data'!G:G,'reasons for reduction division'!B67,'reductions data'!A:A,$F$25)</f>
        <v>0</v>
      </c>
      <c r="G67" s="62">
        <f>COUNTIFS('reductions data'!G:G,'reasons for reduction division'!B67,'reductions data'!A:A,$G$25)</f>
        <v>0</v>
      </c>
      <c r="H67" s="62">
        <f>COUNTIFS('reductions data'!G:G,'reasons for reduction division'!B67,'reductions data'!A:A,$H$25)</f>
        <v>0</v>
      </c>
      <c r="I67" s="62">
        <f>COUNTIFS('reductions data'!G:G,'reasons for reduction division'!B67,'reductions data'!A:A,$I$25)</f>
        <v>0</v>
      </c>
      <c r="J67" s="62">
        <f>COUNTIFS('reductions data'!G:G,'reasons for reduction division'!B67,'reductions data'!A:A,$J$25)</f>
        <v>0</v>
      </c>
      <c r="K67" s="62">
        <f>COUNTIFS('reductions data'!G:G,'reasons for reduction division'!B67,'reductions data'!A:A,$K$25)</f>
        <v>0</v>
      </c>
      <c r="L67" s="62">
        <f>COUNTIFS('reductions data'!G:G,'reasons for reduction division'!B67,'reductions data'!A:A,$L$25)</f>
        <v>0</v>
      </c>
      <c r="M67" s="62">
        <f>COUNTIFS('reductions data'!G:G,'reasons for reduction division'!B67,'reductions data'!A:A,$M$25)</f>
        <v>0</v>
      </c>
      <c r="N67" s="62">
        <f>COUNTIFS('reductions data'!G:G,'reasons for reduction division'!B67,'reductions data'!A:A,$N$25)</f>
        <v>0</v>
      </c>
      <c r="O67" s="105">
        <f>COUNTIF('reductions data'!G:G,'reasons for reduction division'!B67)</f>
        <v>0</v>
      </c>
    </row>
    <row r="68" spans="2:15" x14ac:dyDescent="0.15">
      <c r="B68" s="112" t="s">
        <v>924</v>
      </c>
      <c r="C68" s="62">
        <f>COUNTIFS('reductions data'!G:G,'reasons for reduction division'!B68,'reductions data'!A:A,$C$25)</f>
        <v>0</v>
      </c>
      <c r="D68" s="62">
        <f>COUNTIFS('reductions data'!G:G,'reasons for reduction division'!B68,'reductions data'!A:A,$D$25)</f>
        <v>0</v>
      </c>
      <c r="E68" s="62">
        <f>COUNTIFS('reductions data'!G:G,'reasons for reduction division'!B68,'reductions data'!A:A,$E$25)</f>
        <v>0</v>
      </c>
      <c r="F68" s="62">
        <f>COUNTIFS('reductions data'!G:G,'reasons for reduction division'!B68,'reductions data'!A:A,$F$25)</f>
        <v>0</v>
      </c>
      <c r="G68" s="62">
        <f>COUNTIFS('reductions data'!G:G,'reasons for reduction division'!B68,'reductions data'!A:A,$G$25)</f>
        <v>0</v>
      </c>
      <c r="H68" s="62">
        <f>COUNTIFS('reductions data'!G:G,'reasons for reduction division'!B68,'reductions data'!A:A,$H$25)</f>
        <v>0</v>
      </c>
      <c r="I68" s="62">
        <f>COUNTIFS('reductions data'!G:G,'reasons for reduction division'!B68,'reductions data'!A:A,$I$25)</f>
        <v>0</v>
      </c>
      <c r="J68" s="62">
        <f>COUNTIFS('reductions data'!G:G,'reasons for reduction division'!B68,'reductions data'!A:A,$J$25)</f>
        <v>0</v>
      </c>
      <c r="K68" s="62">
        <f>COUNTIFS('reductions data'!G:G,'reasons for reduction division'!B68,'reductions data'!A:A,$K$25)</f>
        <v>0</v>
      </c>
      <c r="L68" s="62">
        <f>COUNTIFS('reductions data'!G:G,'reasons for reduction division'!B68,'reductions data'!A:A,$L$25)</f>
        <v>0</v>
      </c>
      <c r="M68" s="62">
        <f>COUNTIFS('reductions data'!G:G,'reasons for reduction division'!B68,'reductions data'!A:A,$M$25)</f>
        <v>0</v>
      </c>
      <c r="N68" s="62">
        <f>COUNTIFS('reductions data'!G:G,'reasons for reduction division'!B68,'reductions data'!A:A,$N$25)</f>
        <v>0</v>
      </c>
      <c r="O68" s="105">
        <f>COUNTIF('reductions data'!G:G,'reasons for reduction division'!B68)</f>
        <v>0</v>
      </c>
    </row>
    <row r="69" spans="2:15" x14ac:dyDescent="0.15">
      <c r="B69" s="113" t="s">
        <v>925</v>
      </c>
      <c r="C69" s="62">
        <f>COUNTIFS('reductions data'!G:G,'reasons for reduction division'!B69,'reductions data'!A:A,$C$25)</f>
        <v>0</v>
      </c>
      <c r="D69" s="62">
        <f>COUNTIFS('reductions data'!G:G,'reasons for reduction division'!B69,'reductions data'!A:A,$D$25)</f>
        <v>0</v>
      </c>
      <c r="E69" s="62">
        <f>COUNTIFS('reductions data'!G:G,'reasons for reduction division'!B69,'reductions data'!A:A,$E$25)</f>
        <v>0</v>
      </c>
      <c r="F69" s="62">
        <f>COUNTIFS('reductions data'!G:G,'reasons for reduction division'!B69,'reductions data'!A:A,$F$25)</f>
        <v>0</v>
      </c>
      <c r="G69" s="62">
        <f>COUNTIFS('reductions data'!G:G,'reasons for reduction division'!B69,'reductions data'!A:A,$G$25)</f>
        <v>0</v>
      </c>
      <c r="H69" s="62">
        <f>COUNTIFS('reductions data'!G:G,'reasons for reduction division'!B69,'reductions data'!A:A,$H$25)</f>
        <v>0</v>
      </c>
      <c r="I69" s="62">
        <f>COUNTIFS('reductions data'!G:G,'reasons for reduction division'!B69,'reductions data'!A:A,$I$25)</f>
        <v>0</v>
      </c>
      <c r="J69" s="62">
        <f>COUNTIFS('reductions data'!G:G,'reasons for reduction division'!B69,'reductions data'!A:A,$J$25)</f>
        <v>0</v>
      </c>
      <c r="K69" s="62">
        <f>COUNTIFS('reductions data'!G:G,'reasons for reduction division'!B69,'reductions data'!A:A,$K$25)</f>
        <v>0</v>
      </c>
      <c r="L69" s="62">
        <f>COUNTIFS('reductions data'!G:G,'reasons for reduction division'!B69,'reductions data'!A:A,$L$25)</f>
        <v>0</v>
      </c>
      <c r="M69" s="62">
        <f>COUNTIFS('reductions data'!G:G,'reasons for reduction division'!B69,'reductions data'!A:A,$M$25)</f>
        <v>0</v>
      </c>
      <c r="N69" s="62">
        <f>COUNTIFS('reductions data'!G:G,'reasons for reduction division'!B69,'reductions data'!A:A,$N$25)</f>
        <v>0</v>
      </c>
      <c r="O69" s="105">
        <f>COUNTIF('reductions data'!G:G,'reasons for reduction division'!B69)</f>
        <v>0</v>
      </c>
    </row>
    <row r="70" spans="2:15" x14ac:dyDescent="0.15">
      <c r="B70" s="113" t="s">
        <v>926</v>
      </c>
      <c r="C70" s="62">
        <f>COUNTIFS('reductions data'!G:G,'reasons for reduction division'!B70,'reductions data'!A:A,$C$25)</f>
        <v>0</v>
      </c>
      <c r="D70" s="62">
        <f>COUNTIFS('reductions data'!G:G,'reasons for reduction division'!B70,'reductions data'!A:A,$D$25)</f>
        <v>0</v>
      </c>
      <c r="E70" s="62">
        <f>COUNTIFS('reductions data'!G:G,'reasons for reduction division'!B70,'reductions data'!A:A,$E$25)</f>
        <v>0</v>
      </c>
      <c r="F70" s="62">
        <f>COUNTIFS('reductions data'!G:G,'reasons for reduction division'!B70,'reductions data'!A:A,$F$25)</f>
        <v>0</v>
      </c>
      <c r="G70" s="62">
        <f>COUNTIFS('reductions data'!G:G,'reasons for reduction division'!B70,'reductions data'!A:A,$G$25)</f>
        <v>0</v>
      </c>
      <c r="H70" s="62">
        <f>COUNTIFS('reductions data'!G:G,'reasons for reduction division'!B70,'reductions data'!A:A,$H$25)</f>
        <v>0</v>
      </c>
      <c r="I70" s="62">
        <f>COUNTIFS('reductions data'!G:G,'reasons for reduction division'!B70,'reductions data'!A:A,$I$25)</f>
        <v>0</v>
      </c>
      <c r="J70" s="62">
        <f>COUNTIFS('reductions data'!G:G,'reasons for reduction division'!B70,'reductions data'!A:A,$J$25)</f>
        <v>0</v>
      </c>
      <c r="K70" s="62">
        <f>COUNTIFS('reductions data'!G:G,'reasons for reduction division'!B70,'reductions data'!A:A,$K$25)</f>
        <v>0</v>
      </c>
      <c r="L70" s="62">
        <f>COUNTIFS('reductions data'!G:G,'reasons for reduction division'!B70,'reductions data'!A:A,$L$25)</f>
        <v>0</v>
      </c>
      <c r="M70" s="62">
        <f>COUNTIFS('reductions data'!G:G,'reasons for reduction division'!B70,'reductions data'!A:A,$M$25)</f>
        <v>0</v>
      </c>
      <c r="N70" s="62">
        <f>COUNTIFS('reductions data'!G:G,'reasons for reduction division'!B70,'reductions data'!A:A,$N$25)</f>
        <v>0</v>
      </c>
      <c r="O70" s="105">
        <f>COUNTIF('reductions data'!G:G,'reasons for reduction division'!B70)</f>
        <v>0</v>
      </c>
    </row>
    <row r="71" spans="2:15" x14ac:dyDescent="0.15">
      <c r="B71" s="113" t="s">
        <v>927</v>
      </c>
      <c r="C71" s="62">
        <f>COUNTIFS('reductions data'!G:G,'reasons for reduction division'!B71,'reductions data'!A:A,$C$25)</f>
        <v>0</v>
      </c>
      <c r="D71" s="62">
        <f>COUNTIFS('reductions data'!G:G,'reasons for reduction division'!B71,'reductions data'!A:A,$D$25)</f>
        <v>0</v>
      </c>
      <c r="E71" s="62">
        <f>COUNTIFS('reductions data'!G:G,'reasons for reduction division'!B71,'reductions data'!A:A,$E$25)</f>
        <v>0</v>
      </c>
      <c r="F71" s="62">
        <f>COUNTIFS('reductions data'!G:G,'reasons for reduction division'!B71,'reductions data'!A:A,$F$25)</f>
        <v>0</v>
      </c>
      <c r="G71" s="62">
        <f>COUNTIFS('reductions data'!G:G,'reasons for reduction division'!B71,'reductions data'!A:A,$G$25)</f>
        <v>0</v>
      </c>
      <c r="H71" s="62">
        <f>COUNTIFS('reductions data'!G:G,'reasons for reduction division'!B71,'reductions data'!A:A,$H$25)</f>
        <v>0</v>
      </c>
      <c r="I71" s="62">
        <f>COUNTIFS('reductions data'!G:G,'reasons for reduction division'!B71,'reductions data'!A:A,$I$25)</f>
        <v>0</v>
      </c>
      <c r="J71" s="62">
        <f>COUNTIFS('reductions data'!G:G,'reasons for reduction division'!B71,'reductions data'!A:A,$J$25)</f>
        <v>0</v>
      </c>
      <c r="K71" s="62">
        <f>COUNTIFS('reductions data'!G:G,'reasons for reduction division'!B71,'reductions data'!A:A,$K$25)</f>
        <v>0</v>
      </c>
      <c r="L71" s="62">
        <f>COUNTIFS('reductions data'!G:G,'reasons for reduction division'!B71,'reductions data'!A:A,$L$25)</f>
        <v>0</v>
      </c>
      <c r="M71" s="62">
        <f>COUNTIFS('reductions data'!G:G,'reasons for reduction division'!B71,'reductions data'!A:A,$M$25)</f>
        <v>0</v>
      </c>
      <c r="N71" s="62">
        <f>COUNTIFS('reductions data'!G:G,'reasons for reduction division'!B71,'reductions data'!A:A,$N$25)</f>
        <v>0</v>
      </c>
      <c r="O71" s="105">
        <f>COUNTIF('reductions data'!G:G,'reasons for reduction division'!B71)</f>
        <v>0</v>
      </c>
    </row>
    <row r="72" spans="2:15" x14ac:dyDescent="0.15">
      <c r="B72" s="113" t="s">
        <v>928</v>
      </c>
      <c r="C72" s="62">
        <f>COUNTIFS('reductions data'!G:G,'reasons for reduction division'!B72,'reductions data'!A:A,$C$25)</f>
        <v>0</v>
      </c>
      <c r="D72" s="62">
        <f>COUNTIFS('reductions data'!G:G,'reasons for reduction division'!B72,'reductions data'!A:A,$D$25)</f>
        <v>0</v>
      </c>
      <c r="E72" s="62">
        <f>COUNTIFS('reductions data'!G:G,'reasons for reduction division'!B72,'reductions data'!A:A,$E$25)</f>
        <v>0</v>
      </c>
      <c r="F72" s="62">
        <f>COUNTIFS('reductions data'!G:G,'reasons for reduction division'!B72,'reductions data'!A:A,$F$25)</f>
        <v>0</v>
      </c>
      <c r="G72" s="62">
        <f>COUNTIFS('reductions data'!G:G,'reasons for reduction division'!B72,'reductions data'!A:A,$G$25)</f>
        <v>0</v>
      </c>
      <c r="H72" s="62">
        <f>COUNTIFS('reductions data'!G:G,'reasons for reduction division'!B72,'reductions data'!A:A,$H$25)</f>
        <v>0</v>
      </c>
      <c r="I72" s="62">
        <f>COUNTIFS('reductions data'!G:G,'reasons for reduction division'!B72,'reductions data'!A:A,$I$25)</f>
        <v>0</v>
      </c>
      <c r="J72" s="62">
        <f>COUNTIFS('reductions data'!G:G,'reasons for reduction division'!B72,'reductions data'!A:A,$J$25)</f>
        <v>0</v>
      </c>
      <c r="K72" s="62">
        <f>COUNTIFS('reductions data'!G:G,'reasons for reduction division'!B72,'reductions data'!A:A,$K$25)</f>
        <v>0</v>
      </c>
      <c r="L72" s="62">
        <f>COUNTIFS('reductions data'!G:G,'reasons for reduction division'!B72,'reductions data'!A:A,$L$25)</f>
        <v>0</v>
      </c>
      <c r="M72" s="62">
        <f>COUNTIFS('reductions data'!G:G,'reasons for reduction division'!B72,'reductions data'!A:A,$M$25)</f>
        <v>0</v>
      </c>
      <c r="N72" s="62">
        <f>COUNTIFS('reductions data'!G:G,'reasons for reduction division'!B72,'reductions data'!A:A,$N$25)</f>
        <v>0</v>
      </c>
      <c r="O72" s="105">
        <f>COUNTIF('reductions data'!G:G,'reasons for reduction division'!B72)</f>
        <v>0</v>
      </c>
    </row>
    <row r="73" spans="2:15" x14ac:dyDescent="0.15">
      <c r="B73" s="113" t="s">
        <v>929</v>
      </c>
      <c r="C73" s="62">
        <f>COUNTIFS('reductions data'!G:G,'reasons for reduction division'!B73,'reductions data'!A:A,$C$25)</f>
        <v>0</v>
      </c>
      <c r="D73" s="62">
        <f>COUNTIFS('reductions data'!G:G,'reasons for reduction division'!B73,'reductions data'!A:A,$D$25)</f>
        <v>0</v>
      </c>
      <c r="E73" s="62">
        <f>COUNTIFS('reductions data'!G:G,'reasons for reduction division'!B73,'reductions data'!A:A,$E$25)</f>
        <v>0</v>
      </c>
      <c r="F73" s="62">
        <f>COUNTIFS('reductions data'!G:G,'reasons for reduction division'!B73,'reductions data'!A:A,$F$25)</f>
        <v>0</v>
      </c>
      <c r="G73" s="62">
        <f>COUNTIFS('reductions data'!G:G,'reasons for reduction division'!B73,'reductions data'!A:A,$G$25)</f>
        <v>0</v>
      </c>
      <c r="H73" s="62">
        <f>COUNTIFS('reductions data'!G:G,'reasons for reduction division'!B73,'reductions data'!A:A,$H$25)</f>
        <v>0</v>
      </c>
      <c r="I73" s="62">
        <f>COUNTIFS('reductions data'!G:G,'reasons for reduction division'!B73,'reductions data'!A:A,$I$25)</f>
        <v>0</v>
      </c>
      <c r="J73" s="62">
        <f>COUNTIFS('reductions data'!G:G,'reasons for reduction division'!B73,'reductions data'!A:A,$J$25)</f>
        <v>0</v>
      </c>
      <c r="K73" s="62">
        <f>COUNTIFS('reductions data'!G:G,'reasons for reduction division'!B73,'reductions data'!A:A,$K$25)</f>
        <v>0</v>
      </c>
      <c r="L73" s="62">
        <f>COUNTIFS('reductions data'!G:G,'reasons for reduction division'!B73,'reductions data'!A:A,$L$25)</f>
        <v>0</v>
      </c>
      <c r="M73" s="62">
        <f>COUNTIFS('reductions data'!G:G,'reasons for reduction division'!B73,'reductions data'!A:A,$M$25)</f>
        <v>0</v>
      </c>
      <c r="N73" s="62">
        <f>COUNTIFS('reductions data'!G:G,'reasons for reduction division'!B73,'reductions data'!A:A,$N$25)</f>
        <v>0</v>
      </c>
      <c r="O73" s="105">
        <f>COUNTIF('reductions data'!G:G,'reasons for reduction division'!B73)</f>
        <v>0</v>
      </c>
    </row>
    <row r="74" spans="2:15" x14ac:dyDescent="0.15">
      <c r="B74" s="113" t="s">
        <v>930</v>
      </c>
      <c r="C74" s="62">
        <f>COUNTIFS('reductions data'!G:G,'reasons for reduction division'!B74,'reductions data'!A:A,$C$25)</f>
        <v>0</v>
      </c>
      <c r="D74" s="62">
        <f>COUNTIFS('reductions data'!G:G,'reasons for reduction division'!B74,'reductions data'!A:A,$D$25)</f>
        <v>0</v>
      </c>
      <c r="E74" s="62">
        <f>COUNTIFS('reductions data'!G:G,'reasons for reduction division'!B74,'reductions data'!A:A,$E$25)</f>
        <v>0</v>
      </c>
      <c r="F74" s="62">
        <f>COUNTIFS('reductions data'!G:G,'reasons for reduction division'!B74,'reductions data'!A:A,$F$25)</f>
        <v>0</v>
      </c>
      <c r="G74" s="62">
        <f>COUNTIFS('reductions data'!G:G,'reasons for reduction division'!B74,'reductions data'!A:A,$G$25)</f>
        <v>0</v>
      </c>
      <c r="H74" s="62">
        <f>COUNTIFS('reductions data'!G:G,'reasons for reduction division'!B74,'reductions data'!A:A,$H$25)</f>
        <v>0</v>
      </c>
      <c r="I74" s="62">
        <f>COUNTIFS('reductions data'!G:G,'reasons for reduction division'!B74,'reductions data'!A:A,$I$25)</f>
        <v>0</v>
      </c>
      <c r="J74" s="62">
        <f>COUNTIFS('reductions data'!G:G,'reasons for reduction division'!B74,'reductions data'!A:A,$J$25)</f>
        <v>0</v>
      </c>
      <c r="K74" s="62">
        <f>COUNTIFS('reductions data'!G:G,'reasons for reduction division'!B74,'reductions data'!A:A,$K$25)</f>
        <v>0</v>
      </c>
      <c r="L74" s="62">
        <f>COUNTIFS('reductions data'!G:G,'reasons for reduction division'!B74,'reductions data'!A:A,$L$25)</f>
        <v>0</v>
      </c>
      <c r="M74" s="62">
        <f>COUNTIFS('reductions data'!G:G,'reasons for reduction division'!B74,'reductions data'!A:A,$M$25)</f>
        <v>0</v>
      </c>
      <c r="N74" s="62">
        <f>COUNTIFS('reductions data'!G:G,'reasons for reduction division'!B74,'reductions data'!A:A,$N$25)</f>
        <v>0</v>
      </c>
      <c r="O74" s="105">
        <f>COUNTIF('reductions data'!G:G,'reasons for reduction division'!B74)</f>
        <v>0</v>
      </c>
    </row>
    <row r="75" spans="2:15" x14ac:dyDescent="0.15">
      <c r="B75" s="181" t="s">
        <v>959</v>
      </c>
      <c r="C75" s="182">
        <f>COUNTIF('reductions data'!A:A,$C$25)</f>
        <v>0</v>
      </c>
      <c r="D75" s="182">
        <f>COUNTIF('reductions data'!A:A,$D$25)</f>
        <v>0</v>
      </c>
      <c r="E75" s="182">
        <f>COUNTIF('reductions data'!A:A,$E$25)</f>
        <v>0</v>
      </c>
      <c r="F75" s="182">
        <f>COUNTIF('reductions data'!A:A,$F$25)</f>
        <v>0</v>
      </c>
      <c r="G75" s="182">
        <f>COUNTIF('reductions data'!A:A,$G$25)</f>
        <v>0</v>
      </c>
      <c r="H75" s="182">
        <f>COUNTIF('reductions data'!A:A,$H$25)</f>
        <v>0</v>
      </c>
      <c r="I75" s="182">
        <f>COUNTIF('reductions data'!A:A,$I$25)</f>
        <v>0</v>
      </c>
      <c r="J75" s="182">
        <f>COUNTIF('reductions data'!A:A,$J$25)</f>
        <v>0</v>
      </c>
      <c r="K75" s="182">
        <f>COUNTIF('reductions data'!A:A,$K$25)</f>
        <v>0</v>
      </c>
      <c r="L75" s="182">
        <f>COUNTIF('reductions data'!A:A,$L$25)</f>
        <v>0</v>
      </c>
      <c r="M75" s="182">
        <f>COUNTIF('reductions data'!A:A,$M$25)</f>
        <v>0</v>
      </c>
      <c r="N75" s="182">
        <f>COUNTIF('reductions data'!$A:$A,N$25)</f>
        <v>0</v>
      </c>
      <c r="O75" s="105">
        <f>COUNTIF('reductions data'!K:K,"ACTIVE")</f>
        <v>0</v>
      </c>
    </row>
    <row r="76" spans="2:15" x14ac:dyDescent="0.15">
      <c r="B76" s="328"/>
    </row>
    <row r="78" spans="2:15" ht="20" x14ac:dyDescent="0.2">
      <c r="C78" s="574" t="s">
        <v>1181</v>
      </c>
      <c r="D78" s="574"/>
      <c r="E78" s="574"/>
      <c r="F78" s="574"/>
      <c r="G78" s="574"/>
      <c r="H78" s="574"/>
      <c r="I78" s="574"/>
      <c r="J78" s="574"/>
      <c r="K78" s="574"/>
      <c r="L78" s="574"/>
      <c r="M78" s="574"/>
      <c r="N78" s="574"/>
      <c r="O78" s="574"/>
    </row>
    <row r="79" spans="2:15" ht="34.5" customHeight="1" x14ac:dyDescent="0.15">
      <c r="B79" s="76" t="s">
        <v>889</v>
      </c>
      <c r="C79" s="76" t="s">
        <v>17</v>
      </c>
      <c r="D79" s="76" t="s">
        <v>18</v>
      </c>
      <c r="E79" s="76" t="s">
        <v>19</v>
      </c>
      <c r="F79" s="76" t="s">
        <v>20</v>
      </c>
      <c r="G79" s="76" t="s">
        <v>21</v>
      </c>
      <c r="H79" s="76" t="s">
        <v>22</v>
      </c>
      <c r="I79" s="76" t="s">
        <v>23</v>
      </c>
      <c r="J79" s="76" t="s">
        <v>24</v>
      </c>
      <c r="K79" s="76" t="s">
        <v>25</v>
      </c>
      <c r="L79" s="76" t="s">
        <v>26</v>
      </c>
      <c r="M79" s="76" t="s">
        <v>27</v>
      </c>
      <c r="N79" s="76" t="s">
        <v>28</v>
      </c>
      <c r="O79" s="76" t="s">
        <v>1180</v>
      </c>
    </row>
    <row r="80" spans="2:15" x14ac:dyDescent="0.15">
      <c r="B80" s="112" t="s">
        <v>892</v>
      </c>
      <c r="C80" s="62">
        <f>SUMIFS('reductions data'!H:H,'reductions data'!G:G,'reasons for reduction division'!B80,'reductions data'!A:A,$C$79)</f>
        <v>0</v>
      </c>
      <c r="D80" s="62">
        <f>SUMIFS('reductions data'!H:H,'reductions data'!G:G,'reasons for reduction division'!B80,'reductions data'!A:A,$D$79)</f>
        <v>0</v>
      </c>
      <c r="E80" s="62">
        <f>SUMIFS('reductions data'!H:H,'reductions data'!G:G,'reasons for reduction division'!B80,'reductions data'!A:A,$E$79)</f>
        <v>0</v>
      </c>
      <c r="F80" s="62">
        <f>SUMIFS('reductions data'!H:H,'reductions data'!G:G,'reasons for reduction division'!B80,'reductions data'!A:A,$F$79)</f>
        <v>0</v>
      </c>
      <c r="G80" s="62">
        <f>SUMIFS('reductions data'!H:H,'reductions data'!G:G,'reasons for reduction division'!B80,'reductions data'!A:A,$G$79)</f>
        <v>0</v>
      </c>
      <c r="H80" s="62">
        <f>SUMIFS('reductions data'!H:H,'reductions data'!G:G,'reasons for reduction division'!B80,'reductions data'!A:A,$H$79)</f>
        <v>0</v>
      </c>
      <c r="I80" s="62">
        <f>SUMIFS('reductions data'!H:H,'reductions data'!G:G,'reasons for reduction division'!B80,'reductions data'!A:A,$I$79)</f>
        <v>0</v>
      </c>
      <c r="J80" s="62">
        <f>SUMIFS('reductions data'!H:H,'reductions data'!G:G,'reasons for reduction division'!B80,'reductions data'!A:A,$J$79)</f>
        <v>0</v>
      </c>
      <c r="K80" s="62">
        <f>SUMIFS('reductions data'!H:H,'reductions data'!G:G,'reasons for reduction division'!B80,'reductions data'!A:A,$K$79)</f>
        <v>0</v>
      </c>
      <c r="L80" s="62">
        <f>SUMIFS('reductions data'!H:H,'reductions data'!G:G,'reasons for reduction division'!B80,'reductions data'!A:A,$L$79)</f>
        <v>0</v>
      </c>
      <c r="M80" s="62">
        <f>SUMIFS('reductions data'!H:H,'reductions data'!G:G,'reasons for reduction division'!B80,'reductions data'!A:A,$M$79)</f>
        <v>0</v>
      </c>
      <c r="N80" s="62">
        <f>SUMIFS('reductions data'!H:H,'reductions data'!G:G,'reasons for reduction division'!B80,'reductions data'!A:A,$N$79)</f>
        <v>0</v>
      </c>
      <c r="O80" s="105">
        <f>SUMIF('reductions data'!G:G,'reasons for reduction division'!B80,'reductions data'!H:H)</f>
        <v>0</v>
      </c>
    </row>
    <row r="81" spans="2:15" x14ac:dyDescent="0.15">
      <c r="B81" s="113" t="s">
        <v>894</v>
      </c>
      <c r="C81" s="62">
        <f>SUMIFS('reductions data'!H:H,'reductions data'!G:G,'reasons for reduction division'!B81,'reductions data'!A:A,$C$79)</f>
        <v>0</v>
      </c>
      <c r="D81" s="62">
        <f>SUMIFS('reductions data'!H:H,'reductions data'!G:G,'reasons for reduction division'!B81,'reductions data'!A:A,$D$79)</f>
        <v>0</v>
      </c>
      <c r="E81" s="62">
        <f>SUMIFS('reductions data'!H:H,'reductions data'!G:G,'reasons for reduction division'!B81,'reductions data'!A:A,$E$79)</f>
        <v>0</v>
      </c>
      <c r="F81" s="62">
        <f>SUMIFS('reductions data'!H:H,'reductions data'!G:G,'reasons for reduction division'!B81,'reductions data'!A:A,$F$79)</f>
        <v>0</v>
      </c>
      <c r="G81" s="62">
        <f>SUMIFS('reductions data'!H:H,'reductions data'!G:G,'reasons for reduction division'!B81,'reductions data'!A:A,$G$79)</f>
        <v>0</v>
      </c>
      <c r="H81" s="62">
        <f>SUMIFS('reductions data'!H:H,'reductions data'!G:G,'reasons for reduction division'!B81,'reductions data'!A:A,$H$79)</f>
        <v>0</v>
      </c>
      <c r="I81" s="62">
        <f>SUMIFS('reductions data'!H:H,'reductions data'!G:G,'reasons for reduction division'!B81,'reductions data'!A:A,$I$79)</f>
        <v>0</v>
      </c>
      <c r="J81" s="62">
        <f>SUMIFS('reductions data'!H:H,'reductions data'!G:G,'reasons for reduction division'!B81,'reductions data'!A:A,$J$79)</f>
        <v>0</v>
      </c>
      <c r="K81" s="62">
        <f>SUMIFS('reductions data'!H:H,'reductions data'!G:G,'reasons for reduction division'!B81,'reductions data'!A:A,$K$79)</f>
        <v>0</v>
      </c>
      <c r="L81" s="62">
        <f>SUMIFS('reductions data'!H:H,'reductions data'!G:G,'reasons for reduction division'!B81,'reductions data'!A:A,$L$79)</f>
        <v>0</v>
      </c>
      <c r="M81" s="62">
        <f>SUMIFS('reductions data'!H:H,'reductions data'!G:G,'reasons for reduction division'!B81,'reductions data'!A:A,$M$79)</f>
        <v>0</v>
      </c>
      <c r="N81" s="62">
        <f>SUMIFS('reductions data'!H:H,'reductions data'!G:G,'reasons for reduction division'!B81,'reductions data'!A:A,$N$79)</f>
        <v>0</v>
      </c>
      <c r="O81" s="105">
        <f>SUMIF('reductions data'!G:G,'reasons for reduction division'!B81,'reductions data'!H:H)</f>
        <v>0</v>
      </c>
    </row>
    <row r="82" spans="2:15" x14ac:dyDescent="0.15">
      <c r="B82" s="113" t="s">
        <v>893</v>
      </c>
      <c r="C82" s="62">
        <f>SUMIFS('reductions data'!H:H,'reductions data'!G:G,'reasons for reduction division'!B82,'reductions data'!A:A,$C$79)</f>
        <v>0</v>
      </c>
      <c r="D82" s="62">
        <f>SUMIFS('reductions data'!H:H,'reductions data'!G:G,'reasons for reduction division'!B82,'reductions data'!A:A,$D$79)</f>
        <v>0</v>
      </c>
      <c r="E82" s="62">
        <f>SUMIFS('reductions data'!H:H,'reductions data'!G:G,'reasons for reduction division'!B82,'reductions data'!A:A,$E$79)</f>
        <v>0</v>
      </c>
      <c r="F82" s="62">
        <f>SUMIFS('reductions data'!H:H,'reductions data'!G:G,'reasons for reduction division'!B82,'reductions data'!A:A,$F$79)</f>
        <v>0</v>
      </c>
      <c r="G82" s="62">
        <f>SUMIFS('reductions data'!H:H,'reductions data'!G:G,'reasons for reduction division'!B82,'reductions data'!A:A,$G$79)</f>
        <v>0</v>
      </c>
      <c r="H82" s="62">
        <f>SUMIFS('reductions data'!H:H,'reductions data'!G:G,'reasons for reduction division'!B82,'reductions data'!A:A,$H$79)</f>
        <v>0</v>
      </c>
      <c r="I82" s="62">
        <f>SUMIFS('reductions data'!H:H,'reductions data'!G:G,'reasons for reduction division'!B82,'reductions data'!A:A,$I$79)</f>
        <v>0</v>
      </c>
      <c r="J82" s="62">
        <f>SUMIFS('reductions data'!H:H,'reductions data'!G:G,'reasons for reduction division'!B82,'reductions data'!A:A,$J$79)</f>
        <v>0</v>
      </c>
      <c r="K82" s="62">
        <f>SUMIFS('reductions data'!H:H,'reductions data'!G:G,'reasons for reduction division'!B82,'reductions data'!A:A,$K$79)</f>
        <v>0</v>
      </c>
      <c r="L82" s="62">
        <f>SUMIFS('reductions data'!H:H,'reductions data'!G:G,'reasons for reduction division'!B82,'reductions data'!A:A,$L$79)</f>
        <v>0</v>
      </c>
      <c r="M82" s="62">
        <f>SUMIFS('reductions data'!H:H,'reductions data'!G:G,'reasons for reduction division'!B82,'reductions data'!A:A,$M$79)</f>
        <v>0</v>
      </c>
      <c r="N82" s="62">
        <f>SUMIFS('reductions data'!H:H,'reductions data'!G:G,'reasons for reduction division'!B82,'reductions data'!A:A,$N$79)</f>
        <v>0</v>
      </c>
      <c r="O82" s="105">
        <f>SUMIF('reductions data'!G:G,'reasons for reduction division'!B82,'reductions data'!H:H)</f>
        <v>0</v>
      </c>
    </row>
    <row r="83" spans="2:15" x14ac:dyDescent="0.15">
      <c r="B83" s="113" t="s">
        <v>895</v>
      </c>
      <c r="C83" s="62">
        <f>SUMIFS('reductions data'!H:H,'reductions data'!G:G,'reasons for reduction division'!B83,'reductions data'!A:A,$C$79)</f>
        <v>0</v>
      </c>
      <c r="D83" s="62">
        <f>SUMIFS('reductions data'!H:H,'reductions data'!G:G,'reasons for reduction division'!B83,'reductions data'!A:A,$D$79)</f>
        <v>0</v>
      </c>
      <c r="E83" s="62">
        <f>SUMIFS('reductions data'!H:H,'reductions data'!G:G,'reasons for reduction division'!B83,'reductions data'!A:A,$E$79)</f>
        <v>0</v>
      </c>
      <c r="F83" s="62">
        <f>SUMIFS('reductions data'!H:H,'reductions data'!G:G,'reasons for reduction division'!B83,'reductions data'!A:A,$F$79)</f>
        <v>0</v>
      </c>
      <c r="G83" s="62">
        <f>SUMIFS('reductions data'!H:H,'reductions data'!G:G,'reasons for reduction division'!B83,'reductions data'!A:A,$G$79)</f>
        <v>0</v>
      </c>
      <c r="H83" s="62">
        <f>SUMIFS('reductions data'!H:H,'reductions data'!G:G,'reasons for reduction division'!B83,'reductions data'!A:A,$H$79)</f>
        <v>0</v>
      </c>
      <c r="I83" s="62">
        <f>SUMIFS('reductions data'!H:H,'reductions data'!G:G,'reasons for reduction division'!B83,'reductions data'!A:A,$I$79)</f>
        <v>0</v>
      </c>
      <c r="J83" s="62">
        <f>SUMIFS('reductions data'!H:H,'reductions data'!G:G,'reasons for reduction division'!B83,'reductions data'!A:A,$J$79)</f>
        <v>0</v>
      </c>
      <c r="K83" s="62">
        <f>SUMIFS('reductions data'!H:H,'reductions data'!G:G,'reasons for reduction division'!B83,'reductions data'!A:A,$K$79)</f>
        <v>0</v>
      </c>
      <c r="L83" s="62">
        <f>SUMIFS('reductions data'!H:H,'reductions data'!G:G,'reasons for reduction division'!B83,'reductions data'!A:A,$L$79)</f>
        <v>0</v>
      </c>
      <c r="M83" s="62">
        <f>SUMIFS('reductions data'!H:H,'reductions data'!G:G,'reasons for reduction division'!B83,'reductions data'!A:A,$M$79)</f>
        <v>0</v>
      </c>
      <c r="N83" s="62">
        <f>SUMIFS('reductions data'!H:H,'reductions data'!G:G,'reasons for reduction division'!B83,'reductions data'!A:A,$N$79)</f>
        <v>0</v>
      </c>
      <c r="O83" s="105">
        <f>SUMIF('reductions data'!G:G,'reasons for reduction division'!B83,'reductions data'!H:H)</f>
        <v>0</v>
      </c>
    </row>
    <row r="84" spans="2:15" x14ac:dyDescent="0.15">
      <c r="B84" s="113" t="s">
        <v>896</v>
      </c>
      <c r="C84" s="62">
        <f>SUMIFS('reductions data'!H:H,'reductions data'!G:G,'reasons for reduction division'!B84,'reductions data'!A:A,$C$79)</f>
        <v>0</v>
      </c>
      <c r="D84" s="62">
        <f>SUMIFS('reductions data'!H:H,'reductions data'!G:G,'reasons for reduction division'!B84,'reductions data'!A:A,$D$79)</f>
        <v>0</v>
      </c>
      <c r="E84" s="62">
        <f>SUMIFS('reductions data'!H:H,'reductions data'!G:G,'reasons for reduction division'!B84,'reductions data'!A:A,$E$79)</f>
        <v>0</v>
      </c>
      <c r="F84" s="62">
        <f>SUMIFS('reductions data'!H:H,'reductions data'!G:G,'reasons for reduction division'!B84,'reductions data'!A:A,$F$79)</f>
        <v>0</v>
      </c>
      <c r="G84" s="62">
        <f>SUMIFS('reductions data'!H:H,'reductions data'!G:G,'reasons for reduction division'!B84,'reductions data'!A:A,$G$79)</f>
        <v>0</v>
      </c>
      <c r="H84" s="62">
        <f>SUMIFS('reductions data'!H:H,'reductions data'!G:G,'reasons for reduction division'!B84,'reductions data'!A:A,$H$79)</f>
        <v>0</v>
      </c>
      <c r="I84" s="62">
        <f>SUMIFS('reductions data'!H:H,'reductions data'!G:G,'reasons for reduction division'!B84,'reductions data'!A:A,$I$79)</f>
        <v>0</v>
      </c>
      <c r="J84" s="62">
        <f>SUMIFS('reductions data'!H:H,'reductions data'!G:G,'reasons for reduction division'!B84,'reductions data'!A:A,$J$79)</f>
        <v>0</v>
      </c>
      <c r="K84" s="62">
        <f>SUMIFS('reductions data'!H:H,'reductions data'!G:G,'reasons for reduction division'!B84,'reductions data'!A:A,$K$79)</f>
        <v>0</v>
      </c>
      <c r="L84" s="62">
        <f>SUMIFS('reductions data'!H:H,'reductions data'!G:G,'reasons for reduction division'!B84,'reductions data'!A:A,$L$79)</f>
        <v>0</v>
      </c>
      <c r="M84" s="62">
        <f>SUMIFS('reductions data'!H:H,'reductions data'!G:G,'reasons for reduction division'!B84,'reductions data'!A:A,$M$79)</f>
        <v>0</v>
      </c>
      <c r="N84" s="62">
        <f>SUMIFS('reductions data'!H:H,'reductions data'!G:G,'reasons for reduction division'!B84,'reductions data'!A:A,$N$79)</f>
        <v>0</v>
      </c>
      <c r="O84" s="105">
        <f>SUMIF('reductions data'!G:G,'reasons for reduction division'!B84,'reductions data'!H:H)</f>
        <v>0</v>
      </c>
    </row>
    <row r="85" spans="2:15" x14ac:dyDescent="0.15">
      <c r="B85" s="113" t="s">
        <v>897</v>
      </c>
      <c r="C85" s="62">
        <f>SUMIFS('reductions data'!H:H,'reductions data'!G:G,'reasons for reduction division'!B85,'reductions data'!A:A,$C$79)</f>
        <v>0</v>
      </c>
      <c r="D85" s="62">
        <f>SUMIFS('reductions data'!H:H,'reductions data'!G:G,'reasons for reduction division'!B85,'reductions data'!A:A,$D$79)</f>
        <v>0</v>
      </c>
      <c r="E85" s="62">
        <f>SUMIFS('reductions data'!H:H,'reductions data'!G:G,'reasons for reduction division'!B85,'reductions data'!A:A,$E$79)</f>
        <v>0</v>
      </c>
      <c r="F85" s="62">
        <f>SUMIFS('reductions data'!H:H,'reductions data'!G:G,'reasons for reduction division'!B85,'reductions data'!A:A,$F$79)</f>
        <v>0</v>
      </c>
      <c r="G85" s="62">
        <f>SUMIFS('reductions data'!H:H,'reductions data'!G:G,'reasons for reduction division'!B85,'reductions data'!A:A,$G$79)</f>
        <v>0</v>
      </c>
      <c r="H85" s="62">
        <f>SUMIFS('reductions data'!H:H,'reductions data'!G:G,'reasons for reduction division'!B85,'reductions data'!A:A,$H$79)</f>
        <v>0</v>
      </c>
      <c r="I85" s="62">
        <f>SUMIFS('reductions data'!H:H,'reductions data'!G:G,'reasons for reduction division'!B85,'reductions data'!A:A,$I$79)</f>
        <v>0</v>
      </c>
      <c r="J85" s="62">
        <f>SUMIFS('reductions data'!H:H,'reductions data'!G:G,'reasons for reduction division'!B85,'reductions data'!A:A,$J$79)</f>
        <v>0</v>
      </c>
      <c r="K85" s="62">
        <f>SUMIFS('reductions data'!H:H,'reductions data'!G:G,'reasons for reduction division'!B85,'reductions data'!A:A,$K$79)</f>
        <v>0</v>
      </c>
      <c r="L85" s="62">
        <f>SUMIFS('reductions data'!H:H,'reductions data'!G:G,'reasons for reduction division'!B85,'reductions data'!A:A,$L$79)</f>
        <v>0</v>
      </c>
      <c r="M85" s="62">
        <f>SUMIFS('reductions data'!H:H,'reductions data'!G:G,'reasons for reduction division'!B85,'reductions data'!A:A,$M$79)</f>
        <v>0</v>
      </c>
      <c r="N85" s="62">
        <f>SUMIFS('reductions data'!H:H,'reductions data'!G:G,'reasons for reduction division'!B85,'reductions data'!A:A,$N$79)</f>
        <v>0</v>
      </c>
      <c r="O85" s="105">
        <f>SUMIF('reductions data'!G:G,'reasons for reduction division'!B85,'reductions data'!H:H)</f>
        <v>0</v>
      </c>
    </row>
    <row r="86" spans="2:15" x14ac:dyDescent="0.15">
      <c r="B86" s="113" t="s">
        <v>898</v>
      </c>
      <c r="C86" s="62">
        <f>SUMIFS('reductions data'!H:H,'reductions data'!G:G,'reasons for reduction division'!B86,'reductions data'!A:A,$C$79)</f>
        <v>0</v>
      </c>
      <c r="D86" s="62">
        <f>SUMIFS('reductions data'!H:H,'reductions data'!G:G,'reasons for reduction division'!B86,'reductions data'!A:A,$D$79)</f>
        <v>0</v>
      </c>
      <c r="E86" s="62">
        <f>SUMIFS('reductions data'!H:H,'reductions data'!G:G,'reasons for reduction division'!B86,'reductions data'!A:A,$E$79)</f>
        <v>0</v>
      </c>
      <c r="F86" s="62">
        <f>SUMIFS('reductions data'!H:H,'reductions data'!G:G,'reasons for reduction division'!B86,'reductions data'!A:A,$F$79)</f>
        <v>0</v>
      </c>
      <c r="G86" s="62">
        <f>SUMIFS('reductions data'!H:H,'reductions data'!G:G,'reasons for reduction division'!B86,'reductions data'!A:A,$G$79)</f>
        <v>0</v>
      </c>
      <c r="H86" s="62">
        <f>SUMIFS('reductions data'!H:H,'reductions data'!G:G,'reasons for reduction division'!B86,'reductions data'!A:A,$H$79)</f>
        <v>0</v>
      </c>
      <c r="I86" s="62">
        <f>SUMIFS('reductions data'!H:H,'reductions data'!G:G,'reasons for reduction division'!B86,'reductions data'!A:A,$I$79)</f>
        <v>0</v>
      </c>
      <c r="J86" s="62">
        <f>SUMIFS('reductions data'!H:H,'reductions data'!G:G,'reasons for reduction division'!B86,'reductions data'!A:A,$J$79)</f>
        <v>0</v>
      </c>
      <c r="K86" s="62">
        <f>SUMIFS('reductions data'!H:H,'reductions data'!G:G,'reasons for reduction division'!B86,'reductions data'!A:A,$K$79)</f>
        <v>0</v>
      </c>
      <c r="L86" s="62">
        <f>SUMIFS('reductions data'!H:H,'reductions data'!G:G,'reasons for reduction division'!B86,'reductions data'!A:A,$L$79)</f>
        <v>0</v>
      </c>
      <c r="M86" s="62">
        <f>SUMIFS('reductions data'!H:H,'reductions data'!G:G,'reasons for reduction division'!B86,'reductions data'!A:A,$M$79)</f>
        <v>0</v>
      </c>
      <c r="N86" s="62">
        <f>SUMIFS('reductions data'!H:H,'reductions data'!G:G,'reasons for reduction division'!B86,'reductions data'!A:A,$N$79)</f>
        <v>0</v>
      </c>
      <c r="O86" s="105">
        <f>SUMIF('reductions data'!G:G,'reasons for reduction division'!B86,'reductions data'!H:H)</f>
        <v>0</v>
      </c>
    </row>
    <row r="87" spans="2:15" x14ac:dyDescent="0.15">
      <c r="B87" s="113" t="s">
        <v>1257</v>
      </c>
      <c r="C87" s="62">
        <f>SUMIFS('reductions data'!H:H,'reductions data'!G:G,'reasons for reduction division'!B87,'reductions data'!A:A,$C$79)</f>
        <v>0</v>
      </c>
      <c r="D87" s="62">
        <f>SUMIFS('reductions data'!H:H,'reductions data'!G:G,'reasons for reduction division'!B87,'reductions data'!A:A,$D$79)</f>
        <v>0</v>
      </c>
      <c r="E87" s="62">
        <f>SUMIFS('reductions data'!H:H,'reductions data'!G:G,'reasons for reduction division'!B87,'reductions data'!A:A,$E$79)</f>
        <v>0</v>
      </c>
      <c r="F87" s="62">
        <f>SUMIFS('reductions data'!H:H,'reductions data'!G:G,'reasons for reduction division'!B87,'reductions data'!A:A,$F$79)</f>
        <v>0</v>
      </c>
      <c r="G87" s="62">
        <f>SUMIFS('reductions data'!H:H,'reductions data'!G:G,'reasons for reduction division'!B87,'reductions data'!A:A,$G$79)</f>
        <v>0</v>
      </c>
      <c r="H87" s="62">
        <f>SUMIFS('reductions data'!H:H,'reductions data'!G:G,'reasons for reduction division'!B87,'reductions data'!A:A,$H$79)</f>
        <v>0</v>
      </c>
      <c r="I87" s="62">
        <f>SUMIFS('reductions data'!H:H,'reductions data'!G:G,'reasons for reduction division'!B87,'reductions data'!A:A,$I$79)</f>
        <v>0</v>
      </c>
      <c r="J87" s="62">
        <f>SUMIFS('reductions data'!H:H,'reductions data'!G:G,'reasons for reduction division'!B87,'reductions data'!A:A,$J$79)</f>
        <v>0</v>
      </c>
      <c r="K87" s="62">
        <f>SUMIFS('reductions data'!H:H,'reductions data'!G:G,'reasons for reduction division'!B87,'reductions data'!A:A,$K$79)</f>
        <v>0</v>
      </c>
      <c r="L87" s="62">
        <f>SUMIFS('reductions data'!H:H,'reductions data'!G:G,'reasons for reduction division'!B87,'reductions data'!A:A,$L$79)</f>
        <v>0</v>
      </c>
      <c r="M87" s="62">
        <f>SUMIFS('reductions data'!H:H,'reductions data'!G:G,'reasons for reduction division'!B87,'reductions data'!A:A,$M$79)</f>
        <v>0</v>
      </c>
      <c r="N87" s="62">
        <f>SUMIFS('reductions data'!H:H,'reductions data'!G:G,'reasons for reduction division'!B87,'reductions data'!A:A,$N$79)</f>
        <v>0</v>
      </c>
      <c r="O87" s="105">
        <f>SUMIF('reductions data'!G:G,'reasons for reduction division'!B87,'reductions data'!H:H)</f>
        <v>0</v>
      </c>
    </row>
    <row r="88" spans="2:15" x14ac:dyDescent="0.15">
      <c r="B88" s="113" t="s">
        <v>899</v>
      </c>
      <c r="C88" s="62">
        <f>SUMIFS('reductions data'!H:H,'reductions data'!G:G,'reasons for reduction division'!B88,'reductions data'!A:A,$C$79)</f>
        <v>0</v>
      </c>
      <c r="D88" s="62">
        <f>SUMIFS('reductions data'!H:H,'reductions data'!G:G,'reasons for reduction division'!B88,'reductions data'!A:A,$D$79)</f>
        <v>0</v>
      </c>
      <c r="E88" s="62">
        <f>SUMIFS('reductions data'!H:H,'reductions data'!G:G,'reasons for reduction division'!B88,'reductions data'!A:A,$E$79)</f>
        <v>0</v>
      </c>
      <c r="F88" s="62">
        <f>SUMIFS('reductions data'!H:H,'reductions data'!G:G,'reasons for reduction division'!B88,'reductions data'!A:A,$F$79)</f>
        <v>0</v>
      </c>
      <c r="G88" s="62">
        <f>SUMIFS('reductions data'!H:H,'reductions data'!G:G,'reasons for reduction division'!B88,'reductions data'!A:A,$G$79)</f>
        <v>0</v>
      </c>
      <c r="H88" s="62">
        <f>SUMIFS('reductions data'!H:H,'reductions data'!G:G,'reasons for reduction division'!B88,'reductions data'!A:A,$H$79)</f>
        <v>0</v>
      </c>
      <c r="I88" s="62">
        <f>SUMIFS('reductions data'!H:H,'reductions data'!G:G,'reasons for reduction division'!B88,'reductions data'!A:A,$I$79)</f>
        <v>0</v>
      </c>
      <c r="J88" s="62">
        <f>SUMIFS('reductions data'!H:H,'reductions data'!G:G,'reasons for reduction division'!B88,'reductions data'!A:A,$J$79)</f>
        <v>0</v>
      </c>
      <c r="K88" s="62">
        <f>SUMIFS('reductions data'!H:H,'reductions data'!G:G,'reasons for reduction division'!B88,'reductions data'!A:A,$K$79)</f>
        <v>0</v>
      </c>
      <c r="L88" s="62">
        <f>SUMIFS('reductions data'!H:H,'reductions data'!G:G,'reasons for reduction division'!B88,'reductions data'!A:A,$L$79)</f>
        <v>0</v>
      </c>
      <c r="M88" s="62">
        <f>SUMIFS('reductions data'!H:H,'reductions data'!G:G,'reasons for reduction division'!B88,'reductions data'!A:A,$M$79)</f>
        <v>0</v>
      </c>
      <c r="N88" s="62">
        <f>SUMIFS('reductions data'!H:H,'reductions data'!G:G,'reasons for reduction division'!B88,'reductions data'!A:A,$N$79)</f>
        <v>0</v>
      </c>
      <c r="O88" s="105">
        <f>SUMIF('reductions data'!G:G,'reasons for reduction division'!B88,'reductions data'!H:H)</f>
        <v>0</v>
      </c>
    </row>
    <row r="89" spans="2:15" x14ac:dyDescent="0.15">
      <c r="B89" s="113" t="s">
        <v>900</v>
      </c>
      <c r="C89" s="62">
        <f>SUMIFS('reductions data'!H:H,'reductions data'!G:G,'reasons for reduction division'!B89,'reductions data'!A:A,$C$79)</f>
        <v>0</v>
      </c>
      <c r="D89" s="62">
        <f>SUMIFS('reductions data'!H:H,'reductions data'!G:G,'reasons for reduction division'!B89,'reductions data'!A:A,$D$79)</f>
        <v>0</v>
      </c>
      <c r="E89" s="62">
        <f>SUMIFS('reductions data'!H:H,'reductions data'!G:G,'reasons for reduction division'!B89,'reductions data'!A:A,$E$79)</f>
        <v>0</v>
      </c>
      <c r="F89" s="62">
        <f>SUMIFS('reductions data'!H:H,'reductions data'!G:G,'reasons for reduction division'!B89,'reductions data'!A:A,$F$79)</f>
        <v>0</v>
      </c>
      <c r="G89" s="62">
        <f>SUMIFS('reductions data'!H:H,'reductions data'!G:G,'reasons for reduction division'!B89,'reductions data'!A:A,$G$79)</f>
        <v>0</v>
      </c>
      <c r="H89" s="62">
        <f>SUMIFS('reductions data'!H:H,'reductions data'!G:G,'reasons for reduction division'!B89,'reductions data'!A:A,$H$79)</f>
        <v>0</v>
      </c>
      <c r="I89" s="62">
        <f>SUMIFS('reductions data'!H:H,'reductions data'!G:G,'reasons for reduction division'!B89,'reductions data'!A:A,$I$79)</f>
        <v>0</v>
      </c>
      <c r="J89" s="62">
        <f>SUMIFS('reductions data'!H:H,'reductions data'!G:G,'reasons for reduction division'!B89,'reductions data'!A:A,$J$79)</f>
        <v>0</v>
      </c>
      <c r="K89" s="62">
        <f>SUMIFS('reductions data'!H:H,'reductions data'!G:G,'reasons for reduction division'!B89,'reductions data'!A:A,$K$79)</f>
        <v>0</v>
      </c>
      <c r="L89" s="62">
        <f>SUMIFS('reductions data'!H:H,'reductions data'!G:G,'reasons for reduction division'!B89,'reductions data'!A:A,$L$79)</f>
        <v>0</v>
      </c>
      <c r="M89" s="62">
        <f>SUMIFS('reductions data'!H:H,'reductions data'!G:G,'reasons for reduction division'!B89,'reductions data'!A:A,$M$79)</f>
        <v>0</v>
      </c>
      <c r="N89" s="62">
        <f>SUMIFS('reductions data'!H:H,'reductions data'!G:G,'reasons for reduction division'!B89,'reductions data'!A:A,$N$79)</f>
        <v>0</v>
      </c>
      <c r="O89" s="105">
        <f>SUMIF('reductions data'!G:G,'reasons for reduction division'!B89,'reductions data'!H:H)</f>
        <v>0</v>
      </c>
    </row>
    <row r="90" spans="2:15" x14ac:dyDescent="0.15">
      <c r="B90" s="113" t="s">
        <v>901</v>
      </c>
      <c r="C90" s="62">
        <f>SUMIFS('reductions data'!H:H,'reductions data'!G:G,'reasons for reduction division'!B90,'reductions data'!A:A,$C$79)</f>
        <v>0</v>
      </c>
      <c r="D90" s="62">
        <f>SUMIFS('reductions data'!H:H,'reductions data'!G:G,'reasons for reduction division'!B90,'reductions data'!A:A,$D$79)</f>
        <v>0</v>
      </c>
      <c r="E90" s="62">
        <f>SUMIFS('reductions data'!H:H,'reductions data'!G:G,'reasons for reduction division'!B90,'reductions data'!A:A,$E$79)</f>
        <v>0</v>
      </c>
      <c r="F90" s="62">
        <f>SUMIFS('reductions data'!H:H,'reductions data'!G:G,'reasons for reduction division'!B90,'reductions data'!A:A,$F$79)</f>
        <v>0</v>
      </c>
      <c r="G90" s="62">
        <f>SUMIFS('reductions data'!H:H,'reductions data'!G:G,'reasons for reduction division'!B90,'reductions data'!A:A,$G$79)</f>
        <v>0</v>
      </c>
      <c r="H90" s="62">
        <f>SUMIFS('reductions data'!H:H,'reductions data'!G:G,'reasons for reduction division'!B90,'reductions data'!A:A,$H$79)</f>
        <v>0</v>
      </c>
      <c r="I90" s="62">
        <f>SUMIFS('reductions data'!H:H,'reductions data'!G:G,'reasons for reduction division'!B90,'reductions data'!A:A,$I$79)</f>
        <v>0</v>
      </c>
      <c r="J90" s="62">
        <f>SUMIFS('reductions data'!H:H,'reductions data'!G:G,'reasons for reduction division'!B90,'reductions data'!A:A,$J$79)</f>
        <v>0</v>
      </c>
      <c r="K90" s="62">
        <f>SUMIFS('reductions data'!H:H,'reductions data'!G:G,'reasons for reduction division'!B90,'reductions data'!A:A,$K$79)</f>
        <v>0</v>
      </c>
      <c r="L90" s="62">
        <f>SUMIFS('reductions data'!H:H,'reductions data'!G:G,'reasons for reduction division'!B90,'reductions data'!A:A,$L$79)</f>
        <v>0</v>
      </c>
      <c r="M90" s="62">
        <f>SUMIFS('reductions data'!H:H,'reductions data'!G:G,'reasons for reduction division'!B90,'reductions data'!A:A,$M$79)</f>
        <v>0</v>
      </c>
      <c r="N90" s="62">
        <f>SUMIFS('reductions data'!H:H,'reductions data'!G:G,'reasons for reduction division'!B90,'reductions data'!A:A,$N$79)</f>
        <v>0</v>
      </c>
      <c r="O90" s="105">
        <f>SUMIF('reductions data'!G:G,'reasons for reduction division'!B90,'reductions data'!H:H)</f>
        <v>0</v>
      </c>
    </row>
    <row r="91" spans="2:15" x14ac:dyDescent="0.15">
      <c r="B91" s="113" t="s">
        <v>902</v>
      </c>
      <c r="C91" s="62">
        <f>SUMIFS('reductions data'!H:H,'reductions data'!G:G,'reasons for reduction division'!B91,'reductions data'!A:A,$C$79)</f>
        <v>0</v>
      </c>
      <c r="D91" s="62">
        <f>SUMIFS('reductions data'!H:H,'reductions data'!G:G,'reasons for reduction division'!B91,'reductions data'!A:A,$D$79)</f>
        <v>0</v>
      </c>
      <c r="E91" s="62">
        <f>SUMIFS('reductions data'!H:H,'reductions data'!G:G,'reasons for reduction division'!B91,'reductions data'!A:A,$E$79)</f>
        <v>0</v>
      </c>
      <c r="F91" s="62">
        <f>SUMIFS('reductions data'!H:H,'reductions data'!G:G,'reasons for reduction division'!B91,'reductions data'!A:A,$F$79)</f>
        <v>0</v>
      </c>
      <c r="G91" s="62">
        <f>SUMIFS('reductions data'!H:H,'reductions data'!G:G,'reasons for reduction division'!B91,'reductions data'!A:A,$G$79)</f>
        <v>0</v>
      </c>
      <c r="H91" s="62">
        <f>SUMIFS('reductions data'!H:H,'reductions data'!G:G,'reasons for reduction division'!B91,'reductions data'!A:A,$H$79)</f>
        <v>0</v>
      </c>
      <c r="I91" s="62">
        <f>SUMIFS('reductions data'!H:H,'reductions data'!G:G,'reasons for reduction division'!B91,'reductions data'!A:A,$I$79)</f>
        <v>0</v>
      </c>
      <c r="J91" s="62">
        <f>SUMIFS('reductions data'!H:H,'reductions data'!G:G,'reasons for reduction division'!B91,'reductions data'!A:A,$J$79)</f>
        <v>0</v>
      </c>
      <c r="K91" s="62">
        <f>SUMIFS('reductions data'!H:H,'reductions data'!G:G,'reasons for reduction division'!B91,'reductions data'!A:A,$K$79)</f>
        <v>0</v>
      </c>
      <c r="L91" s="62">
        <f>SUMIFS('reductions data'!H:H,'reductions data'!G:G,'reasons for reduction division'!B91,'reductions data'!A:A,$L$79)</f>
        <v>0</v>
      </c>
      <c r="M91" s="62">
        <f>SUMIFS('reductions data'!H:H,'reductions data'!G:G,'reasons for reduction division'!B91,'reductions data'!A:A,$M$79)</f>
        <v>0</v>
      </c>
      <c r="N91" s="62">
        <f>SUMIFS('reductions data'!H:H,'reductions data'!G:G,'reasons for reduction division'!B91,'reductions data'!A:A,$N$79)</f>
        <v>0</v>
      </c>
      <c r="O91" s="105">
        <f>SUMIF('reductions data'!G:G,'reasons for reduction division'!B91,'reductions data'!H:H)</f>
        <v>0</v>
      </c>
    </row>
    <row r="92" spans="2:15" x14ac:dyDescent="0.15">
      <c r="B92" s="113" t="s">
        <v>903</v>
      </c>
      <c r="C92" s="62">
        <f>SUMIFS('reductions data'!H:H,'reductions data'!G:G,'reasons for reduction division'!B92,'reductions data'!A:A,$C$79)</f>
        <v>0</v>
      </c>
      <c r="D92" s="62">
        <f>SUMIFS('reductions data'!H:H,'reductions data'!G:G,'reasons for reduction division'!B92,'reductions data'!A:A,$D$79)</f>
        <v>0</v>
      </c>
      <c r="E92" s="62">
        <f>SUMIFS('reductions data'!H:H,'reductions data'!G:G,'reasons for reduction division'!B92,'reductions data'!A:A,$E$79)</f>
        <v>0</v>
      </c>
      <c r="F92" s="62">
        <f>SUMIFS('reductions data'!H:H,'reductions data'!G:G,'reasons for reduction division'!B92,'reductions data'!A:A,$F$79)</f>
        <v>0</v>
      </c>
      <c r="G92" s="62">
        <f>SUMIFS('reductions data'!H:H,'reductions data'!G:G,'reasons for reduction division'!B92,'reductions data'!A:A,$G$79)</f>
        <v>0</v>
      </c>
      <c r="H92" s="62">
        <f>SUMIFS('reductions data'!H:H,'reductions data'!G:G,'reasons for reduction division'!B92,'reductions data'!A:A,$H$79)</f>
        <v>0</v>
      </c>
      <c r="I92" s="62">
        <f>SUMIFS('reductions data'!H:H,'reductions data'!G:G,'reasons for reduction division'!B92,'reductions data'!A:A,$I$79)</f>
        <v>0</v>
      </c>
      <c r="J92" s="62">
        <f>SUMIFS('reductions data'!H:H,'reductions data'!G:G,'reasons for reduction division'!B92,'reductions data'!A:A,$J$79)</f>
        <v>0</v>
      </c>
      <c r="K92" s="62">
        <f>SUMIFS('reductions data'!H:H,'reductions data'!G:G,'reasons for reduction division'!B92,'reductions data'!A:A,$K$79)</f>
        <v>0</v>
      </c>
      <c r="L92" s="62">
        <f>SUMIFS('reductions data'!H:H,'reductions data'!G:G,'reasons for reduction division'!B92,'reductions data'!A:A,$L$79)</f>
        <v>0</v>
      </c>
      <c r="M92" s="62">
        <f>SUMIFS('reductions data'!H:H,'reductions data'!G:G,'reasons for reduction division'!B92,'reductions data'!A:A,$M$79)</f>
        <v>0</v>
      </c>
      <c r="N92" s="62">
        <f>SUMIFS('reductions data'!H:H,'reductions data'!G:G,'reasons for reduction division'!B92,'reductions data'!A:A,$N$79)</f>
        <v>0</v>
      </c>
      <c r="O92" s="105">
        <f>SUMIF('reductions data'!G:G,'reasons for reduction division'!B92,'reductions data'!H:H)</f>
        <v>0</v>
      </c>
    </row>
    <row r="93" spans="2:15" x14ac:dyDescent="0.15">
      <c r="B93" s="113" t="s">
        <v>905</v>
      </c>
      <c r="C93" s="62">
        <f>SUMIFS('reductions data'!H:H,'reductions data'!G:G,'reasons for reduction division'!B93,'reductions data'!A:A,$C$79)</f>
        <v>0</v>
      </c>
      <c r="D93" s="62">
        <f>SUMIFS('reductions data'!H:H,'reductions data'!G:G,'reasons for reduction division'!B93,'reductions data'!A:A,$D$79)</f>
        <v>0</v>
      </c>
      <c r="E93" s="62">
        <f>SUMIFS('reductions data'!H:H,'reductions data'!G:G,'reasons for reduction division'!B93,'reductions data'!A:A,$E$79)</f>
        <v>0</v>
      </c>
      <c r="F93" s="62">
        <f>SUMIFS('reductions data'!H:H,'reductions data'!G:G,'reasons for reduction division'!B93,'reductions data'!A:A,$F$79)</f>
        <v>0</v>
      </c>
      <c r="G93" s="62">
        <f>SUMIFS('reductions data'!H:H,'reductions data'!G:G,'reasons for reduction division'!B93,'reductions data'!A:A,$G$79)</f>
        <v>0</v>
      </c>
      <c r="H93" s="62">
        <f>SUMIFS('reductions data'!H:H,'reductions data'!G:G,'reasons for reduction division'!B93,'reductions data'!A:A,$H$79)</f>
        <v>0</v>
      </c>
      <c r="I93" s="62">
        <f>SUMIFS('reductions data'!H:H,'reductions data'!G:G,'reasons for reduction division'!B93,'reductions data'!A:A,$I$79)</f>
        <v>0</v>
      </c>
      <c r="J93" s="62">
        <f>SUMIFS('reductions data'!H:H,'reductions data'!G:G,'reasons for reduction division'!B93,'reductions data'!A:A,$J$79)</f>
        <v>0</v>
      </c>
      <c r="K93" s="62">
        <f>SUMIFS('reductions data'!H:H,'reductions data'!G:G,'reasons for reduction division'!B93,'reductions data'!A:A,$K$79)</f>
        <v>0</v>
      </c>
      <c r="L93" s="62">
        <f>SUMIFS('reductions data'!H:H,'reductions data'!G:G,'reasons for reduction division'!B93,'reductions data'!A:A,$L$79)</f>
        <v>0</v>
      </c>
      <c r="M93" s="62">
        <f>SUMIFS('reductions data'!H:H,'reductions data'!G:G,'reasons for reduction division'!B93,'reductions data'!A:A,$M$79)</f>
        <v>0</v>
      </c>
      <c r="N93" s="62">
        <f>SUMIFS('reductions data'!H:H,'reductions data'!G:G,'reasons for reduction division'!B93,'reductions data'!A:A,$N$79)</f>
        <v>0</v>
      </c>
      <c r="O93" s="105">
        <f>SUMIF('reductions data'!G:G,'reasons for reduction division'!B93,'reductions data'!H:H)</f>
        <v>0</v>
      </c>
    </row>
    <row r="94" spans="2:15" x14ac:dyDescent="0.15">
      <c r="B94" s="113" t="s">
        <v>908</v>
      </c>
      <c r="C94" s="62">
        <f>SUMIFS('reductions data'!H:H,'reductions data'!G:G,'reasons for reduction division'!B94,'reductions data'!A:A,$C$79)</f>
        <v>0</v>
      </c>
      <c r="D94" s="62">
        <f>SUMIFS('reductions data'!H:H,'reductions data'!G:G,'reasons for reduction division'!B94,'reductions data'!A:A,$D$79)</f>
        <v>0</v>
      </c>
      <c r="E94" s="62">
        <f>SUMIFS('reductions data'!H:H,'reductions data'!G:G,'reasons for reduction division'!B94,'reductions data'!A:A,$E$79)</f>
        <v>0</v>
      </c>
      <c r="F94" s="62">
        <f>SUMIFS('reductions data'!H:H,'reductions data'!G:G,'reasons for reduction division'!B94,'reductions data'!A:A,$F$79)</f>
        <v>0</v>
      </c>
      <c r="G94" s="62">
        <f>SUMIFS('reductions data'!H:H,'reductions data'!G:G,'reasons for reduction division'!B94,'reductions data'!A:A,$G$79)</f>
        <v>0</v>
      </c>
      <c r="H94" s="62">
        <f>SUMIFS('reductions data'!H:H,'reductions data'!G:G,'reasons for reduction division'!B94,'reductions data'!A:A,$H$79)</f>
        <v>0</v>
      </c>
      <c r="I94" s="62">
        <f>SUMIFS('reductions data'!H:H,'reductions data'!G:G,'reasons for reduction division'!B94,'reductions data'!A:A,$I$79)</f>
        <v>0</v>
      </c>
      <c r="J94" s="62">
        <f>SUMIFS('reductions data'!H:H,'reductions data'!G:G,'reasons for reduction division'!B94,'reductions data'!A:A,$J$79)</f>
        <v>0</v>
      </c>
      <c r="K94" s="62">
        <f>SUMIFS('reductions data'!H:H,'reductions data'!G:G,'reasons for reduction division'!B94,'reductions data'!A:A,$K$79)</f>
        <v>0</v>
      </c>
      <c r="L94" s="62">
        <f>SUMIFS('reductions data'!H:H,'reductions data'!G:G,'reasons for reduction division'!B94,'reductions data'!A:A,$L$79)</f>
        <v>0</v>
      </c>
      <c r="M94" s="62">
        <f>SUMIFS('reductions data'!H:H,'reductions data'!G:G,'reasons for reduction division'!B94,'reductions data'!A:A,$M$79)</f>
        <v>0</v>
      </c>
      <c r="N94" s="62">
        <f>SUMIFS('reductions data'!H:H,'reductions data'!G:G,'reasons for reduction division'!B94,'reductions data'!A:A,$N$79)</f>
        <v>0</v>
      </c>
      <c r="O94" s="105">
        <f>SUMIF('reductions data'!G:G,'reasons for reduction division'!B94,'reductions data'!H:H)</f>
        <v>0</v>
      </c>
    </row>
    <row r="95" spans="2:15" x14ac:dyDescent="0.15">
      <c r="B95" s="113" t="s">
        <v>904</v>
      </c>
      <c r="C95" s="62">
        <f>SUMIFS('reductions data'!H:H,'reductions data'!G:G,'reasons for reduction division'!B95,'reductions data'!A:A,$C$79)</f>
        <v>0</v>
      </c>
      <c r="D95" s="62">
        <f>SUMIFS('reductions data'!H:H,'reductions data'!G:G,'reasons for reduction division'!B95,'reductions data'!A:A,$D$79)</f>
        <v>0</v>
      </c>
      <c r="E95" s="62">
        <f>SUMIFS('reductions data'!H:H,'reductions data'!G:G,'reasons for reduction division'!B95,'reductions data'!A:A,$E$79)</f>
        <v>0</v>
      </c>
      <c r="F95" s="62">
        <f>SUMIFS('reductions data'!H:H,'reductions data'!G:G,'reasons for reduction division'!B95,'reductions data'!A:A,$F$79)</f>
        <v>0</v>
      </c>
      <c r="G95" s="62">
        <f>SUMIFS('reductions data'!H:H,'reductions data'!G:G,'reasons for reduction division'!B95,'reductions data'!A:A,$G$79)</f>
        <v>0</v>
      </c>
      <c r="H95" s="62">
        <f>SUMIFS('reductions data'!H:H,'reductions data'!G:G,'reasons for reduction division'!B95,'reductions data'!A:A,$H$79)</f>
        <v>0</v>
      </c>
      <c r="I95" s="62">
        <f>SUMIFS('reductions data'!H:H,'reductions data'!G:G,'reasons for reduction division'!B95,'reductions data'!A:A,$I$79)</f>
        <v>0</v>
      </c>
      <c r="J95" s="62">
        <f>SUMIFS('reductions data'!H:H,'reductions data'!G:G,'reasons for reduction division'!B95,'reductions data'!A:A,$J$79)</f>
        <v>0</v>
      </c>
      <c r="K95" s="62">
        <f>SUMIFS('reductions data'!H:H,'reductions data'!G:G,'reasons for reduction division'!B95,'reductions data'!A:A,$K$79)</f>
        <v>0</v>
      </c>
      <c r="L95" s="62">
        <f>SUMIFS('reductions data'!H:H,'reductions data'!G:G,'reasons for reduction division'!B95,'reductions data'!A:A,$L$79)</f>
        <v>0</v>
      </c>
      <c r="M95" s="62">
        <f>SUMIFS('reductions data'!H:H,'reductions data'!G:G,'reasons for reduction division'!B95,'reductions data'!A:A,$M$79)</f>
        <v>0</v>
      </c>
      <c r="N95" s="62">
        <f>SUMIFS('reductions data'!H:H,'reductions data'!G:G,'reasons for reduction division'!B95,'reductions data'!A:A,$N$79)</f>
        <v>0</v>
      </c>
      <c r="O95" s="105">
        <f>SUMIF('reductions data'!G:G,'reasons for reduction division'!B95,'reductions data'!H:H)</f>
        <v>0</v>
      </c>
    </row>
    <row r="96" spans="2:15" x14ac:dyDescent="0.15">
      <c r="B96" s="113" t="s">
        <v>989</v>
      </c>
      <c r="C96" s="62">
        <f>SUMIFS('reductions data'!H:H,'reductions data'!G:G,'reasons for reduction division'!B96,'reductions data'!A:A,$C$79)</f>
        <v>0</v>
      </c>
      <c r="D96" s="62">
        <f>SUMIFS('reductions data'!H:H,'reductions data'!G:G,'reasons for reduction division'!B96,'reductions data'!A:A,$D$79)</f>
        <v>0</v>
      </c>
      <c r="E96" s="62">
        <f>SUMIFS('reductions data'!H:H,'reductions data'!G:G,'reasons for reduction division'!B96,'reductions data'!A:A,$E$79)</f>
        <v>0</v>
      </c>
      <c r="F96" s="62">
        <f>SUMIFS('reductions data'!H:H,'reductions data'!G:G,'reasons for reduction division'!B96,'reductions data'!A:A,$F$79)</f>
        <v>0</v>
      </c>
      <c r="G96" s="62">
        <f>SUMIFS('reductions data'!H:H,'reductions data'!G:G,'reasons for reduction division'!B96,'reductions data'!A:A,$G$79)</f>
        <v>0</v>
      </c>
      <c r="H96" s="62">
        <f>SUMIFS('reductions data'!H:H,'reductions data'!G:G,'reasons for reduction division'!B96,'reductions data'!A:A,$H$79)</f>
        <v>0</v>
      </c>
      <c r="I96" s="62">
        <f>SUMIFS('reductions data'!H:H,'reductions data'!G:G,'reasons for reduction division'!B96,'reductions data'!A:A,$I$79)</f>
        <v>0</v>
      </c>
      <c r="J96" s="62">
        <f>SUMIFS('reductions data'!H:H,'reductions data'!G:G,'reasons for reduction division'!B96,'reductions data'!A:A,$J$79)</f>
        <v>0</v>
      </c>
      <c r="K96" s="62">
        <f>SUMIFS('reductions data'!H:H,'reductions data'!G:G,'reasons for reduction division'!B96,'reductions data'!A:A,$K$79)</f>
        <v>0</v>
      </c>
      <c r="L96" s="62">
        <f>SUMIFS('reductions data'!H:H,'reductions data'!G:G,'reasons for reduction division'!B96,'reductions data'!A:A,$L$79)</f>
        <v>0</v>
      </c>
      <c r="M96" s="62">
        <f>SUMIFS('reductions data'!H:H,'reductions data'!G:G,'reasons for reduction division'!B96,'reductions data'!A:A,$M$79)</f>
        <v>0</v>
      </c>
      <c r="N96" s="62">
        <f>SUMIFS('reductions data'!H:H,'reductions data'!G:G,'reasons for reduction division'!B96,'reductions data'!A:A,$N$79)</f>
        <v>0</v>
      </c>
      <c r="O96" s="105">
        <f>SUMIF('reductions data'!G:G,'reasons for reduction division'!B96,'reductions data'!H:H)</f>
        <v>0</v>
      </c>
    </row>
    <row r="97" spans="2:15" x14ac:dyDescent="0.15">
      <c r="B97" s="113" t="s">
        <v>909</v>
      </c>
      <c r="C97" s="62">
        <f>SUMIFS('reductions data'!H:H,'reductions data'!G:G,'reasons for reduction division'!B97,'reductions data'!A:A,$C$79)</f>
        <v>0</v>
      </c>
      <c r="D97" s="62">
        <f>SUMIFS('reductions data'!H:H,'reductions data'!G:G,'reasons for reduction division'!B97,'reductions data'!A:A,$D$79)</f>
        <v>0</v>
      </c>
      <c r="E97" s="62">
        <f>SUMIFS('reductions data'!H:H,'reductions data'!G:G,'reasons for reduction division'!B97,'reductions data'!A:A,$E$79)</f>
        <v>0</v>
      </c>
      <c r="F97" s="62">
        <f>SUMIFS('reductions data'!H:H,'reductions data'!G:G,'reasons for reduction division'!B97,'reductions data'!A:A,$F$79)</f>
        <v>0</v>
      </c>
      <c r="G97" s="62">
        <f>SUMIFS('reductions data'!H:H,'reductions data'!G:G,'reasons for reduction division'!B97,'reductions data'!A:A,$G$79)</f>
        <v>0</v>
      </c>
      <c r="H97" s="62">
        <f>SUMIFS('reductions data'!H:H,'reductions data'!G:G,'reasons for reduction division'!B97,'reductions data'!A:A,$H$79)</f>
        <v>0</v>
      </c>
      <c r="I97" s="62">
        <f>SUMIFS('reductions data'!H:H,'reductions data'!G:G,'reasons for reduction division'!B97,'reductions data'!A:A,$I$79)</f>
        <v>0</v>
      </c>
      <c r="J97" s="62">
        <f>SUMIFS('reductions data'!H:H,'reductions data'!G:G,'reasons for reduction division'!B97,'reductions data'!A:A,$J$79)</f>
        <v>0</v>
      </c>
      <c r="K97" s="62">
        <f>SUMIFS('reductions data'!H:H,'reductions data'!G:G,'reasons for reduction division'!B97,'reductions data'!A:A,$K$79)</f>
        <v>0</v>
      </c>
      <c r="L97" s="62">
        <f>SUMIFS('reductions data'!H:H,'reductions data'!G:G,'reasons for reduction division'!B97,'reductions data'!A:A,$L$79)</f>
        <v>0</v>
      </c>
      <c r="M97" s="62">
        <f>SUMIFS('reductions data'!H:H,'reductions data'!G:G,'reasons for reduction division'!B97,'reductions data'!A:A,$M$79)</f>
        <v>0</v>
      </c>
      <c r="N97" s="62">
        <f>SUMIFS('reductions data'!H:H,'reductions data'!G:G,'reasons for reduction division'!B97,'reductions data'!A:A,$N$79)</f>
        <v>0</v>
      </c>
      <c r="O97" s="105">
        <f>SUMIF('reductions data'!G:G,'reasons for reduction division'!B97,'reductions data'!H:H)</f>
        <v>0</v>
      </c>
    </row>
    <row r="98" spans="2:15" x14ac:dyDescent="0.15">
      <c r="B98" s="113" t="s">
        <v>910</v>
      </c>
      <c r="C98" s="62">
        <f>SUMIFS('reductions data'!H:H,'reductions data'!G:G,'reasons for reduction division'!B98,'reductions data'!A:A,$C$79)</f>
        <v>0</v>
      </c>
      <c r="D98" s="62">
        <f>SUMIFS('reductions data'!H:H,'reductions data'!G:G,'reasons for reduction division'!B98,'reductions data'!A:A,$D$79)</f>
        <v>0</v>
      </c>
      <c r="E98" s="62">
        <f>SUMIFS('reductions data'!H:H,'reductions data'!G:G,'reasons for reduction division'!B98,'reductions data'!A:A,$E$79)</f>
        <v>0</v>
      </c>
      <c r="F98" s="62">
        <f>SUMIFS('reductions data'!H:H,'reductions data'!G:G,'reasons for reduction division'!B98,'reductions data'!A:A,$F$79)</f>
        <v>0</v>
      </c>
      <c r="G98" s="62">
        <f>SUMIFS('reductions data'!H:H,'reductions data'!G:G,'reasons for reduction division'!B98,'reductions data'!A:A,$G$79)</f>
        <v>0</v>
      </c>
      <c r="H98" s="62">
        <f>SUMIFS('reductions data'!H:H,'reductions data'!G:G,'reasons for reduction division'!B98,'reductions data'!A:A,$H$79)</f>
        <v>0</v>
      </c>
      <c r="I98" s="62">
        <f>SUMIFS('reductions data'!H:H,'reductions data'!G:G,'reasons for reduction division'!B98,'reductions data'!A:A,$I$79)</f>
        <v>0</v>
      </c>
      <c r="J98" s="62">
        <f>SUMIFS('reductions data'!H:H,'reductions data'!G:G,'reasons for reduction division'!B98,'reductions data'!A:A,$J$79)</f>
        <v>0</v>
      </c>
      <c r="K98" s="62">
        <f>SUMIFS('reductions data'!H:H,'reductions data'!G:G,'reasons for reduction division'!B98,'reductions data'!A:A,$K$79)</f>
        <v>0</v>
      </c>
      <c r="L98" s="62">
        <f>SUMIFS('reductions data'!H:H,'reductions data'!G:G,'reasons for reduction division'!B98,'reductions data'!A:A,$L$79)</f>
        <v>0</v>
      </c>
      <c r="M98" s="62">
        <f>SUMIFS('reductions data'!H:H,'reductions data'!G:G,'reasons for reduction division'!B98,'reductions data'!A:A,$M$79)</f>
        <v>0</v>
      </c>
      <c r="N98" s="62">
        <f>SUMIFS('reductions data'!H:H,'reductions data'!G:G,'reasons for reduction division'!B98,'reductions data'!A:A,$N$79)</f>
        <v>0</v>
      </c>
      <c r="O98" s="105">
        <f>SUMIF('reductions data'!G:G,'reasons for reduction division'!B98,'reductions data'!H:H)</f>
        <v>0</v>
      </c>
    </row>
    <row r="99" spans="2:15" x14ac:dyDescent="0.15">
      <c r="B99" s="113" t="s">
        <v>911</v>
      </c>
      <c r="C99" s="62">
        <f>SUMIFS('reductions data'!H:H,'reductions data'!G:G,'reasons for reduction division'!B99,'reductions data'!A:A,$C$79)</f>
        <v>0</v>
      </c>
      <c r="D99" s="62">
        <f>SUMIFS('reductions data'!H:H,'reductions data'!G:G,'reasons for reduction division'!B99,'reductions data'!A:A,$D$79)</f>
        <v>0</v>
      </c>
      <c r="E99" s="62">
        <f>SUMIFS('reductions data'!H:H,'reductions data'!G:G,'reasons for reduction division'!B99,'reductions data'!A:A,$E$79)</f>
        <v>0</v>
      </c>
      <c r="F99" s="62">
        <f>SUMIFS('reductions data'!H:H,'reductions data'!G:G,'reasons for reduction division'!B99,'reductions data'!A:A,$F$79)</f>
        <v>0</v>
      </c>
      <c r="G99" s="62">
        <f>SUMIFS('reductions data'!H:H,'reductions data'!G:G,'reasons for reduction division'!B99,'reductions data'!A:A,$G$79)</f>
        <v>0</v>
      </c>
      <c r="H99" s="62">
        <f>SUMIFS('reductions data'!H:H,'reductions data'!G:G,'reasons for reduction division'!B99,'reductions data'!A:A,$H$79)</f>
        <v>0</v>
      </c>
      <c r="I99" s="62">
        <f>SUMIFS('reductions data'!H:H,'reductions data'!G:G,'reasons for reduction division'!B99,'reductions data'!A:A,$I$79)</f>
        <v>0</v>
      </c>
      <c r="J99" s="62">
        <f>SUMIFS('reductions data'!H:H,'reductions data'!G:G,'reasons for reduction division'!B99,'reductions data'!A:A,$J$79)</f>
        <v>0</v>
      </c>
      <c r="K99" s="62">
        <f>SUMIFS('reductions data'!H:H,'reductions data'!G:G,'reasons for reduction division'!B99,'reductions data'!A:A,$K$79)</f>
        <v>0</v>
      </c>
      <c r="L99" s="62">
        <f>SUMIFS('reductions data'!H:H,'reductions data'!G:G,'reasons for reduction division'!B99,'reductions data'!A:A,$L$79)</f>
        <v>0</v>
      </c>
      <c r="M99" s="62">
        <f>SUMIFS('reductions data'!H:H,'reductions data'!G:G,'reasons for reduction division'!B99,'reductions data'!A:A,$M$79)</f>
        <v>0</v>
      </c>
      <c r="N99" s="62">
        <f>SUMIFS('reductions data'!H:H,'reductions data'!G:G,'reasons for reduction division'!B99,'reductions data'!A:A,$N$79)</f>
        <v>0</v>
      </c>
      <c r="O99" s="105">
        <f>SUMIF('reductions data'!G:G,'reasons for reduction division'!B99,'reductions data'!H:H)</f>
        <v>0</v>
      </c>
    </row>
    <row r="100" spans="2:15" x14ac:dyDescent="0.15">
      <c r="B100" s="113" t="s">
        <v>912</v>
      </c>
      <c r="C100" s="62">
        <f>SUMIFS('reductions data'!H:H,'reductions data'!G:G,'reasons for reduction division'!B100,'reductions data'!A:A,$C$79)</f>
        <v>0</v>
      </c>
      <c r="D100" s="62">
        <f>SUMIFS('reductions data'!H:H,'reductions data'!G:G,'reasons for reduction division'!B100,'reductions data'!A:A,$D$79)</f>
        <v>0</v>
      </c>
      <c r="E100" s="62">
        <f>SUMIFS('reductions data'!H:H,'reductions data'!G:G,'reasons for reduction division'!B100,'reductions data'!A:A,$E$79)</f>
        <v>0</v>
      </c>
      <c r="F100" s="62">
        <f>SUMIFS('reductions data'!H:H,'reductions data'!G:G,'reasons for reduction division'!B100,'reductions data'!A:A,$F$79)</f>
        <v>0</v>
      </c>
      <c r="G100" s="62">
        <f>SUMIFS('reductions data'!H:H,'reductions data'!G:G,'reasons for reduction division'!B100,'reductions data'!A:A,$G$79)</f>
        <v>0</v>
      </c>
      <c r="H100" s="62">
        <f>SUMIFS('reductions data'!H:H,'reductions data'!G:G,'reasons for reduction division'!B100,'reductions data'!A:A,$H$79)</f>
        <v>0</v>
      </c>
      <c r="I100" s="62">
        <f>SUMIFS('reductions data'!H:H,'reductions data'!G:G,'reasons for reduction division'!B100,'reductions data'!A:A,$I$79)</f>
        <v>0</v>
      </c>
      <c r="J100" s="62">
        <f>SUMIFS('reductions data'!H:H,'reductions data'!G:G,'reasons for reduction division'!B100,'reductions data'!A:A,$J$79)</f>
        <v>0</v>
      </c>
      <c r="K100" s="62">
        <f>SUMIFS('reductions data'!H:H,'reductions data'!G:G,'reasons for reduction division'!B100,'reductions data'!A:A,$K$79)</f>
        <v>0</v>
      </c>
      <c r="L100" s="62">
        <f>SUMIFS('reductions data'!H:H,'reductions data'!G:G,'reasons for reduction division'!B100,'reductions data'!A:A,$L$79)</f>
        <v>0</v>
      </c>
      <c r="M100" s="62">
        <f>SUMIFS('reductions data'!H:H,'reductions data'!G:G,'reasons for reduction division'!B100,'reductions data'!A:A,$M$79)</f>
        <v>0</v>
      </c>
      <c r="N100" s="62">
        <f>SUMIFS('reductions data'!H:H,'reductions data'!G:G,'reasons for reduction division'!B100,'reductions data'!A:A,$N$79)</f>
        <v>0</v>
      </c>
      <c r="O100" s="105">
        <f>SUMIF('reductions data'!G:G,'reasons for reduction division'!B100,'reductions data'!H:H)</f>
        <v>0</v>
      </c>
    </row>
    <row r="101" spans="2:15" x14ac:dyDescent="0.15">
      <c r="B101" s="113" t="s">
        <v>913</v>
      </c>
      <c r="C101" s="62">
        <f>SUMIFS('reductions data'!H:H,'reductions data'!G:G,'reasons for reduction division'!B101,'reductions data'!A:A,$C$79)</f>
        <v>0</v>
      </c>
      <c r="D101" s="62">
        <f>SUMIFS('reductions data'!H:H,'reductions data'!G:G,'reasons for reduction division'!B101,'reductions data'!A:A,$D$79)</f>
        <v>0</v>
      </c>
      <c r="E101" s="62">
        <f>SUMIFS('reductions data'!H:H,'reductions data'!G:G,'reasons for reduction division'!B101,'reductions data'!A:A,$E$79)</f>
        <v>0</v>
      </c>
      <c r="F101" s="62">
        <f>SUMIFS('reductions data'!H:H,'reductions data'!G:G,'reasons for reduction division'!B101,'reductions data'!A:A,$F$79)</f>
        <v>0</v>
      </c>
      <c r="G101" s="62">
        <f>SUMIFS('reductions data'!H:H,'reductions data'!G:G,'reasons for reduction division'!B101,'reductions data'!A:A,$G$79)</f>
        <v>0</v>
      </c>
      <c r="H101" s="62">
        <f>SUMIFS('reductions data'!H:H,'reductions data'!G:G,'reasons for reduction division'!B101,'reductions data'!A:A,$H$79)</f>
        <v>0</v>
      </c>
      <c r="I101" s="62">
        <f>SUMIFS('reductions data'!H:H,'reductions data'!G:G,'reasons for reduction division'!B101,'reductions data'!A:A,$I$79)</f>
        <v>0</v>
      </c>
      <c r="J101" s="62">
        <f>SUMIFS('reductions data'!H:H,'reductions data'!G:G,'reasons for reduction division'!B101,'reductions data'!A:A,$J$79)</f>
        <v>0</v>
      </c>
      <c r="K101" s="62">
        <f>SUMIFS('reductions data'!H:H,'reductions data'!G:G,'reasons for reduction division'!B101,'reductions data'!A:A,$K$79)</f>
        <v>0</v>
      </c>
      <c r="L101" s="62">
        <f>SUMIFS('reductions data'!H:H,'reductions data'!G:G,'reasons for reduction division'!B101,'reductions data'!A:A,$L$79)</f>
        <v>0</v>
      </c>
      <c r="M101" s="62">
        <f>SUMIFS('reductions data'!H:H,'reductions data'!G:G,'reasons for reduction division'!B101,'reductions data'!A:A,$M$79)</f>
        <v>0</v>
      </c>
      <c r="N101" s="62">
        <f>SUMIFS('reductions data'!H:H,'reductions data'!G:G,'reasons for reduction division'!B101,'reductions data'!A:A,$N$79)</f>
        <v>0</v>
      </c>
      <c r="O101" s="105">
        <f>SUMIF('reductions data'!G:G,'reasons for reduction division'!B101,'reductions data'!H:H)</f>
        <v>0</v>
      </c>
    </row>
    <row r="102" spans="2:15" x14ac:dyDescent="0.15">
      <c r="B102" s="113" t="s">
        <v>914</v>
      </c>
      <c r="C102" s="62">
        <f>SUMIFS('reductions data'!H:H,'reductions data'!G:G,'reasons for reduction division'!B102,'reductions data'!A:A,$C$79)</f>
        <v>0</v>
      </c>
      <c r="D102" s="62">
        <f>SUMIFS('reductions data'!H:H,'reductions data'!G:G,'reasons for reduction division'!B102,'reductions data'!A:A,$D$79)</f>
        <v>0</v>
      </c>
      <c r="E102" s="62">
        <f>SUMIFS('reductions data'!H:H,'reductions data'!G:G,'reasons for reduction division'!B102,'reductions data'!A:A,$E$79)</f>
        <v>0</v>
      </c>
      <c r="F102" s="62">
        <f>SUMIFS('reductions data'!H:H,'reductions data'!G:G,'reasons for reduction division'!B102,'reductions data'!A:A,$F$79)</f>
        <v>0</v>
      </c>
      <c r="G102" s="62">
        <f>SUMIFS('reductions data'!H:H,'reductions data'!G:G,'reasons for reduction division'!B102,'reductions data'!A:A,$G$79)</f>
        <v>0</v>
      </c>
      <c r="H102" s="62">
        <f>SUMIFS('reductions data'!H:H,'reductions data'!G:G,'reasons for reduction division'!B102,'reductions data'!A:A,$H$79)</f>
        <v>0</v>
      </c>
      <c r="I102" s="62">
        <f>SUMIFS('reductions data'!H:H,'reductions data'!G:G,'reasons for reduction division'!B102,'reductions data'!A:A,$I$79)</f>
        <v>0</v>
      </c>
      <c r="J102" s="62">
        <f>SUMIFS('reductions data'!H:H,'reductions data'!G:G,'reasons for reduction division'!B102,'reductions data'!A:A,$J$79)</f>
        <v>0</v>
      </c>
      <c r="K102" s="62">
        <f>SUMIFS('reductions data'!H:H,'reductions data'!G:G,'reasons for reduction division'!B102,'reductions data'!A:A,$K$79)</f>
        <v>0</v>
      </c>
      <c r="L102" s="62">
        <f>SUMIFS('reductions data'!H:H,'reductions data'!G:G,'reasons for reduction division'!B102,'reductions data'!A:A,$L$79)</f>
        <v>0</v>
      </c>
      <c r="M102" s="62">
        <f>SUMIFS('reductions data'!H:H,'reductions data'!G:G,'reasons for reduction division'!B102,'reductions data'!A:A,$M$79)</f>
        <v>0</v>
      </c>
      <c r="N102" s="62">
        <f>SUMIFS('reductions data'!H:H,'reductions data'!G:G,'reasons for reduction division'!B102,'reductions data'!A:A,$N$79)</f>
        <v>0</v>
      </c>
      <c r="O102" s="105">
        <f>SUMIF('reductions data'!G:G,'reasons for reduction division'!B102,'reductions data'!H:H)</f>
        <v>0</v>
      </c>
    </row>
    <row r="103" spans="2:15" x14ac:dyDescent="0.15">
      <c r="B103" s="113" t="s">
        <v>915</v>
      </c>
      <c r="C103" s="62">
        <f>SUMIFS('reductions data'!H:H,'reductions data'!G:G,'reasons for reduction division'!B103,'reductions data'!A:A,$C$79)</f>
        <v>0</v>
      </c>
      <c r="D103" s="62">
        <f>SUMIFS('reductions data'!H:H,'reductions data'!G:G,'reasons for reduction division'!B103,'reductions data'!A:A,$D$79)</f>
        <v>0</v>
      </c>
      <c r="E103" s="62">
        <f>SUMIFS('reductions data'!H:H,'reductions data'!G:G,'reasons for reduction division'!B103,'reductions data'!A:A,$E$79)</f>
        <v>0</v>
      </c>
      <c r="F103" s="62">
        <f>SUMIFS('reductions data'!H:H,'reductions data'!G:G,'reasons for reduction division'!B103,'reductions data'!A:A,$F$79)</f>
        <v>0</v>
      </c>
      <c r="G103" s="62">
        <f>SUMIFS('reductions data'!H:H,'reductions data'!G:G,'reasons for reduction division'!B103,'reductions data'!A:A,$G$79)</f>
        <v>0</v>
      </c>
      <c r="H103" s="62">
        <f>SUMIFS('reductions data'!H:H,'reductions data'!G:G,'reasons for reduction division'!B103,'reductions data'!A:A,$H$79)</f>
        <v>0</v>
      </c>
      <c r="I103" s="62">
        <f>SUMIFS('reductions data'!H:H,'reductions data'!G:G,'reasons for reduction division'!B103,'reductions data'!A:A,$I$79)</f>
        <v>0</v>
      </c>
      <c r="J103" s="62">
        <f>SUMIFS('reductions data'!H:H,'reductions data'!G:G,'reasons for reduction division'!B103,'reductions data'!A:A,$J$79)</f>
        <v>0</v>
      </c>
      <c r="K103" s="62">
        <f>SUMIFS('reductions data'!H:H,'reductions data'!G:G,'reasons for reduction division'!B103,'reductions data'!A:A,$K$79)</f>
        <v>0</v>
      </c>
      <c r="L103" s="62">
        <f>SUMIFS('reductions data'!H:H,'reductions data'!G:G,'reasons for reduction division'!B103,'reductions data'!A:A,$L$79)</f>
        <v>0</v>
      </c>
      <c r="M103" s="62">
        <f>SUMIFS('reductions data'!H:H,'reductions data'!G:G,'reasons for reduction division'!B103,'reductions data'!A:A,$M$79)</f>
        <v>0</v>
      </c>
      <c r="N103" s="62">
        <f>SUMIFS('reductions data'!H:H,'reductions data'!G:G,'reasons for reduction division'!B103,'reductions data'!A:A,$N$79)</f>
        <v>0</v>
      </c>
      <c r="O103" s="105">
        <f>SUMIF('reductions data'!G:G,'reasons for reduction division'!B103,'reductions data'!H:H)</f>
        <v>0</v>
      </c>
    </row>
    <row r="104" spans="2:15" x14ac:dyDescent="0.15">
      <c r="B104" s="113" t="s">
        <v>1250</v>
      </c>
      <c r="C104" s="62">
        <f>SUMIFS('reductions data'!H:H,'reductions data'!G:G,'reasons for reduction division'!B104,'reductions data'!A:A,$C$79)</f>
        <v>0</v>
      </c>
      <c r="D104" s="62">
        <f>SUMIFS('reductions data'!H:H,'reductions data'!G:G,'reasons for reduction division'!B104,'reductions data'!A:A,$D$79)</f>
        <v>0</v>
      </c>
      <c r="E104" s="62">
        <f>SUMIFS('reductions data'!H:H,'reductions data'!G:G,'reasons for reduction division'!B104,'reductions data'!A:A,$E$79)</f>
        <v>0</v>
      </c>
      <c r="F104" s="62">
        <f>SUMIFS('reductions data'!H:H,'reductions data'!G:G,'reasons for reduction division'!B104,'reductions data'!A:A,$F$79)</f>
        <v>0</v>
      </c>
      <c r="G104" s="62">
        <f>SUMIFS('reductions data'!H:H,'reductions data'!G:G,'reasons for reduction division'!B104,'reductions data'!A:A,$G$79)</f>
        <v>0</v>
      </c>
      <c r="H104" s="62">
        <f>SUMIFS('reductions data'!H:H,'reductions data'!G:G,'reasons for reduction division'!B104,'reductions data'!A:A,$H$79)</f>
        <v>0</v>
      </c>
      <c r="I104" s="62">
        <f>SUMIFS('reductions data'!H:H,'reductions data'!G:G,'reasons for reduction division'!B104,'reductions data'!A:A,$I$79)</f>
        <v>0</v>
      </c>
      <c r="J104" s="62">
        <f>SUMIFS('reductions data'!H:H,'reductions data'!G:G,'reasons for reduction division'!B104,'reductions data'!A:A,$J$79)</f>
        <v>0</v>
      </c>
      <c r="K104" s="62">
        <f>SUMIFS('reductions data'!H:H,'reductions data'!G:G,'reasons for reduction division'!B104,'reductions data'!A:A,$K$79)</f>
        <v>0</v>
      </c>
      <c r="L104" s="62">
        <f>SUMIFS('reductions data'!H:H,'reductions data'!G:G,'reasons for reduction division'!B104,'reductions data'!A:A,$L$79)</f>
        <v>0</v>
      </c>
      <c r="M104" s="62">
        <f>SUMIFS('reductions data'!H:H,'reductions data'!G:G,'reasons for reduction division'!B104,'reductions data'!A:A,$M$79)</f>
        <v>0</v>
      </c>
      <c r="N104" s="62">
        <f>SUMIFS('reductions data'!H:H,'reductions data'!G:G,'reasons for reduction division'!B104,'reductions data'!A:A,$N$79)</f>
        <v>0</v>
      </c>
      <c r="O104" s="105">
        <f>SUMIF('reductions data'!G:G,'reasons for reduction division'!B104,'reductions data'!H:H)</f>
        <v>0</v>
      </c>
    </row>
    <row r="105" spans="2:15" x14ac:dyDescent="0.15">
      <c r="B105" s="113" t="s">
        <v>1251</v>
      </c>
      <c r="C105" s="62">
        <f>SUMIFS('reductions data'!H:H,'reductions data'!G:G,'reasons for reduction division'!B105,'reductions data'!A:A,$C$79)</f>
        <v>0</v>
      </c>
      <c r="D105" s="62">
        <f>SUMIFS('reductions data'!H:H,'reductions data'!G:G,'reasons for reduction division'!B105,'reductions data'!A:A,$D$79)</f>
        <v>0</v>
      </c>
      <c r="E105" s="62">
        <f>SUMIFS('reductions data'!H:H,'reductions data'!G:G,'reasons for reduction division'!B105,'reductions data'!A:A,$E$79)</f>
        <v>0</v>
      </c>
      <c r="F105" s="62">
        <f>SUMIFS('reductions data'!H:H,'reductions data'!G:G,'reasons for reduction division'!B105,'reductions data'!A:A,$F$79)</f>
        <v>0</v>
      </c>
      <c r="G105" s="62">
        <f>SUMIFS('reductions data'!H:H,'reductions data'!G:G,'reasons for reduction division'!B105,'reductions data'!A:A,$G$79)</f>
        <v>0</v>
      </c>
      <c r="H105" s="62">
        <f>SUMIFS('reductions data'!H:H,'reductions data'!G:G,'reasons for reduction division'!B105,'reductions data'!A:A,$H$79)</f>
        <v>0</v>
      </c>
      <c r="I105" s="62">
        <f>SUMIFS('reductions data'!H:H,'reductions data'!G:G,'reasons for reduction division'!B105,'reductions data'!A:A,$I$79)</f>
        <v>0</v>
      </c>
      <c r="J105" s="62">
        <f>SUMIFS('reductions data'!H:H,'reductions data'!G:G,'reasons for reduction division'!B105,'reductions data'!A:A,$J$79)</f>
        <v>0</v>
      </c>
      <c r="K105" s="62">
        <f>SUMIFS('reductions data'!H:H,'reductions data'!G:G,'reasons for reduction division'!B105,'reductions data'!A:A,$K$79)</f>
        <v>0</v>
      </c>
      <c r="L105" s="62">
        <f>SUMIFS('reductions data'!H:H,'reductions data'!G:G,'reasons for reduction division'!B105,'reductions data'!A:A,$L$79)</f>
        <v>0</v>
      </c>
      <c r="M105" s="62">
        <f>SUMIFS('reductions data'!H:H,'reductions data'!G:G,'reasons for reduction division'!B105,'reductions data'!A:A,$M$79)</f>
        <v>0</v>
      </c>
      <c r="N105" s="62">
        <f>SUMIFS('reductions data'!H:H,'reductions data'!G:G,'reasons for reduction division'!B105,'reductions data'!A:A,$N$79)</f>
        <v>0</v>
      </c>
      <c r="O105" s="105">
        <f>SUMIF('reductions data'!G:G,'reasons for reduction division'!B105,'reductions data'!H:H)</f>
        <v>0</v>
      </c>
    </row>
    <row r="106" spans="2:15" x14ac:dyDescent="0.15">
      <c r="B106" s="322" t="s">
        <v>1248</v>
      </c>
      <c r="C106" s="62">
        <f>SUMIFS('reductions data'!H:H,'reductions data'!G:G,'reasons for reduction division'!B106,'reductions data'!A:A,$C$79)</f>
        <v>0</v>
      </c>
      <c r="D106" s="62">
        <f>SUMIFS('reductions data'!H:H,'reductions data'!G:G,'reasons for reduction division'!B106,'reductions data'!A:A,$D$79)</f>
        <v>0</v>
      </c>
      <c r="E106" s="62">
        <f>SUMIFS('reductions data'!H:H,'reductions data'!G:G,'reasons for reduction division'!B106,'reductions data'!A:A,$E$79)</f>
        <v>0</v>
      </c>
      <c r="F106" s="62">
        <f>SUMIFS('reductions data'!H:H,'reductions data'!G:G,'reasons for reduction division'!B106,'reductions data'!A:A,$F$79)</f>
        <v>0</v>
      </c>
      <c r="G106" s="62">
        <f>SUMIFS('reductions data'!H:H,'reductions data'!G:G,'reasons for reduction division'!B106,'reductions data'!A:A,$G$79)</f>
        <v>0</v>
      </c>
      <c r="H106" s="62">
        <f>SUMIFS('reductions data'!H:H,'reductions data'!G:G,'reasons for reduction division'!B106,'reductions data'!A:A,$H$79)</f>
        <v>0</v>
      </c>
      <c r="I106" s="62">
        <f>SUMIFS('reductions data'!H:H,'reductions data'!G:G,'reasons for reduction division'!B106,'reductions data'!A:A,$I$79)</f>
        <v>0</v>
      </c>
      <c r="J106" s="62">
        <f>SUMIFS('reductions data'!H:H,'reductions data'!G:G,'reasons for reduction division'!B106,'reductions data'!A:A,$J$79)</f>
        <v>0</v>
      </c>
      <c r="K106" s="62">
        <f>SUMIFS('reductions data'!H:H,'reductions data'!G:G,'reasons for reduction division'!B106,'reductions data'!A:A,$K$79)</f>
        <v>0</v>
      </c>
      <c r="L106" s="62">
        <f>SUMIFS('reductions data'!H:H,'reductions data'!G:G,'reasons for reduction division'!B106,'reductions data'!A:A,$L$79)</f>
        <v>0</v>
      </c>
      <c r="M106" s="62">
        <f>SUMIFS('reductions data'!H:H,'reductions data'!G:G,'reasons for reduction division'!B106,'reductions data'!A:A,$M$79)</f>
        <v>0</v>
      </c>
      <c r="N106" s="62">
        <f>SUMIFS('reductions data'!H:H,'reductions data'!G:G,'reasons for reduction division'!B106,'reductions data'!A:A,$N$79)</f>
        <v>0</v>
      </c>
      <c r="O106" s="105">
        <f>SUMIF('reductions data'!G:G,'reasons for reduction division'!B106,'reductions data'!H:H)</f>
        <v>0</v>
      </c>
    </row>
    <row r="107" spans="2:15" x14ac:dyDescent="0.15">
      <c r="B107" s="322" t="s">
        <v>1249</v>
      </c>
      <c r="C107" s="62">
        <f>SUMIFS('reductions data'!H:H,'reductions data'!G:G,'reasons for reduction division'!B107,'reductions data'!A:A,$C$79)</f>
        <v>0</v>
      </c>
      <c r="D107" s="62">
        <f>SUMIFS('reductions data'!H:H,'reductions data'!G:G,'reasons for reduction division'!B107,'reductions data'!A:A,$D$79)</f>
        <v>0</v>
      </c>
      <c r="E107" s="62">
        <f>SUMIFS('reductions data'!H:H,'reductions data'!G:G,'reasons for reduction division'!B107,'reductions data'!A:A,$E$79)</f>
        <v>0</v>
      </c>
      <c r="F107" s="62">
        <f>SUMIFS('reductions data'!H:H,'reductions data'!G:G,'reasons for reduction division'!B107,'reductions data'!A:A,$F$79)</f>
        <v>0</v>
      </c>
      <c r="G107" s="62">
        <f>SUMIFS('reductions data'!H:H,'reductions data'!G:G,'reasons for reduction division'!B107,'reductions data'!A:A,$G$79)</f>
        <v>0</v>
      </c>
      <c r="H107" s="62">
        <f>SUMIFS('reductions data'!H:H,'reductions data'!G:G,'reasons for reduction division'!B107,'reductions data'!A:A,$H$79)</f>
        <v>0</v>
      </c>
      <c r="I107" s="62">
        <f>SUMIFS('reductions data'!H:H,'reductions data'!G:G,'reasons for reduction division'!B107,'reductions data'!A:A,$I$79)</f>
        <v>0</v>
      </c>
      <c r="J107" s="62">
        <f>SUMIFS('reductions data'!H:H,'reductions data'!G:G,'reasons for reduction division'!B107,'reductions data'!A:A,$J$79)</f>
        <v>0</v>
      </c>
      <c r="K107" s="62">
        <f>SUMIFS('reductions data'!H:H,'reductions data'!G:G,'reasons for reduction division'!B107,'reductions data'!A:A,$K$79)</f>
        <v>0</v>
      </c>
      <c r="L107" s="62">
        <f>SUMIFS('reductions data'!H:H,'reductions data'!G:G,'reasons for reduction division'!B107,'reductions data'!A:A,$L$79)</f>
        <v>0</v>
      </c>
      <c r="M107" s="62">
        <f>SUMIFS('reductions data'!H:H,'reductions data'!G:G,'reasons for reduction division'!B107,'reductions data'!A:A,$M$79)</f>
        <v>0</v>
      </c>
      <c r="N107" s="62">
        <f>SUMIFS('reductions data'!H:H,'reductions data'!G:G,'reasons for reduction division'!B107,'reductions data'!A:A,$N$79)</f>
        <v>0</v>
      </c>
      <c r="O107" s="105">
        <f>SUMIF('reductions data'!G:G,'reasons for reduction division'!B107,'reductions data'!H:H)</f>
        <v>0</v>
      </c>
    </row>
    <row r="108" spans="2:15" x14ac:dyDescent="0.15">
      <c r="B108" s="322" t="s">
        <v>1258</v>
      </c>
      <c r="C108" s="62">
        <f>SUMIFS('reductions data'!H:H,'reductions data'!G:G,'reasons for reduction division'!B108,'reductions data'!A:A,$C$79)</f>
        <v>0</v>
      </c>
      <c r="D108" s="62">
        <f>SUMIFS('reductions data'!H:H,'reductions data'!G:G,'reasons for reduction division'!B108,'reductions data'!A:A,$D$79)</f>
        <v>0</v>
      </c>
      <c r="E108" s="62">
        <f>SUMIFS('reductions data'!H:H,'reductions data'!G:G,'reasons for reduction division'!B108,'reductions data'!A:A,$E$79)</f>
        <v>0</v>
      </c>
      <c r="F108" s="62">
        <f>SUMIFS('reductions data'!H:H,'reductions data'!G:G,'reasons for reduction division'!B108,'reductions data'!A:A,$F$79)</f>
        <v>0</v>
      </c>
      <c r="G108" s="62">
        <f>SUMIFS('reductions data'!H:H,'reductions data'!G:G,'reasons for reduction division'!B108,'reductions data'!A:A,$G$79)</f>
        <v>0</v>
      </c>
      <c r="H108" s="62">
        <f>SUMIFS('reductions data'!H:H,'reductions data'!G:G,'reasons for reduction division'!B108,'reductions data'!A:A,$H$79)</f>
        <v>0</v>
      </c>
      <c r="I108" s="62">
        <f>SUMIFS('reductions data'!H:H,'reductions data'!G:G,'reasons for reduction division'!B108,'reductions data'!A:A,$I$79)</f>
        <v>0</v>
      </c>
      <c r="J108" s="62">
        <f>SUMIFS('reductions data'!H:H,'reductions data'!G:G,'reasons for reduction division'!B108,'reductions data'!A:A,$J$79)</f>
        <v>0</v>
      </c>
      <c r="K108" s="62">
        <f>SUMIFS('reductions data'!H:H,'reductions data'!G:G,'reasons for reduction division'!B108,'reductions data'!A:A,$K$79)</f>
        <v>0</v>
      </c>
      <c r="L108" s="62">
        <f>SUMIFS('reductions data'!H:H,'reductions data'!G:G,'reasons for reduction division'!B108,'reductions data'!A:A,$L$79)</f>
        <v>0</v>
      </c>
      <c r="M108" s="62">
        <f>SUMIFS('reductions data'!H:H,'reductions data'!G:G,'reasons for reduction division'!B108,'reductions data'!A:A,$M$79)</f>
        <v>0</v>
      </c>
      <c r="N108" s="62">
        <f>SUMIFS('reductions data'!H:H,'reductions data'!G:G,'reasons for reduction division'!B108,'reductions data'!A:A,$N$79)</f>
        <v>0</v>
      </c>
      <c r="O108" s="105">
        <f>SUMIF('reductions data'!G:G,'reasons for reduction division'!B108,'reductions data'!H:H)</f>
        <v>0</v>
      </c>
    </row>
    <row r="109" spans="2:15" x14ac:dyDescent="0.15">
      <c r="B109" s="112" t="s">
        <v>1252</v>
      </c>
      <c r="C109" s="62">
        <f>SUMIFS('reductions data'!H:H,'reductions data'!G:G,'reasons for reduction division'!B109,'reductions data'!A:A,$C$79)</f>
        <v>0</v>
      </c>
      <c r="D109" s="62">
        <f>SUMIFS('reductions data'!H:H,'reductions data'!G:G,'reasons for reduction division'!B109,'reductions data'!A:A,$D$79)</f>
        <v>0</v>
      </c>
      <c r="E109" s="62">
        <f>SUMIFS('reductions data'!H:H,'reductions data'!G:G,'reasons for reduction division'!B109,'reductions data'!A:A,$E$79)</f>
        <v>0</v>
      </c>
      <c r="F109" s="62">
        <f>SUMIFS('reductions data'!H:H,'reductions data'!G:G,'reasons for reduction division'!B109,'reductions data'!A:A,$F$79)</f>
        <v>0</v>
      </c>
      <c r="G109" s="62">
        <f>SUMIFS('reductions data'!H:H,'reductions data'!G:G,'reasons for reduction division'!B109,'reductions data'!A:A,$G$79)</f>
        <v>0</v>
      </c>
      <c r="H109" s="62">
        <f>SUMIFS('reductions data'!H:H,'reductions data'!G:G,'reasons for reduction division'!B109,'reductions data'!A:A,$H$79)</f>
        <v>0</v>
      </c>
      <c r="I109" s="62">
        <f>SUMIFS('reductions data'!H:H,'reductions data'!G:G,'reasons for reduction division'!B109,'reductions data'!A:A,$I$79)</f>
        <v>0</v>
      </c>
      <c r="J109" s="62">
        <f>SUMIFS('reductions data'!H:H,'reductions data'!G:G,'reasons for reduction division'!B109,'reductions data'!A:A,$J$79)</f>
        <v>0</v>
      </c>
      <c r="K109" s="62">
        <f>SUMIFS('reductions data'!H:H,'reductions data'!G:G,'reasons for reduction division'!B109,'reductions data'!A:A,$K$79)</f>
        <v>0</v>
      </c>
      <c r="L109" s="62">
        <f>SUMIFS('reductions data'!H:H,'reductions data'!G:G,'reasons for reduction division'!B109,'reductions data'!A:A,$L$79)</f>
        <v>0</v>
      </c>
      <c r="M109" s="62">
        <f>SUMIFS('reductions data'!H:H,'reductions data'!G:G,'reasons for reduction division'!B109,'reductions data'!A:A,$M$79)</f>
        <v>0</v>
      </c>
      <c r="N109" s="62">
        <f>SUMIFS('reductions data'!H:H,'reductions data'!G:G,'reasons for reduction division'!B109,'reductions data'!A:A,$N$79)</f>
        <v>0</v>
      </c>
      <c r="O109" s="105">
        <f>SUMIF('reductions data'!G:G,'reasons for reduction division'!B109,'reductions data'!H:H)</f>
        <v>0</v>
      </c>
    </row>
    <row r="110" spans="2:15" x14ac:dyDescent="0.15">
      <c r="B110" s="113" t="s">
        <v>1253</v>
      </c>
      <c r="C110" s="62">
        <f>SUMIFS('reductions data'!H:H,'reductions data'!G:G,'reasons for reduction division'!B110,'reductions data'!A:A,$C$79)</f>
        <v>0</v>
      </c>
      <c r="D110" s="62">
        <f>SUMIFS('reductions data'!H:H,'reductions data'!G:G,'reasons for reduction division'!B110,'reductions data'!A:A,$D$79)</f>
        <v>0</v>
      </c>
      <c r="E110" s="62">
        <f>SUMIFS('reductions data'!H:H,'reductions data'!G:G,'reasons for reduction division'!B110,'reductions data'!A:A,$E$79)</f>
        <v>0</v>
      </c>
      <c r="F110" s="62">
        <f>SUMIFS('reductions data'!H:H,'reductions data'!G:G,'reasons for reduction division'!B110,'reductions data'!A:A,$F$79)</f>
        <v>0</v>
      </c>
      <c r="G110" s="62">
        <f>SUMIFS('reductions data'!H:H,'reductions data'!G:G,'reasons for reduction division'!B110,'reductions data'!A:A,$G$79)</f>
        <v>0</v>
      </c>
      <c r="H110" s="62">
        <f>SUMIFS('reductions data'!H:H,'reductions data'!G:G,'reasons for reduction division'!B110,'reductions data'!A:A,$H$79)</f>
        <v>0</v>
      </c>
      <c r="I110" s="62">
        <f>SUMIFS('reductions data'!H:H,'reductions data'!G:G,'reasons for reduction division'!B110,'reductions data'!A:A,$I$79)</f>
        <v>0</v>
      </c>
      <c r="J110" s="62">
        <f>SUMIFS('reductions data'!H:H,'reductions data'!G:G,'reasons for reduction division'!B110,'reductions data'!A:A,$J$79)</f>
        <v>0</v>
      </c>
      <c r="K110" s="62">
        <f>SUMIFS('reductions data'!H:H,'reductions data'!G:G,'reasons for reduction division'!B110,'reductions data'!A:A,$K$79)</f>
        <v>0</v>
      </c>
      <c r="L110" s="62">
        <f>SUMIFS('reductions data'!H:H,'reductions data'!G:G,'reasons for reduction division'!B110,'reductions data'!A:A,$L$79)</f>
        <v>0</v>
      </c>
      <c r="M110" s="62">
        <f>SUMIFS('reductions data'!H:H,'reductions data'!G:G,'reasons for reduction division'!B110,'reductions data'!A:A,$M$79)</f>
        <v>0</v>
      </c>
      <c r="N110" s="62">
        <f>SUMIFS('reductions data'!H:H,'reductions data'!G:G,'reasons for reduction division'!B110,'reductions data'!A:A,$N$79)</f>
        <v>0</v>
      </c>
      <c r="O110" s="105">
        <f>SUMIF('reductions data'!G:G,'reasons for reduction division'!B110,'reductions data'!H:H)</f>
        <v>0</v>
      </c>
    </row>
    <row r="111" spans="2:15" x14ac:dyDescent="0.15">
      <c r="B111" s="113" t="s">
        <v>917</v>
      </c>
      <c r="C111" s="62">
        <f>SUMIFS('reductions data'!H:H,'reductions data'!G:G,'reasons for reduction division'!B111,'reductions data'!A:A,$C$79)</f>
        <v>0</v>
      </c>
      <c r="D111" s="62">
        <f>SUMIFS('reductions data'!H:H,'reductions data'!G:G,'reasons for reduction division'!B111,'reductions data'!A:A,$D$79)</f>
        <v>0</v>
      </c>
      <c r="E111" s="62">
        <f>SUMIFS('reductions data'!H:H,'reductions data'!G:G,'reasons for reduction division'!B111,'reductions data'!A:A,$E$79)</f>
        <v>0</v>
      </c>
      <c r="F111" s="62">
        <f>SUMIFS('reductions data'!H:H,'reductions data'!G:G,'reasons for reduction division'!B111,'reductions data'!A:A,$F$79)</f>
        <v>0</v>
      </c>
      <c r="G111" s="62">
        <f>SUMIFS('reductions data'!H:H,'reductions data'!G:G,'reasons for reduction division'!B111,'reductions data'!A:A,$G$79)</f>
        <v>0</v>
      </c>
      <c r="H111" s="62">
        <f>SUMIFS('reductions data'!H:H,'reductions data'!G:G,'reasons for reduction division'!B111,'reductions data'!A:A,$H$79)</f>
        <v>0</v>
      </c>
      <c r="I111" s="62">
        <f>SUMIFS('reductions data'!H:H,'reductions data'!G:G,'reasons for reduction division'!B111,'reductions data'!A:A,$I$79)</f>
        <v>0</v>
      </c>
      <c r="J111" s="62">
        <f>SUMIFS('reductions data'!H:H,'reductions data'!G:G,'reasons for reduction division'!B111,'reductions data'!A:A,$J$79)</f>
        <v>0</v>
      </c>
      <c r="K111" s="62">
        <f>SUMIFS('reductions data'!H:H,'reductions data'!G:G,'reasons for reduction division'!B111,'reductions data'!A:A,$K$79)</f>
        <v>0</v>
      </c>
      <c r="L111" s="62">
        <f>SUMIFS('reductions data'!H:H,'reductions data'!G:G,'reasons for reduction division'!B111,'reductions data'!A:A,$L$79)</f>
        <v>0</v>
      </c>
      <c r="M111" s="62">
        <f>SUMIFS('reductions data'!H:H,'reductions data'!G:G,'reasons for reduction division'!B111,'reductions data'!A:A,$M$79)</f>
        <v>0</v>
      </c>
      <c r="N111" s="62">
        <f>SUMIFS('reductions data'!H:H,'reductions data'!G:G,'reasons for reduction division'!B111,'reductions data'!A:A,$N$79)</f>
        <v>0</v>
      </c>
      <c r="O111" s="105">
        <f>SUMIF('reductions data'!G:G,'reasons for reduction division'!B111,'reductions data'!H:H)</f>
        <v>0</v>
      </c>
    </row>
    <row r="112" spans="2:15" x14ac:dyDescent="0.15">
      <c r="B112" s="113" t="s">
        <v>918</v>
      </c>
      <c r="C112" s="62">
        <f>SUMIFS('reductions data'!H:H,'reductions data'!G:G,'reasons for reduction division'!B112,'reductions data'!A:A,$C$79)</f>
        <v>0</v>
      </c>
      <c r="D112" s="62">
        <f>SUMIFS('reductions data'!H:H,'reductions data'!G:G,'reasons for reduction division'!B112,'reductions data'!A:A,$D$79)</f>
        <v>0</v>
      </c>
      <c r="E112" s="62">
        <f>SUMIFS('reductions data'!H:H,'reductions data'!G:G,'reasons for reduction division'!B112,'reductions data'!A:A,$E$79)</f>
        <v>0</v>
      </c>
      <c r="F112" s="62">
        <f>SUMIFS('reductions data'!H:H,'reductions data'!G:G,'reasons for reduction division'!B112,'reductions data'!A:A,$F$79)</f>
        <v>0</v>
      </c>
      <c r="G112" s="62">
        <f>SUMIFS('reductions data'!H:H,'reductions data'!G:G,'reasons for reduction division'!B112,'reductions data'!A:A,$G$79)</f>
        <v>0</v>
      </c>
      <c r="H112" s="62">
        <f>SUMIFS('reductions data'!H:H,'reductions data'!G:G,'reasons for reduction division'!B112,'reductions data'!A:A,$H$79)</f>
        <v>0</v>
      </c>
      <c r="I112" s="62">
        <f>SUMIFS('reductions data'!H:H,'reductions data'!G:G,'reasons for reduction division'!B112,'reductions data'!A:A,$I$79)</f>
        <v>0</v>
      </c>
      <c r="J112" s="62">
        <f>SUMIFS('reductions data'!H:H,'reductions data'!G:G,'reasons for reduction division'!B112,'reductions data'!A:A,$J$79)</f>
        <v>0</v>
      </c>
      <c r="K112" s="62">
        <f>SUMIFS('reductions data'!H:H,'reductions data'!G:G,'reasons for reduction division'!B112,'reductions data'!A:A,$K$79)</f>
        <v>0</v>
      </c>
      <c r="L112" s="62">
        <f>SUMIFS('reductions data'!H:H,'reductions data'!G:G,'reasons for reduction division'!B112,'reductions data'!A:A,$L$79)</f>
        <v>0</v>
      </c>
      <c r="M112" s="62">
        <f>SUMIFS('reductions data'!H:H,'reductions data'!G:G,'reasons for reduction division'!B112,'reductions data'!A:A,$M$79)</f>
        <v>0</v>
      </c>
      <c r="N112" s="62">
        <f>SUMIFS('reductions data'!H:H,'reductions data'!G:G,'reasons for reduction division'!B112,'reductions data'!A:A,$N$79)</f>
        <v>0</v>
      </c>
      <c r="O112" s="105">
        <f>SUMIF('reductions data'!G:G,'reasons for reduction division'!B112,'reductions data'!H:H)</f>
        <v>0</v>
      </c>
    </row>
    <row r="113" spans="2:15" x14ac:dyDescent="0.15">
      <c r="B113" s="113" t="s">
        <v>919</v>
      </c>
      <c r="C113" s="62">
        <f>SUMIFS('reductions data'!H:H,'reductions data'!G:G,'reasons for reduction division'!B113,'reductions data'!A:A,$C$79)</f>
        <v>0</v>
      </c>
      <c r="D113" s="62">
        <f>SUMIFS('reductions data'!H:H,'reductions data'!G:G,'reasons for reduction division'!B113,'reductions data'!A:A,$D$79)</f>
        <v>0</v>
      </c>
      <c r="E113" s="62">
        <f>SUMIFS('reductions data'!H:H,'reductions data'!G:G,'reasons for reduction division'!B113,'reductions data'!A:A,$E$79)</f>
        <v>0</v>
      </c>
      <c r="F113" s="62">
        <f>SUMIFS('reductions data'!H:H,'reductions data'!G:G,'reasons for reduction division'!B113,'reductions data'!A:A,$F$79)</f>
        <v>0</v>
      </c>
      <c r="G113" s="62">
        <f>SUMIFS('reductions data'!H:H,'reductions data'!G:G,'reasons for reduction division'!B113,'reductions data'!A:A,$G$79)</f>
        <v>0</v>
      </c>
      <c r="H113" s="62">
        <f>SUMIFS('reductions data'!H:H,'reductions data'!G:G,'reasons for reduction division'!B113,'reductions data'!A:A,$H$79)</f>
        <v>0</v>
      </c>
      <c r="I113" s="62">
        <f>SUMIFS('reductions data'!H:H,'reductions data'!G:G,'reasons for reduction division'!B113,'reductions data'!A:A,$I$79)</f>
        <v>0</v>
      </c>
      <c r="J113" s="62">
        <f>SUMIFS('reductions data'!H:H,'reductions data'!G:G,'reasons for reduction division'!B113,'reductions data'!A:A,$J$79)</f>
        <v>0</v>
      </c>
      <c r="K113" s="62">
        <f>SUMIFS('reductions data'!H:H,'reductions data'!G:G,'reasons for reduction division'!B113,'reductions data'!A:A,$K$79)</f>
        <v>0</v>
      </c>
      <c r="L113" s="62">
        <f>SUMIFS('reductions data'!H:H,'reductions data'!G:G,'reasons for reduction division'!B113,'reductions data'!A:A,$L$79)</f>
        <v>0</v>
      </c>
      <c r="M113" s="62">
        <f>SUMIFS('reductions data'!H:H,'reductions data'!G:G,'reasons for reduction division'!B113,'reductions data'!A:A,$M$79)</f>
        <v>0</v>
      </c>
      <c r="N113" s="62">
        <f>SUMIFS('reductions data'!H:H,'reductions data'!G:G,'reasons for reduction division'!B113,'reductions data'!A:A,$N$79)</f>
        <v>0</v>
      </c>
      <c r="O113" s="105">
        <f>SUMIF('reductions data'!G:G,'reasons for reduction division'!B113,'reductions data'!H:H)</f>
        <v>0</v>
      </c>
    </row>
    <row r="114" spans="2:15" x14ac:dyDescent="0.15">
      <c r="B114" s="322" t="s">
        <v>1254</v>
      </c>
      <c r="C114" s="62">
        <f>SUMIFS('reductions data'!H:H,'reductions data'!G:G,'reasons for reduction division'!B114,'reductions data'!A:A,$C$79)</f>
        <v>0</v>
      </c>
      <c r="D114" s="62">
        <f>SUMIFS('reductions data'!H:H,'reductions data'!G:G,'reasons for reduction division'!B114,'reductions data'!A:A,$D$79)</f>
        <v>0</v>
      </c>
      <c r="E114" s="62">
        <f>SUMIFS('reductions data'!H:H,'reductions data'!G:G,'reasons for reduction division'!B114,'reductions data'!A:A,$E$79)</f>
        <v>0</v>
      </c>
      <c r="F114" s="62">
        <f>SUMIFS('reductions data'!H:H,'reductions data'!G:G,'reasons for reduction division'!B114,'reductions data'!A:A,$F$79)</f>
        <v>0</v>
      </c>
      <c r="G114" s="62">
        <f>SUMIFS('reductions data'!H:H,'reductions data'!G:G,'reasons for reduction division'!B114,'reductions data'!A:A,$G$79)</f>
        <v>0</v>
      </c>
      <c r="H114" s="62">
        <f>SUMIFS('reductions data'!H:H,'reductions data'!G:G,'reasons for reduction division'!B114,'reductions data'!A:A,$H$79)</f>
        <v>0</v>
      </c>
      <c r="I114" s="62">
        <f>SUMIFS('reductions data'!H:H,'reductions data'!G:G,'reasons for reduction division'!B114,'reductions data'!A:A,$I$79)</f>
        <v>0</v>
      </c>
      <c r="J114" s="62">
        <f>SUMIFS('reductions data'!H:H,'reductions data'!G:G,'reasons for reduction division'!B114,'reductions data'!A:A,$J$79)</f>
        <v>0</v>
      </c>
      <c r="K114" s="62">
        <f>SUMIFS('reductions data'!H:H,'reductions data'!G:G,'reasons for reduction division'!B114,'reductions data'!A:A,$K$79)</f>
        <v>0</v>
      </c>
      <c r="L114" s="62">
        <f>SUMIFS('reductions data'!H:H,'reductions data'!G:G,'reasons for reduction division'!B114,'reductions data'!A:A,$L$79)</f>
        <v>0</v>
      </c>
      <c r="M114" s="62">
        <f>SUMIFS('reductions data'!H:H,'reductions data'!G:G,'reasons for reduction division'!B114,'reductions data'!A:A,$M$79)</f>
        <v>0</v>
      </c>
      <c r="N114" s="62">
        <f>SUMIFS('reductions data'!H:H,'reductions data'!G:G,'reasons for reduction division'!B114,'reductions data'!A:A,$N$79)</f>
        <v>0</v>
      </c>
      <c r="O114" s="105">
        <f>SUMIF('reductions data'!G:G,'reasons for reduction division'!B114,'reductions data'!H:H)</f>
        <v>0</v>
      </c>
    </row>
    <row r="115" spans="2:15" x14ac:dyDescent="0.15">
      <c r="B115" s="322" t="s">
        <v>1255</v>
      </c>
      <c r="C115" s="62">
        <f>SUMIFS('reductions data'!H:H,'reductions data'!G:G,'reasons for reduction division'!B115,'reductions data'!A:A,$C$79)</f>
        <v>0</v>
      </c>
      <c r="D115" s="62">
        <f>SUMIFS('reductions data'!H:H,'reductions data'!G:G,'reasons for reduction division'!B115,'reductions data'!A:A,$D$79)</f>
        <v>0</v>
      </c>
      <c r="E115" s="62">
        <f>SUMIFS('reductions data'!H:H,'reductions data'!G:G,'reasons for reduction division'!B115,'reductions data'!A:A,$E$79)</f>
        <v>0</v>
      </c>
      <c r="F115" s="62">
        <f>SUMIFS('reductions data'!H:H,'reductions data'!G:G,'reasons for reduction division'!B115,'reductions data'!A:A,$F$79)</f>
        <v>0</v>
      </c>
      <c r="G115" s="62">
        <f>SUMIFS('reductions data'!H:H,'reductions data'!G:G,'reasons for reduction division'!B115,'reductions data'!A:A,$G$79)</f>
        <v>0</v>
      </c>
      <c r="H115" s="62">
        <f>SUMIFS('reductions data'!H:H,'reductions data'!G:G,'reasons for reduction division'!B115,'reductions data'!A:A,$H$79)</f>
        <v>0</v>
      </c>
      <c r="I115" s="62">
        <f>SUMIFS('reductions data'!H:H,'reductions data'!G:G,'reasons for reduction division'!B115,'reductions data'!A:A,$I$79)</f>
        <v>0</v>
      </c>
      <c r="J115" s="62">
        <f>SUMIFS('reductions data'!H:H,'reductions data'!G:G,'reasons for reduction division'!B115,'reductions data'!A:A,$J$79)</f>
        <v>0</v>
      </c>
      <c r="K115" s="62">
        <f>SUMIFS('reductions data'!H:H,'reductions data'!G:G,'reasons for reduction division'!B115,'reductions data'!A:A,$K$79)</f>
        <v>0</v>
      </c>
      <c r="L115" s="62">
        <f>SUMIFS('reductions data'!H:H,'reductions data'!G:G,'reasons for reduction division'!B115,'reductions data'!A:A,$L$79)</f>
        <v>0</v>
      </c>
      <c r="M115" s="62">
        <f>SUMIFS('reductions data'!H:H,'reductions data'!G:G,'reasons for reduction division'!B115,'reductions data'!A:A,$M$79)</f>
        <v>0</v>
      </c>
      <c r="N115" s="62">
        <f>SUMIFS('reductions data'!H:H,'reductions data'!G:G,'reasons for reduction division'!B115,'reductions data'!A:A,$N$79)</f>
        <v>0</v>
      </c>
      <c r="O115" s="105">
        <f>SUMIF('reductions data'!G:G,'reasons for reduction division'!B115,'reductions data'!H:H)</f>
        <v>0</v>
      </c>
    </row>
    <row r="116" spans="2:15" x14ac:dyDescent="0.15">
      <c r="B116" s="322" t="s">
        <v>1259</v>
      </c>
      <c r="C116" s="62">
        <f>SUMIFS('reductions data'!H:H,'reductions data'!G:G,'reasons for reduction division'!B116,'reductions data'!A:A,$C$79)</f>
        <v>0</v>
      </c>
      <c r="D116" s="62">
        <f>SUMIFS('reductions data'!H:H,'reductions data'!G:G,'reasons for reduction division'!B116,'reductions data'!A:A,$D$79)</f>
        <v>0</v>
      </c>
      <c r="E116" s="62">
        <f>SUMIFS('reductions data'!H:H,'reductions data'!G:G,'reasons for reduction division'!B116,'reductions data'!A:A,$E$79)</f>
        <v>0</v>
      </c>
      <c r="F116" s="62">
        <f>SUMIFS('reductions data'!H:H,'reductions data'!G:G,'reasons for reduction division'!B116,'reductions data'!A:A,$F$79)</f>
        <v>0</v>
      </c>
      <c r="G116" s="62">
        <f>SUMIFS('reductions data'!H:H,'reductions data'!G:G,'reasons for reduction division'!B116,'reductions data'!A:A,$G$79)</f>
        <v>0</v>
      </c>
      <c r="H116" s="62">
        <f>SUMIFS('reductions data'!H:H,'reductions data'!G:G,'reasons for reduction division'!B116,'reductions data'!A:A,$H$79)</f>
        <v>0</v>
      </c>
      <c r="I116" s="62">
        <f>SUMIFS('reductions data'!H:H,'reductions data'!G:G,'reasons for reduction division'!B116,'reductions data'!A:A,$I$79)</f>
        <v>0</v>
      </c>
      <c r="J116" s="62">
        <f>SUMIFS('reductions data'!H:H,'reductions data'!G:G,'reasons for reduction division'!B116,'reductions data'!A:A,$J$79)</f>
        <v>0</v>
      </c>
      <c r="K116" s="62">
        <f>SUMIFS('reductions data'!H:H,'reductions data'!G:G,'reasons for reduction division'!B116,'reductions data'!A:A,$K$79)</f>
        <v>0</v>
      </c>
      <c r="L116" s="62">
        <f>SUMIFS('reductions data'!H:H,'reductions data'!G:G,'reasons for reduction division'!B116,'reductions data'!A:A,$L$79)</f>
        <v>0</v>
      </c>
      <c r="M116" s="62">
        <f>SUMIFS('reductions data'!H:H,'reductions data'!G:G,'reasons for reduction division'!B116,'reductions data'!A:A,$M$79)</f>
        <v>0</v>
      </c>
      <c r="N116" s="62">
        <f>SUMIFS('reductions data'!H:H,'reductions data'!G:G,'reasons for reduction division'!B116,'reductions data'!A:A,$N$79)</f>
        <v>0</v>
      </c>
      <c r="O116" s="105">
        <f>SUMIF('reductions data'!G:G,'reasons for reduction division'!B116,'reductions data'!H:H)</f>
        <v>0</v>
      </c>
    </row>
    <row r="117" spans="2:15" x14ac:dyDescent="0.15">
      <c r="B117" s="113" t="s">
        <v>920</v>
      </c>
      <c r="C117" s="62">
        <f>SUMIFS('reductions data'!H:H,'reductions data'!G:G,'reasons for reduction division'!B117,'reductions data'!A:A,$C$79)</f>
        <v>0</v>
      </c>
      <c r="D117" s="62">
        <f>SUMIFS('reductions data'!H:H,'reductions data'!G:G,'reasons for reduction division'!B117,'reductions data'!A:A,$D$79)</f>
        <v>0</v>
      </c>
      <c r="E117" s="62">
        <f>SUMIFS('reductions data'!H:H,'reductions data'!G:G,'reasons for reduction division'!B117,'reductions data'!A:A,$E$79)</f>
        <v>0</v>
      </c>
      <c r="F117" s="62">
        <f>SUMIFS('reductions data'!H:H,'reductions data'!G:G,'reasons for reduction division'!B117,'reductions data'!A:A,$F$79)</f>
        <v>0</v>
      </c>
      <c r="G117" s="62">
        <f>SUMIFS('reductions data'!H:H,'reductions data'!G:G,'reasons for reduction division'!B117,'reductions data'!A:A,$G$79)</f>
        <v>0</v>
      </c>
      <c r="H117" s="62">
        <f>SUMIFS('reductions data'!H:H,'reductions data'!G:G,'reasons for reduction division'!B117,'reductions data'!A:A,$H$79)</f>
        <v>0</v>
      </c>
      <c r="I117" s="62">
        <f>SUMIFS('reductions data'!H:H,'reductions data'!G:G,'reasons for reduction division'!B117,'reductions data'!A:A,$I$79)</f>
        <v>0</v>
      </c>
      <c r="J117" s="62">
        <f>SUMIFS('reductions data'!H:H,'reductions data'!G:G,'reasons for reduction division'!B117,'reductions data'!A:A,$J$79)</f>
        <v>0</v>
      </c>
      <c r="K117" s="62">
        <f>SUMIFS('reductions data'!H:H,'reductions data'!G:G,'reasons for reduction division'!B117,'reductions data'!A:A,$K$79)</f>
        <v>0</v>
      </c>
      <c r="L117" s="62">
        <f>SUMIFS('reductions data'!H:H,'reductions data'!G:G,'reasons for reduction division'!B117,'reductions data'!A:A,$L$79)</f>
        <v>0</v>
      </c>
      <c r="M117" s="62">
        <f>SUMIFS('reductions data'!H:H,'reductions data'!G:G,'reasons for reduction division'!B117,'reductions data'!A:A,$M$79)</f>
        <v>0</v>
      </c>
      <c r="N117" s="62">
        <f>SUMIFS('reductions data'!H:H,'reductions data'!G:G,'reasons for reduction division'!B117,'reductions data'!A:A,$N$79)</f>
        <v>0</v>
      </c>
      <c r="O117" s="105">
        <f>SUMIF('reductions data'!G:G,'reasons for reduction division'!B117,'reductions data'!H:H)</f>
        <v>0</v>
      </c>
    </row>
    <row r="118" spans="2:15" x14ac:dyDescent="0.15">
      <c r="B118" s="113" t="s">
        <v>921</v>
      </c>
      <c r="C118" s="62">
        <f>SUMIFS('reductions data'!H:H,'reductions data'!G:G,'reasons for reduction division'!B118,'reductions data'!A:A,$C$79)</f>
        <v>0</v>
      </c>
      <c r="D118" s="62">
        <f>SUMIFS('reductions data'!H:H,'reductions data'!G:G,'reasons for reduction division'!B118,'reductions data'!A:A,$D$79)</f>
        <v>0</v>
      </c>
      <c r="E118" s="62">
        <f>SUMIFS('reductions data'!H:H,'reductions data'!G:G,'reasons for reduction division'!B118,'reductions data'!A:A,$E$79)</f>
        <v>0</v>
      </c>
      <c r="F118" s="62">
        <f>SUMIFS('reductions data'!H:H,'reductions data'!G:G,'reasons for reduction division'!B118,'reductions data'!A:A,$F$79)</f>
        <v>0</v>
      </c>
      <c r="G118" s="62">
        <f>SUMIFS('reductions data'!H:H,'reductions data'!G:G,'reasons for reduction division'!B118,'reductions data'!A:A,$G$79)</f>
        <v>0</v>
      </c>
      <c r="H118" s="62">
        <f>SUMIFS('reductions data'!H:H,'reductions data'!G:G,'reasons for reduction division'!B118,'reductions data'!A:A,$H$79)</f>
        <v>0</v>
      </c>
      <c r="I118" s="62">
        <f>SUMIFS('reductions data'!H:H,'reductions data'!G:G,'reasons for reduction division'!B118,'reductions data'!A:A,$I$79)</f>
        <v>0</v>
      </c>
      <c r="J118" s="62">
        <f>SUMIFS('reductions data'!H:H,'reductions data'!G:G,'reasons for reduction division'!B118,'reductions data'!A:A,$J$79)</f>
        <v>0</v>
      </c>
      <c r="K118" s="62">
        <f>SUMIFS('reductions data'!H:H,'reductions data'!G:G,'reasons for reduction division'!B118,'reductions data'!A:A,$K$79)</f>
        <v>0</v>
      </c>
      <c r="L118" s="62">
        <f>SUMIFS('reductions data'!H:H,'reductions data'!G:G,'reasons for reduction division'!B118,'reductions data'!A:A,$L$79)</f>
        <v>0</v>
      </c>
      <c r="M118" s="62">
        <f>SUMIFS('reductions data'!H:H,'reductions data'!G:G,'reasons for reduction division'!B118,'reductions data'!A:A,$M$79)</f>
        <v>0</v>
      </c>
      <c r="N118" s="62">
        <f>SUMIFS('reductions data'!H:H,'reductions data'!G:G,'reasons for reduction division'!B118,'reductions data'!A:A,$N$79)</f>
        <v>0</v>
      </c>
      <c r="O118" s="105">
        <f>SUMIF('reductions data'!G:G,'reasons for reduction division'!B118,'reductions data'!H:H)</f>
        <v>0</v>
      </c>
    </row>
    <row r="119" spans="2:15" x14ac:dyDescent="0.15">
      <c r="B119" s="113" t="s">
        <v>922</v>
      </c>
      <c r="C119" s="62">
        <f>SUMIFS('reductions data'!H:H,'reductions data'!G:G,'reasons for reduction division'!B119,'reductions data'!A:A,$C$79)</f>
        <v>0</v>
      </c>
      <c r="D119" s="62">
        <f>SUMIFS('reductions data'!H:H,'reductions data'!G:G,'reasons for reduction division'!B119,'reductions data'!A:A,$D$79)</f>
        <v>0</v>
      </c>
      <c r="E119" s="62">
        <f>SUMIFS('reductions data'!H:H,'reductions data'!G:G,'reasons for reduction division'!B119,'reductions data'!A:A,$E$79)</f>
        <v>0</v>
      </c>
      <c r="F119" s="62">
        <f>SUMIFS('reductions data'!H:H,'reductions data'!G:G,'reasons for reduction division'!B119,'reductions data'!A:A,$F$79)</f>
        <v>0</v>
      </c>
      <c r="G119" s="62">
        <f>SUMIFS('reductions data'!H:H,'reductions data'!G:G,'reasons for reduction division'!B119,'reductions data'!A:A,$G$79)</f>
        <v>0</v>
      </c>
      <c r="H119" s="62">
        <f>SUMIFS('reductions data'!H:H,'reductions data'!G:G,'reasons for reduction division'!B119,'reductions data'!A:A,$H$79)</f>
        <v>0</v>
      </c>
      <c r="I119" s="62">
        <f>SUMIFS('reductions data'!H:H,'reductions data'!G:G,'reasons for reduction division'!B119,'reductions data'!A:A,$I$79)</f>
        <v>0</v>
      </c>
      <c r="J119" s="62">
        <f>SUMIFS('reductions data'!H:H,'reductions data'!G:G,'reasons for reduction division'!B119,'reductions data'!A:A,$J$79)</f>
        <v>0</v>
      </c>
      <c r="K119" s="62">
        <f>SUMIFS('reductions data'!H:H,'reductions data'!G:G,'reasons for reduction division'!B119,'reductions data'!A:A,$K$79)</f>
        <v>0</v>
      </c>
      <c r="L119" s="62">
        <f>SUMIFS('reductions data'!H:H,'reductions data'!G:G,'reasons for reduction division'!B119,'reductions data'!A:A,$L$79)</f>
        <v>0</v>
      </c>
      <c r="M119" s="62">
        <f>SUMIFS('reductions data'!H:H,'reductions data'!G:G,'reasons for reduction division'!B119,'reductions data'!A:A,$M$79)</f>
        <v>0</v>
      </c>
      <c r="N119" s="62">
        <f>SUMIFS('reductions data'!H:H,'reductions data'!G:G,'reasons for reduction division'!B119,'reductions data'!A:A,$N$79)</f>
        <v>0</v>
      </c>
      <c r="O119" s="105">
        <f>SUMIF('reductions data'!G:G,'reasons for reduction division'!B119,'reductions data'!H:H)</f>
        <v>0</v>
      </c>
    </row>
    <row r="120" spans="2:15" x14ac:dyDescent="0.15">
      <c r="B120" s="113" t="s">
        <v>916</v>
      </c>
      <c r="C120" s="62">
        <f>SUMIFS('reductions data'!H:H,'reductions data'!G:G,'reasons for reduction division'!B120,'reductions data'!A:A,$C$79)</f>
        <v>0</v>
      </c>
      <c r="D120" s="62">
        <f>SUMIFS('reductions data'!H:H,'reductions data'!G:G,'reasons for reduction division'!B120,'reductions data'!A:A,$D$79)</f>
        <v>0</v>
      </c>
      <c r="E120" s="62">
        <f>SUMIFS('reductions data'!H:H,'reductions data'!G:G,'reasons for reduction division'!B120,'reductions data'!A:A,$E$79)</f>
        <v>0</v>
      </c>
      <c r="F120" s="62">
        <f>SUMIFS('reductions data'!H:H,'reductions data'!G:G,'reasons for reduction division'!B120,'reductions data'!A:A,$F$79)</f>
        <v>0</v>
      </c>
      <c r="G120" s="62">
        <f>SUMIFS('reductions data'!H:H,'reductions data'!G:G,'reasons for reduction division'!B120,'reductions data'!A:A,$G$79)</f>
        <v>0</v>
      </c>
      <c r="H120" s="62">
        <f>SUMIFS('reductions data'!H:H,'reductions data'!G:G,'reasons for reduction division'!B120,'reductions data'!A:A,$H$79)</f>
        <v>0</v>
      </c>
      <c r="I120" s="62">
        <f>SUMIFS('reductions data'!H:H,'reductions data'!G:G,'reasons for reduction division'!B120,'reductions data'!A:A,$I$79)</f>
        <v>0</v>
      </c>
      <c r="J120" s="62">
        <f>SUMIFS('reductions data'!H:H,'reductions data'!G:G,'reasons for reduction division'!B120,'reductions data'!A:A,$J$79)</f>
        <v>0</v>
      </c>
      <c r="K120" s="62">
        <f>SUMIFS('reductions data'!H:H,'reductions data'!G:G,'reasons for reduction division'!B120,'reductions data'!A:A,$K$79)</f>
        <v>0</v>
      </c>
      <c r="L120" s="62">
        <f>SUMIFS('reductions data'!H:H,'reductions data'!G:G,'reasons for reduction division'!B120,'reductions data'!A:A,$L$79)</f>
        <v>0</v>
      </c>
      <c r="M120" s="62">
        <f>SUMIFS('reductions data'!H:H,'reductions data'!G:G,'reasons for reduction division'!B120,'reductions data'!A:A,$M$79)</f>
        <v>0</v>
      </c>
      <c r="N120" s="62">
        <f>SUMIFS('reductions data'!H:H,'reductions data'!G:G,'reasons for reduction division'!B120,'reductions data'!A:A,$N$79)</f>
        <v>0</v>
      </c>
      <c r="O120" s="105">
        <f>SUMIF('reductions data'!G:G,'reasons for reduction division'!B120,'reductions data'!H:H)</f>
        <v>0</v>
      </c>
    </row>
    <row r="121" spans="2:15" x14ac:dyDescent="0.15">
      <c r="B121" s="113" t="s">
        <v>923</v>
      </c>
      <c r="C121" s="62">
        <f>SUMIFS('reductions data'!H:H,'reductions data'!G:G,'reasons for reduction division'!B121,'reductions data'!A:A,$C$79)</f>
        <v>0</v>
      </c>
      <c r="D121" s="62">
        <f>SUMIFS('reductions data'!H:H,'reductions data'!G:G,'reasons for reduction division'!B121,'reductions data'!A:A,$D$79)</f>
        <v>0</v>
      </c>
      <c r="E121" s="62">
        <f>SUMIFS('reductions data'!H:H,'reductions data'!G:G,'reasons for reduction division'!B121,'reductions data'!A:A,$E$79)</f>
        <v>0</v>
      </c>
      <c r="F121" s="62">
        <f>SUMIFS('reductions data'!H:H,'reductions data'!G:G,'reasons for reduction division'!B121,'reductions data'!A:A,$F$79)</f>
        <v>0</v>
      </c>
      <c r="G121" s="62">
        <f>SUMIFS('reductions data'!H:H,'reductions data'!G:G,'reasons for reduction division'!B121,'reductions data'!A:A,$G$79)</f>
        <v>0</v>
      </c>
      <c r="H121" s="62">
        <f>SUMIFS('reductions data'!H:H,'reductions data'!G:G,'reasons for reduction division'!B121,'reductions data'!A:A,$H$79)</f>
        <v>0</v>
      </c>
      <c r="I121" s="62">
        <f>SUMIFS('reductions data'!H:H,'reductions data'!G:G,'reasons for reduction division'!B121,'reductions data'!A:A,$I$79)</f>
        <v>0</v>
      </c>
      <c r="J121" s="62">
        <f>SUMIFS('reductions data'!H:H,'reductions data'!G:G,'reasons for reduction division'!B121,'reductions data'!A:A,$J$79)</f>
        <v>0</v>
      </c>
      <c r="K121" s="62">
        <f>SUMIFS('reductions data'!H:H,'reductions data'!G:G,'reasons for reduction division'!B121,'reductions data'!A:A,$K$79)</f>
        <v>0</v>
      </c>
      <c r="L121" s="62">
        <f>SUMIFS('reductions data'!H:H,'reductions data'!G:G,'reasons for reduction division'!B121,'reductions data'!A:A,$L$79)</f>
        <v>0</v>
      </c>
      <c r="M121" s="62">
        <f>SUMIFS('reductions data'!H:H,'reductions data'!G:G,'reasons for reduction division'!B121,'reductions data'!A:A,$M$79)</f>
        <v>0</v>
      </c>
      <c r="N121" s="62">
        <f>SUMIFS('reductions data'!H:H,'reductions data'!G:G,'reasons for reduction division'!B121,'reductions data'!A:A,$N$79)</f>
        <v>0</v>
      </c>
      <c r="O121" s="105">
        <f>SUMIF('reductions data'!G:G,'reasons for reduction division'!B121,'reductions data'!H:H)</f>
        <v>0</v>
      </c>
    </row>
    <row r="122" spans="2:15" x14ac:dyDescent="0.15">
      <c r="B122" s="113" t="s">
        <v>924</v>
      </c>
      <c r="C122" s="62">
        <f>SUMIFS('reductions data'!H:H,'reductions data'!G:G,'reasons for reduction division'!B122,'reductions data'!A:A,$C$79)</f>
        <v>0</v>
      </c>
      <c r="D122" s="62">
        <f>SUMIFS('reductions data'!H:H,'reductions data'!G:G,'reasons for reduction division'!B122,'reductions data'!A:A,$D$79)</f>
        <v>0</v>
      </c>
      <c r="E122" s="62">
        <f>SUMIFS('reductions data'!H:H,'reductions data'!G:G,'reasons for reduction division'!B122,'reductions data'!A:A,$E$79)</f>
        <v>0</v>
      </c>
      <c r="F122" s="62">
        <f>SUMIFS('reductions data'!H:H,'reductions data'!G:G,'reasons for reduction division'!B122,'reductions data'!A:A,$F$79)</f>
        <v>0</v>
      </c>
      <c r="G122" s="62">
        <f>SUMIFS('reductions data'!H:H,'reductions data'!G:G,'reasons for reduction division'!B122,'reductions data'!A:A,$G$79)</f>
        <v>0</v>
      </c>
      <c r="H122" s="62">
        <f>SUMIFS('reductions data'!H:H,'reductions data'!G:G,'reasons for reduction division'!B122,'reductions data'!A:A,$H$79)</f>
        <v>0</v>
      </c>
      <c r="I122" s="62">
        <f>SUMIFS('reductions data'!H:H,'reductions data'!G:G,'reasons for reduction division'!B122,'reductions data'!A:A,$I$79)</f>
        <v>0</v>
      </c>
      <c r="J122" s="62">
        <f>SUMIFS('reductions data'!H:H,'reductions data'!G:G,'reasons for reduction division'!B122,'reductions data'!A:A,$J$79)</f>
        <v>0</v>
      </c>
      <c r="K122" s="62">
        <f>SUMIFS('reductions data'!H:H,'reductions data'!G:G,'reasons for reduction division'!B122,'reductions data'!A:A,$K$79)</f>
        <v>0</v>
      </c>
      <c r="L122" s="62">
        <f>SUMIFS('reductions data'!H:H,'reductions data'!G:G,'reasons for reduction division'!B122,'reductions data'!A:A,$L$79)</f>
        <v>0</v>
      </c>
      <c r="M122" s="62">
        <f>SUMIFS('reductions data'!H:H,'reductions data'!G:G,'reasons for reduction division'!B122,'reductions data'!A:A,$M$79)</f>
        <v>0</v>
      </c>
      <c r="N122" s="62">
        <f>SUMIFS('reductions data'!H:H,'reductions data'!G:G,'reasons for reduction division'!B122,'reductions data'!A:A,$N$79)</f>
        <v>0</v>
      </c>
      <c r="O122" s="105">
        <f>SUMIF('reductions data'!G:G,'reasons for reduction division'!B122,'reductions data'!H:H)</f>
        <v>0</v>
      </c>
    </row>
    <row r="123" spans="2:15" x14ac:dyDescent="0.15">
      <c r="B123" s="113" t="s">
        <v>925</v>
      </c>
      <c r="C123" s="62">
        <f>SUMIFS('reductions data'!H:H,'reductions data'!G:G,'reasons for reduction division'!B123,'reductions data'!A:A,$C$79)</f>
        <v>0</v>
      </c>
      <c r="D123" s="62">
        <f>SUMIFS('reductions data'!H:H,'reductions data'!G:G,'reasons for reduction division'!B123,'reductions data'!A:A,$D$79)</f>
        <v>0</v>
      </c>
      <c r="E123" s="62">
        <f>SUMIFS('reductions data'!H:H,'reductions data'!G:G,'reasons for reduction division'!B123,'reductions data'!A:A,$E$79)</f>
        <v>0</v>
      </c>
      <c r="F123" s="62">
        <f>SUMIFS('reductions data'!H:H,'reductions data'!G:G,'reasons for reduction division'!B123,'reductions data'!A:A,$F$79)</f>
        <v>0</v>
      </c>
      <c r="G123" s="62">
        <f>SUMIFS('reductions data'!H:H,'reductions data'!G:G,'reasons for reduction division'!B123,'reductions data'!A:A,$G$79)</f>
        <v>0</v>
      </c>
      <c r="H123" s="62">
        <f>SUMIFS('reductions data'!H:H,'reductions data'!G:G,'reasons for reduction division'!B123,'reductions data'!A:A,$H$79)</f>
        <v>0</v>
      </c>
      <c r="I123" s="62">
        <f>SUMIFS('reductions data'!H:H,'reductions data'!G:G,'reasons for reduction division'!B123,'reductions data'!A:A,$I$79)</f>
        <v>0</v>
      </c>
      <c r="J123" s="62">
        <f>SUMIFS('reductions data'!H:H,'reductions data'!G:G,'reasons for reduction division'!B123,'reductions data'!A:A,$J$79)</f>
        <v>0</v>
      </c>
      <c r="K123" s="62">
        <f>SUMIFS('reductions data'!H:H,'reductions data'!G:G,'reasons for reduction division'!B123,'reductions data'!A:A,$K$79)</f>
        <v>0</v>
      </c>
      <c r="L123" s="62">
        <f>SUMIFS('reductions data'!H:H,'reductions data'!G:G,'reasons for reduction division'!B123,'reductions data'!A:A,$L$79)</f>
        <v>0</v>
      </c>
      <c r="M123" s="62">
        <f>SUMIFS('reductions data'!H:H,'reductions data'!G:G,'reasons for reduction division'!B123,'reductions data'!A:A,$M$79)</f>
        <v>0</v>
      </c>
      <c r="N123" s="62">
        <f>SUMIFS('reductions data'!H:H,'reductions data'!G:G,'reasons for reduction division'!B123,'reductions data'!A:A,$N$79)</f>
        <v>0</v>
      </c>
      <c r="O123" s="105">
        <f>SUMIF('reductions data'!G:G,'reasons for reduction division'!B123,'reductions data'!H:H)</f>
        <v>0</v>
      </c>
    </row>
    <row r="124" spans="2:15" x14ac:dyDescent="0.15">
      <c r="B124" s="113" t="s">
        <v>926</v>
      </c>
      <c r="C124" s="62">
        <f>SUMIFS('reductions data'!H:H,'reductions data'!G:G,'reasons for reduction division'!B124,'reductions data'!A:A,$C$79)</f>
        <v>0</v>
      </c>
      <c r="D124" s="62">
        <f>SUMIFS('reductions data'!H:H,'reductions data'!G:G,'reasons for reduction division'!B124,'reductions data'!A:A,$D$79)</f>
        <v>0</v>
      </c>
      <c r="E124" s="62">
        <f>SUMIFS('reductions data'!H:H,'reductions data'!G:G,'reasons for reduction division'!B124,'reductions data'!A:A,$E$79)</f>
        <v>0</v>
      </c>
      <c r="F124" s="62">
        <f>SUMIFS('reductions data'!H:H,'reductions data'!G:G,'reasons for reduction division'!B124,'reductions data'!A:A,$F$79)</f>
        <v>0</v>
      </c>
      <c r="G124" s="62">
        <f>SUMIFS('reductions data'!H:H,'reductions data'!G:G,'reasons for reduction division'!B124,'reductions data'!A:A,$G$79)</f>
        <v>0</v>
      </c>
      <c r="H124" s="62">
        <f>SUMIFS('reductions data'!H:H,'reductions data'!G:G,'reasons for reduction division'!B124,'reductions data'!A:A,$H$79)</f>
        <v>0</v>
      </c>
      <c r="I124" s="62">
        <f>SUMIFS('reductions data'!H:H,'reductions data'!G:G,'reasons for reduction division'!B124,'reductions data'!A:A,$I$79)</f>
        <v>0</v>
      </c>
      <c r="J124" s="62">
        <f>SUMIFS('reductions data'!H:H,'reductions data'!G:G,'reasons for reduction division'!B124,'reductions data'!A:A,$J$79)</f>
        <v>0</v>
      </c>
      <c r="K124" s="62">
        <f>SUMIFS('reductions data'!H:H,'reductions data'!G:G,'reasons for reduction division'!B124,'reductions data'!A:A,$K$79)</f>
        <v>0</v>
      </c>
      <c r="L124" s="62">
        <f>SUMIFS('reductions data'!H:H,'reductions data'!G:G,'reasons for reduction division'!B124,'reductions data'!A:A,$L$79)</f>
        <v>0</v>
      </c>
      <c r="M124" s="62">
        <f>SUMIFS('reductions data'!H:H,'reductions data'!G:G,'reasons for reduction division'!B124,'reductions data'!A:A,$M$79)</f>
        <v>0</v>
      </c>
      <c r="N124" s="62">
        <f>SUMIFS('reductions data'!H:H,'reductions data'!G:G,'reasons for reduction division'!B124,'reductions data'!A:A,$N$79)</f>
        <v>0</v>
      </c>
      <c r="O124" s="105">
        <f>SUMIF('reductions data'!G:G,'reasons for reduction division'!B124,'reductions data'!H:H)</f>
        <v>0</v>
      </c>
    </row>
    <row r="125" spans="2:15" x14ac:dyDescent="0.15">
      <c r="B125" s="113" t="s">
        <v>927</v>
      </c>
      <c r="C125" s="62">
        <f>SUMIFS('reductions data'!H:H,'reductions data'!G:G,'reasons for reduction division'!B125,'reductions data'!A:A,$C$79)</f>
        <v>0</v>
      </c>
      <c r="D125" s="62">
        <f>SUMIFS('reductions data'!H:H,'reductions data'!G:G,'reasons for reduction division'!B125,'reductions data'!A:A,$D$79)</f>
        <v>0</v>
      </c>
      <c r="E125" s="62">
        <f>SUMIFS('reductions data'!H:H,'reductions data'!G:G,'reasons for reduction division'!B125,'reductions data'!A:A,$E$79)</f>
        <v>0</v>
      </c>
      <c r="F125" s="62">
        <f>SUMIFS('reductions data'!H:H,'reductions data'!G:G,'reasons for reduction division'!B125,'reductions data'!A:A,$F$79)</f>
        <v>0</v>
      </c>
      <c r="G125" s="62">
        <f>SUMIFS('reductions data'!H:H,'reductions data'!G:G,'reasons for reduction division'!B125,'reductions data'!A:A,$G$79)</f>
        <v>0</v>
      </c>
      <c r="H125" s="62">
        <f>SUMIFS('reductions data'!H:H,'reductions data'!G:G,'reasons for reduction division'!B125,'reductions data'!A:A,$H$79)</f>
        <v>0</v>
      </c>
      <c r="I125" s="62">
        <f>SUMIFS('reductions data'!H:H,'reductions data'!G:G,'reasons for reduction division'!B125,'reductions data'!A:A,$I$79)</f>
        <v>0</v>
      </c>
      <c r="J125" s="62">
        <f>SUMIFS('reductions data'!H:H,'reductions data'!G:G,'reasons for reduction division'!B125,'reductions data'!A:A,$J$79)</f>
        <v>0</v>
      </c>
      <c r="K125" s="62">
        <f>SUMIFS('reductions data'!H:H,'reductions data'!G:G,'reasons for reduction division'!B125,'reductions data'!A:A,$K$79)</f>
        <v>0</v>
      </c>
      <c r="L125" s="62">
        <f>SUMIFS('reductions data'!H:H,'reductions data'!G:G,'reasons for reduction division'!B125,'reductions data'!A:A,$L$79)</f>
        <v>0</v>
      </c>
      <c r="M125" s="62">
        <f>SUMIFS('reductions data'!H:H,'reductions data'!G:G,'reasons for reduction division'!B125,'reductions data'!A:A,$M$79)</f>
        <v>0</v>
      </c>
      <c r="N125" s="62">
        <f>SUMIFS('reductions data'!H:H,'reductions data'!G:G,'reasons for reduction division'!B125,'reductions data'!A:A,$N$79)</f>
        <v>0</v>
      </c>
      <c r="O125" s="105">
        <f>SUMIF('reductions data'!G:G,'reasons for reduction division'!B125,'reductions data'!H:H)</f>
        <v>0</v>
      </c>
    </row>
    <row r="126" spans="2:15" x14ac:dyDescent="0.15">
      <c r="B126" s="113" t="s">
        <v>928</v>
      </c>
      <c r="C126" s="62">
        <f>SUMIFS('reductions data'!H:H,'reductions data'!G:G,'reasons for reduction division'!B126,'reductions data'!A:A,$C$79)</f>
        <v>0</v>
      </c>
      <c r="D126" s="62">
        <f>SUMIFS('reductions data'!H:H,'reductions data'!G:G,'reasons for reduction division'!B126,'reductions data'!A:A,$D$79)</f>
        <v>0</v>
      </c>
      <c r="E126" s="62">
        <f>SUMIFS('reductions data'!H:H,'reductions data'!G:G,'reasons for reduction division'!B126,'reductions data'!A:A,$E$79)</f>
        <v>0</v>
      </c>
      <c r="F126" s="62">
        <f>SUMIFS('reductions data'!H:H,'reductions data'!G:G,'reasons for reduction division'!B126,'reductions data'!A:A,$F$79)</f>
        <v>0</v>
      </c>
      <c r="G126" s="62">
        <f>SUMIFS('reductions data'!H:H,'reductions data'!G:G,'reasons for reduction division'!B126,'reductions data'!A:A,$G$79)</f>
        <v>0</v>
      </c>
      <c r="H126" s="62">
        <f>SUMIFS('reductions data'!H:H,'reductions data'!G:G,'reasons for reduction division'!B126,'reductions data'!A:A,$H$79)</f>
        <v>0</v>
      </c>
      <c r="I126" s="62">
        <f>SUMIFS('reductions data'!H:H,'reductions data'!G:G,'reasons for reduction division'!B126,'reductions data'!A:A,$I$79)</f>
        <v>0</v>
      </c>
      <c r="J126" s="62">
        <f>SUMIFS('reductions data'!H:H,'reductions data'!G:G,'reasons for reduction division'!B126,'reductions data'!A:A,$J$79)</f>
        <v>0</v>
      </c>
      <c r="K126" s="62">
        <f>SUMIFS('reductions data'!H:H,'reductions data'!G:G,'reasons for reduction division'!B126,'reductions data'!A:A,$K$79)</f>
        <v>0</v>
      </c>
      <c r="L126" s="62">
        <f>SUMIFS('reductions data'!H:H,'reductions data'!G:G,'reasons for reduction division'!B126,'reductions data'!A:A,$L$79)</f>
        <v>0</v>
      </c>
      <c r="M126" s="62">
        <f>SUMIFS('reductions data'!H:H,'reductions data'!G:G,'reasons for reduction division'!B126,'reductions data'!A:A,$M$79)</f>
        <v>0</v>
      </c>
      <c r="N126" s="62">
        <f>SUMIFS('reductions data'!H:H,'reductions data'!G:G,'reasons for reduction division'!B126,'reductions data'!A:A,$N$79)</f>
        <v>0</v>
      </c>
      <c r="O126" s="105">
        <f>SUMIF('reductions data'!G:G,'reasons for reduction division'!B126,'reductions data'!H:H)</f>
        <v>0</v>
      </c>
    </row>
    <row r="127" spans="2:15" x14ac:dyDescent="0.15">
      <c r="B127" s="113" t="s">
        <v>929</v>
      </c>
      <c r="C127" s="62">
        <f>SUMIFS('reductions data'!H:H,'reductions data'!G:G,'reasons for reduction division'!B127,'reductions data'!A:A,$C$79)</f>
        <v>0</v>
      </c>
      <c r="D127" s="62">
        <f>SUMIFS('reductions data'!H:H,'reductions data'!G:G,'reasons for reduction division'!B127,'reductions data'!A:A,$D$79)</f>
        <v>0</v>
      </c>
      <c r="E127" s="62">
        <f>SUMIFS('reductions data'!H:H,'reductions data'!G:G,'reasons for reduction division'!B127,'reductions data'!A:A,$E$79)</f>
        <v>0</v>
      </c>
      <c r="F127" s="62">
        <f>SUMIFS('reductions data'!H:H,'reductions data'!G:G,'reasons for reduction division'!B127,'reductions data'!A:A,$F$79)</f>
        <v>0</v>
      </c>
      <c r="G127" s="62">
        <f>SUMIFS('reductions data'!H:H,'reductions data'!G:G,'reasons for reduction division'!B127,'reductions data'!A:A,$G$79)</f>
        <v>0</v>
      </c>
      <c r="H127" s="62">
        <f>SUMIFS('reductions data'!H:H,'reductions data'!G:G,'reasons for reduction division'!B127,'reductions data'!A:A,$H$79)</f>
        <v>0</v>
      </c>
      <c r="I127" s="62">
        <f>SUMIFS('reductions data'!H:H,'reductions data'!G:G,'reasons for reduction division'!B127,'reductions data'!A:A,$I$79)</f>
        <v>0</v>
      </c>
      <c r="J127" s="62">
        <f>SUMIFS('reductions data'!H:H,'reductions data'!G:G,'reasons for reduction division'!B127,'reductions data'!A:A,$J$79)</f>
        <v>0</v>
      </c>
      <c r="K127" s="62">
        <f>SUMIFS('reductions data'!H:H,'reductions data'!G:G,'reasons for reduction division'!B127,'reductions data'!A:A,$K$79)</f>
        <v>0</v>
      </c>
      <c r="L127" s="62">
        <f>SUMIFS('reductions data'!H:H,'reductions data'!G:G,'reasons for reduction division'!B127,'reductions data'!A:A,$L$79)</f>
        <v>0</v>
      </c>
      <c r="M127" s="62">
        <f>SUMIFS('reductions data'!H:H,'reductions data'!G:G,'reasons for reduction division'!B127,'reductions data'!A:A,$M$79)</f>
        <v>0</v>
      </c>
      <c r="N127" s="62">
        <f>SUMIFS('reductions data'!H:H,'reductions data'!G:G,'reasons for reduction division'!B127,'reductions data'!A:A,$N$79)</f>
        <v>0</v>
      </c>
      <c r="O127" s="105">
        <f>SUMIF('reductions data'!G:G,'reasons for reduction division'!B127,'reductions data'!H:H)</f>
        <v>0</v>
      </c>
    </row>
    <row r="128" spans="2:15" x14ac:dyDescent="0.15">
      <c r="B128" s="113" t="s">
        <v>930</v>
      </c>
      <c r="C128" s="62">
        <f>SUMIFS('reductions data'!H:H,'reductions data'!G:G,'reasons for reduction division'!B128,'reductions data'!A:A,$C$79)</f>
        <v>0</v>
      </c>
      <c r="D128" s="62">
        <f>SUMIFS('reductions data'!H:H,'reductions data'!G:G,'reasons for reduction division'!B128,'reductions data'!A:A,$D$79)</f>
        <v>0</v>
      </c>
      <c r="E128" s="62">
        <f>SUMIFS('reductions data'!H:H,'reductions data'!G:G,'reasons for reduction division'!B128,'reductions data'!A:A,$E$79)</f>
        <v>0</v>
      </c>
      <c r="F128" s="62">
        <f>SUMIFS('reductions data'!H:H,'reductions data'!G:G,'reasons for reduction division'!B128,'reductions data'!A:A,$F$79)</f>
        <v>0</v>
      </c>
      <c r="G128" s="62">
        <f>SUMIFS('reductions data'!H:H,'reductions data'!G:G,'reasons for reduction division'!B128,'reductions data'!A:A,$G$79)</f>
        <v>0</v>
      </c>
      <c r="H128" s="62">
        <f>SUMIFS('reductions data'!H:H,'reductions data'!G:G,'reasons for reduction division'!B128,'reductions data'!A:A,$H$79)</f>
        <v>0</v>
      </c>
      <c r="I128" s="62">
        <f>SUMIFS('reductions data'!H:H,'reductions data'!G:G,'reasons for reduction division'!B128,'reductions data'!A:A,$I$79)</f>
        <v>0</v>
      </c>
      <c r="J128" s="62">
        <f>SUMIFS('reductions data'!H:H,'reductions data'!G:G,'reasons for reduction division'!B128,'reductions data'!A:A,$J$79)</f>
        <v>0</v>
      </c>
      <c r="K128" s="62">
        <f>SUMIFS('reductions data'!H:H,'reductions data'!G:G,'reasons for reduction division'!B128,'reductions data'!A:A,$K$79)</f>
        <v>0</v>
      </c>
      <c r="L128" s="62">
        <f>SUMIFS('reductions data'!H:H,'reductions data'!G:G,'reasons for reduction division'!B128,'reductions data'!A:A,$L$79)</f>
        <v>0</v>
      </c>
      <c r="M128" s="62">
        <f>SUMIFS('reductions data'!H:H,'reductions data'!G:G,'reasons for reduction division'!B128,'reductions data'!A:A,$M$79)</f>
        <v>0</v>
      </c>
      <c r="N128" s="62">
        <f>SUMIFS('reductions data'!H:H,'reductions data'!G:G,'reasons for reduction division'!B128,'reductions data'!A:A,$N$79)</f>
        <v>0</v>
      </c>
      <c r="O128" s="105">
        <f>SUMIF('reductions data'!G:G,'reasons for reduction division'!B128,'reductions data'!H:H)</f>
        <v>0</v>
      </c>
    </row>
    <row r="129" spans="2:15" x14ac:dyDescent="0.15">
      <c r="B129" s="218" t="s">
        <v>959</v>
      </c>
      <c r="C129" s="173">
        <f>SUMIF('reductions data'!A:A,$C$79,'reductions data'!H:H)</f>
        <v>0</v>
      </c>
      <c r="D129" s="173">
        <f>SUMIF('reductions data'!A:A,$D$79,'reductions data'!H:H)</f>
        <v>0</v>
      </c>
      <c r="E129" s="173">
        <f>SUMIF('reductions data'!A:A,$E$79,'reductions data'!H:H)</f>
        <v>0</v>
      </c>
      <c r="F129" s="173">
        <f>SUMIF('reductions data'!A:A,$F$79,'reductions data'!H:H)</f>
        <v>0</v>
      </c>
      <c r="G129" s="173">
        <f>SUMIF('reductions data'!A:A,$G$79,'reductions data'!H:H)</f>
        <v>0</v>
      </c>
      <c r="H129" s="173">
        <f>SUMIF('reductions data'!A:A,$H$79,'reductions data'!H:H)</f>
        <v>0</v>
      </c>
      <c r="I129" s="173">
        <f>SUMIF('reductions data'!A:A,$I$79,'reductions data'!H:H)</f>
        <v>0</v>
      </c>
      <c r="J129" s="173">
        <f>SUMIF('reductions data'!A:A,$J$79,'reductions data'!H:H)</f>
        <v>0</v>
      </c>
      <c r="K129" s="173">
        <f>SUMIF('reductions data'!A:A,$K$79,'reductions data'!H:H)</f>
        <v>0</v>
      </c>
      <c r="L129" s="173">
        <f>SUMIF('reductions data'!A:A,$L$79,'reductions data'!H:H)</f>
        <v>0</v>
      </c>
      <c r="M129" s="173">
        <f>SUMIF('reductions data'!A:A,$M$79,'reductions data'!H:H)</f>
        <v>0</v>
      </c>
      <c r="N129" s="173">
        <f>SUMIF('reductions data'!$A:$A,N79,'reductions data'!$H:$H)</f>
        <v>0</v>
      </c>
      <c r="O129" s="183">
        <f>SUM('reductions data'!H:H)</f>
        <v>0</v>
      </c>
    </row>
    <row r="130" spans="2:15" x14ac:dyDescent="0.15">
      <c r="B130" s="173" t="s">
        <v>1182</v>
      </c>
      <c r="C130" s="173">
        <f>SUMIF('capacity data'!A:A,$C$79,'capacity data'!I:I)</f>
        <v>0</v>
      </c>
      <c r="D130" s="173">
        <f>SUMIF('capacity data'!A:A,$D$79,'capacity data'!I:I)</f>
        <v>0</v>
      </c>
      <c r="E130" s="173">
        <f>SUMIF('capacity data'!A:A,$E$79,'capacity data'!I:I)</f>
        <v>0</v>
      </c>
      <c r="F130" s="173">
        <f>SUMIF('capacity data'!A:A,$F$79,'capacity data'!I:I)</f>
        <v>0</v>
      </c>
      <c r="G130" s="173">
        <f>SUMIF('capacity data'!A:A,$G$79,'capacity data'!I:I)</f>
        <v>0</v>
      </c>
      <c r="H130" s="173">
        <f>SUMIF('capacity data'!A:A,$H$79,'capacity data'!I:I)</f>
        <v>0</v>
      </c>
      <c r="I130" s="173">
        <f>SUMIF('capacity data'!A:A,$I$79,'capacity data'!I:I)</f>
        <v>0</v>
      </c>
      <c r="J130" s="173">
        <f>SUMIF('capacity data'!A:A,$J$79,'capacity data'!I:I)</f>
        <v>0</v>
      </c>
      <c r="K130" s="173">
        <f>SUMIF('capacity data'!A:A,$K$79,'capacity data'!I:I)</f>
        <v>0</v>
      </c>
      <c r="L130" s="173">
        <f>SUMIF('capacity data'!A:A,$L$79,'capacity data'!I:I)</f>
        <v>0</v>
      </c>
      <c r="M130" s="173">
        <f>SUMIF('capacity data'!$A:$A,M$79,'capacity data'!$I:$I)</f>
        <v>0</v>
      </c>
      <c r="N130" s="173">
        <f>SUMIF('capacity data'!$A:$A,N$79,'capacity data'!$I:$I)</f>
        <v>0</v>
      </c>
      <c r="O130" s="173">
        <f>SUM(C130:N130)</f>
        <v>0</v>
      </c>
    </row>
    <row r="131" spans="2:15" x14ac:dyDescent="0.15">
      <c r="B131" s="217" t="s">
        <v>1183</v>
      </c>
      <c r="C131" s="184" t="e">
        <f t="shared" ref="C131:O131" si="0">C129/C130</f>
        <v>#DIV/0!</v>
      </c>
      <c r="D131" s="184" t="e">
        <f t="shared" si="0"/>
        <v>#DIV/0!</v>
      </c>
      <c r="E131" s="184" t="e">
        <f t="shared" si="0"/>
        <v>#DIV/0!</v>
      </c>
      <c r="F131" s="184" t="e">
        <f t="shared" si="0"/>
        <v>#DIV/0!</v>
      </c>
      <c r="G131" s="184" t="e">
        <f t="shared" si="0"/>
        <v>#DIV/0!</v>
      </c>
      <c r="H131" s="184" t="e">
        <f t="shared" si="0"/>
        <v>#DIV/0!</v>
      </c>
      <c r="I131" s="184" t="e">
        <f t="shared" si="0"/>
        <v>#DIV/0!</v>
      </c>
      <c r="J131" s="184" t="e">
        <f t="shared" si="0"/>
        <v>#DIV/0!</v>
      </c>
      <c r="K131" s="184" t="e">
        <f t="shared" si="0"/>
        <v>#DIV/0!</v>
      </c>
      <c r="L131" s="184" t="e">
        <f t="shared" si="0"/>
        <v>#DIV/0!</v>
      </c>
      <c r="M131" s="184" t="e">
        <f t="shared" si="0"/>
        <v>#DIV/0!</v>
      </c>
      <c r="N131" s="184" t="e">
        <f t="shared" si="0"/>
        <v>#DIV/0!</v>
      </c>
      <c r="O131" s="184" t="e">
        <f t="shared" si="0"/>
        <v>#DIV/0!</v>
      </c>
    </row>
  </sheetData>
  <sortState xmlns:xlrd2="http://schemas.microsoft.com/office/spreadsheetml/2017/richdata2" ref="B81:O128">
    <sortCondition ref="B80"/>
  </sortState>
  <mergeCells count="27">
    <mergeCell ref="C78:O78"/>
    <mergeCell ref="C24:O24"/>
    <mergeCell ref="B4:C5"/>
    <mergeCell ref="E22:F22"/>
    <mergeCell ref="E6:F6"/>
    <mergeCell ref="E7:F7"/>
    <mergeCell ref="E8:F8"/>
    <mergeCell ref="E9:F9"/>
    <mergeCell ref="E10:F10"/>
    <mergeCell ref="E11:F11"/>
    <mergeCell ref="E12:F12"/>
    <mergeCell ref="H4:H5"/>
    <mergeCell ref="G21:H21"/>
    <mergeCell ref="G22:H22"/>
    <mergeCell ref="E21:F21"/>
    <mergeCell ref="E4:G5"/>
    <mergeCell ref="A1:G1"/>
    <mergeCell ref="H1:N1"/>
    <mergeCell ref="E18:F18"/>
    <mergeCell ref="E19:F19"/>
    <mergeCell ref="E20:F20"/>
    <mergeCell ref="A2:O2"/>
    <mergeCell ref="E13:F13"/>
    <mergeCell ref="E14:F14"/>
    <mergeCell ref="E15:F15"/>
    <mergeCell ref="E16:F16"/>
    <mergeCell ref="E17:F17"/>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2"/>
  <dimension ref="A1:Q58"/>
  <sheetViews>
    <sheetView showGridLines="0" topLeftCell="A25" zoomScale="85" zoomScaleNormal="85" workbookViewId="0">
      <selection activeCell="B50" sqref="B50"/>
    </sheetView>
  </sheetViews>
  <sheetFormatPr baseColWidth="10" defaultColWidth="8.83203125" defaultRowHeight="14" x14ac:dyDescent="0.15"/>
  <cols>
    <col min="1" max="1" width="49.6640625" customWidth="1"/>
    <col min="2" max="3" width="25.5" customWidth="1"/>
    <col min="4" max="4" width="9.1640625" customWidth="1"/>
    <col min="5" max="5" width="48.5" bestFit="1" customWidth="1"/>
    <col min="6" max="6" width="15.1640625" customWidth="1"/>
    <col min="7" max="7" width="16.83203125" customWidth="1"/>
  </cols>
  <sheetData>
    <row r="1" spans="1:17" ht="68.25" customHeight="1" x14ac:dyDescent="0.15">
      <c r="A1" s="533" t="s">
        <v>1184</v>
      </c>
      <c r="B1" s="533"/>
      <c r="C1" s="533"/>
      <c r="D1" s="533"/>
      <c r="E1" s="533"/>
      <c r="F1" s="533"/>
      <c r="G1" s="261"/>
      <c r="H1" s="261"/>
      <c r="I1" s="261"/>
      <c r="J1" s="261"/>
      <c r="K1" s="261"/>
      <c r="L1" s="261"/>
      <c r="M1" s="261"/>
      <c r="N1" s="261"/>
      <c r="O1" s="261"/>
      <c r="P1" s="261"/>
      <c r="Q1" s="261"/>
    </row>
    <row r="2" spans="1:17" ht="38.25" customHeight="1" x14ac:dyDescent="0.15">
      <c r="A2" s="426"/>
      <c r="B2" s="426"/>
      <c r="C2" s="426"/>
      <c r="D2" s="426"/>
      <c r="E2" s="426"/>
      <c r="F2" s="426"/>
      <c r="G2" s="270"/>
      <c r="H2" s="270"/>
      <c r="I2" s="270"/>
      <c r="J2" s="270"/>
      <c r="K2" s="270"/>
      <c r="L2" s="270"/>
      <c r="M2" s="270"/>
      <c r="N2" s="270"/>
      <c r="O2" s="270"/>
      <c r="P2" s="270"/>
      <c r="Q2" s="270"/>
    </row>
    <row r="4" spans="1:17" ht="30" x14ac:dyDescent="0.15">
      <c r="A4" s="36" t="s">
        <v>1040</v>
      </c>
    </row>
    <row r="5" spans="1:17" ht="21" customHeight="1" x14ac:dyDescent="0.15">
      <c r="A5" s="242" t="s">
        <v>21</v>
      </c>
    </row>
    <row r="6" spans="1:17" ht="36.75" customHeight="1" x14ac:dyDescent="0.2">
      <c r="A6" s="292" t="s">
        <v>238</v>
      </c>
      <c r="B6" s="42"/>
      <c r="C6" s="42"/>
    </row>
    <row r="8" spans="1:17" ht="29.25" customHeight="1" x14ac:dyDescent="0.2">
      <c r="A8" s="423" t="s">
        <v>1050</v>
      </c>
      <c r="B8" s="587"/>
      <c r="C8" s="587"/>
    </row>
    <row r="9" spans="1:17" ht="30" x14ac:dyDescent="0.15">
      <c r="A9" s="220" t="s">
        <v>1052</v>
      </c>
      <c r="B9" s="37" t="s">
        <v>1053</v>
      </c>
      <c r="C9" s="37" t="s">
        <v>1054</v>
      </c>
      <c r="E9" s="588" t="s">
        <v>1051</v>
      </c>
      <c r="F9" s="588"/>
    </row>
    <row r="10" spans="1:17" x14ac:dyDescent="0.15">
      <c r="A10" s="112" t="s">
        <v>892</v>
      </c>
      <c r="B10" s="89">
        <f>COUNTIFS('reductions data'!B:B,$A$6,'reductions data'!G:G,A10)</f>
        <v>0</v>
      </c>
      <c r="C10" s="90">
        <f>SUMIFS('reductions data'!H:H,'reductions data'!B:B,$A$6,'reductions data'!G:G,A10)</f>
        <v>0</v>
      </c>
      <c r="E10" s="185" t="s">
        <v>1185</v>
      </c>
      <c r="F10" s="214">
        <f>COUNTIFS('reductions data'!B:B,'cluster reductions'!A6,'reductions data'!K:K,"ACTIVE")</f>
        <v>0</v>
      </c>
    </row>
    <row r="11" spans="1:17" x14ac:dyDescent="0.15">
      <c r="A11" s="113" t="s">
        <v>894</v>
      </c>
      <c r="B11" s="89">
        <f>COUNTIFS('reductions data'!B:B,$A$6,'reductions data'!G:G,A11)</f>
        <v>0</v>
      </c>
      <c r="C11" s="90">
        <f>SUMIFS('reductions data'!H:H,'reductions data'!B:B,$A$6,'reductions data'!G:G,A11)</f>
        <v>0</v>
      </c>
      <c r="E11" s="185" t="s">
        <v>1186</v>
      </c>
      <c r="F11" s="214">
        <f>SUMIF('reductions data'!B:B,'cluster reductions'!A6,'reductions data'!H:H)</f>
        <v>0</v>
      </c>
    </row>
    <row r="12" spans="1:17" x14ac:dyDescent="0.15">
      <c r="A12" s="113" t="s">
        <v>893</v>
      </c>
      <c r="B12" s="89">
        <f>COUNTIFS('reductions data'!B:B,$A$6,'reductions data'!G:G,A12)</f>
        <v>0</v>
      </c>
      <c r="C12" s="90">
        <f>SUMIFS('reductions data'!H:H,'reductions data'!B:B,$A$6,'reductions data'!G:G,A12)</f>
        <v>0</v>
      </c>
      <c r="E12" s="72" t="s">
        <v>1187</v>
      </c>
      <c r="F12" s="214">
        <f>SUMIF('capacity data'!B:B,'cluster reductions'!A6,'capacity data'!I:I)</f>
        <v>0</v>
      </c>
    </row>
    <row r="13" spans="1:17" x14ac:dyDescent="0.15">
      <c r="A13" s="113" t="s">
        <v>895</v>
      </c>
      <c r="B13" s="89">
        <f>COUNTIFS('reductions data'!B:B,$A$6,'reductions data'!G:G,A13)</f>
        <v>0</v>
      </c>
      <c r="C13" s="90">
        <f>SUMIFS('reductions data'!H:H,'reductions data'!B:B,$A$6,'reductions data'!G:G,A13)</f>
        <v>0</v>
      </c>
      <c r="E13" s="72" t="s">
        <v>1188</v>
      </c>
      <c r="F13" s="92" t="e">
        <f>F11/F12</f>
        <v>#DIV/0!</v>
      </c>
    </row>
    <row r="14" spans="1:17" x14ac:dyDescent="0.15">
      <c r="A14" s="113" t="s">
        <v>896</v>
      </c>
      <c r="B14" s="89">
        <f>COUNTIFS('reductions data'!B:B,$A$6,'reductions data'!G:G,A14)</f>
        <v>0</v>
      </c>
      <c r="C14" s="90">
        <f>SUMIFS('reductions data'!H:H,'reductions data'!B:B,$A$6,'reductions data'!G:G,A14)</f>
        <v>0</v>
      </c>
      <c r="E14" s="186" t="s">
        <v>988</v>
      </c>
      <c r="F14" s="211" t="e">
        <f>+F13-'div &amp; regional reduction hours'!N18</f>
        <v>#DIV/0!</v>
      </c>
    </row>
    <row r="15" spans="1:17" x14ac:dyDescent="0.15">
      <c r="A15" s="113" t="s">
        <v>897</v>
      </c>
      <c r="B15" s="89">
        <f>COUNTIFS('reductions data'!B:B,$A$6,'reductions data'!G:G,A15)</f>
        <v>0</v>
      </c>
      <c r="C15" s="90">
        <f>SUMIFS('reductions data'!H:H,'reductions data'!B:B,$A$6,'reductions data'!G:G,A15)</f>
        <v>0</v>
      </c>
    </row>
    <row r="16" spans="1:17" x14ac:dyDescent="0.15">
      <c r="A16" s="113" t="s">
        <v>898</v>
      </c>
      <c r="B16" s="89">
        <f>COUNTIFS('reductions data'!B:B,$A$6,'reductions data'!G:G,A16)</f>
        <v>0</v>
      </c>
      <c r="C16" s="90">
        <f>SUMIFS('reductions data'!H:H,'reductions data'!B:B,$A$6,'reductions data'!G:G,A16)</f>
        <v>0</v>
      </c>
    </row>
    <row r="17" spans="1:3" x14ac:dyDescent="0.15">
      <c r="A17" s="113" t="s">
        <v>1257</v>
      </c>
      <c r="B17" s="89">
        <f>COUNTIFS('reductions data'!B:B,$A$6,'reductions data'!G:G,A17)</f>
        <v>0</v>
      </c>
      <c r="C17" s="90">
        <f>SUMIFS('reductions data'!H:H,'reductions data'!B:B,$A$6,'reductions data'!G:G,A17)</f>
        <v>0</v>
      </c>
    </row>
    <row r="18" spans="1:3" x14ac:dyDescent="0.15">
      <c r="A18" s="113" t="s">
        <v>899</v>
      </c>
      <c r="B18" s="89">
        <f>COUNTIFS('reductions data'!B:B,$A$6,'reductions data'!G:G,A18)</f>
        <v>0</v>
      </c>
      <c r="C18" s="90">
        <f>SUMIFS('reductions data'!H:H,'reductions data'!B:B,$A$6,'reductions data'!G:G,A18)</f>
        <v>0</v>
      </c>
    </row>
    <row r="19" spans="1:3" x14ac:dyDescent="0.15">
      <c r="A19" s="113" t="s">
        <v>900</v>
      </c>
      <c r="B19" s="89">
        <f>COUNTIFS('reductions data'!B:B,$A$6,'reductions data'!G:G,A19)</f>
        <v>0</v>
      </c>
      <c r="C19" s="90">
        <f>SUMIFS('reductions data'!H:H,'reductions data'!B:B,$A$6,'reductions data'!G:G,A19)</f>
        <v>0</v>
      </c>
    </row>
    <row r="20" spans="1:3" x14ac:dyDescent="0.15">
      <c r="A20" s="113" t="s">
        <v>901</v>
      </c>
      <c r="B20" s="89">
        <f>COUNTIFS('reductions data'!B:B,$A$6,'reductions data'!G:G,A20)</f>
        <v>0</v>
      </c>
      <c r="C20" s="90">
        <f>SUMIFS('reductions data'!H:H,'reductions data'!B:B,$A$6,'reductions data'!G:G,A20)</f>
        <v>0</v>
      </c>
    </row>
    <row r="21" spans="1:3" x14ac:dyDescent="0.15">
      <c r="A21" s="113" t="s">
        <v>902</v>
      </c>
      <c r="B21" s="89">
        <f>COUNTIFS('reductions data'!B:B,$A$6,'reductions data'!G:G,A21)</f>
        <v>0</v>
      </c>
      <c r="C21" s="90">
        <f>SUMIFS('reductions data'!H:H,'reductions data'!B:B,$A$6,'reductions data'!G:G,A21)</f>
        <v>0</v>
      </c>
    </row>
    <row r="22" spans="1:3" x14ac:dyDescent="0.15">
      <c r="A22" s="113" t="s">
        <v>903</v>
      </c>
      <c r="B22" s="89">
        <f>COUNTIFS('reductions data'!B:B,$A$6,'reductions data'!G:G,A22)</f>
        <v>0</v>
      </c>
      <c r="C22" s="90">
        <f>SUMIFS('reductions data'!H:H,'reductions data'!B:B,$A$6,'reductions data'!G:G,A22)</f>
        <v>0</v>
      </c>
    </row>
    <row r="23" spans="1:3" x14ac:dyDescent="0.15">
      <c r="A23" s="113" t="s">
        <v>905</v>
      </c>
      <c r="B23" s="89">
        <f>COUNTIFS('reductions data'!B:B,$A$6,'reductions data'!G:G,A23)</f>
        <v>0</v>
      </c>
      <c r="C23" s="90">
        <f>SUMIFS('reductions data'!H:H,'reductions data'!B:B,$A$6,'reductions data'!G:G,A23)</f>
        <v>0</v>
      </c>
    </row>
    <row r="24" spans="1:3" x14ac:dyDescent="0.15">
      <c r="A24" s="113" t="s">
        <v>908</v>
      </c>
      <c r="B24" s="89">
        <f>COUNTIFS('reductions data'!B:B,$A$6,'reductions data'!G:G,A24)</f>
        <v>0</v>
      </c>
      <c r="C24" s="90">
        <f>SUMIFS('reductions data'!H:H,'reductions data'!B:B,$A$6,'reductions data'!G:G,A24)</f>
        <v>0</v>
      </c>
    </row>
    <row r="25" spans="1:3" x14ac:dyDescent="0.15">
      <c r="A25" s="113" t="s">
        <v>904</v>
      </c>
      <c r="B25" s="89">
        <f>COUNTIFS('reductions data'!B:B,$A$6,'reductions data'!G:G,A25)</f>
        <v>0</v>
      </c>
      <c r="C25" s="90">
        <f>SUMIFS('reductions data'!H:H,'reductions data'!B:B,$A$6,'reductions data'!G:G,A25)</f>
        <v>0</v>
      </c>
    </row>
    <row r="26" spans="1:3" x14ac:dyDescent="0.15">
      <c r="A26" s="113" t="s">
        <v>989</v>
      </c>
      <c r="B26" s="89">
        <f>COUNTIFS('reductions data'!B:B,$A$6,'reductions data'!G:G,A26)</f>
        <v>0</v>
      </c>
      <c r="C26" s="90">
        <f>SUMIFS('reductions data'!H:H,'reductions data'!B:B,$A$6,'reductions data'!G:G,A26)</f>
        <v>0</v>
      </c>
    </row>
    <row r="27" spans="1:3" x14ac:dyDescent="0.15">
      <c r="A27" s="113" t="s">
        <v>909</v>
      </c>
      <c r="B27" s="89">
        <f>COUNTIFS('reductions data'!B:B,$A$6,'reductions data'!G:G,A27)</f>
        <v>0</v>
      </c>
      <c r="C27" s="90">
        <f>SUMIFS('reductions data'!H:H,'reductions data'!B:B,$A$6,'reductions data'!G:G,A27)</f>
        <v>0</v>
      </c>
    </row>
    <row r="28" spans="1:3" x14ac:dyDescent="0.15">
      <c r="A28" s="113" t="s">
        <v>910</v>
      </c>
      <c r="B28" s="89">
        <f>COUNTIFS('reductions data'!B:B,$A$6,'reductions data'!G:G,A28)</f>
        <v>0</v>
      </c>
      <c r="C28" s="90">
        <f>SUMIFS('reductions data'!H:H,'reductions data'!B:B,$A$6,'reductions data'!G:G,A28)</f>
        <v>0</v>
      </c>
    </row>
    <row r="29" spans="1:3" x14ac:dyDescent="0.15">
      <c r="A29" s="113" t="s">
        <v>911</v>
      </c>
      <c r="B29" s="89">
        <f>COUNTIFS('reductions data'!B:B,$A$6,'reductions data'!G:G,A29)</f>
        <v>0</v>
      </c>
      <c r="C29" s="90">
        <f>SUMIFS('reductions data'!H:H,'reductions data'!B:B,$A$6,'reductions data'!G:G,A29)</f>
        <v>0</v>
      </c>
    </row>
    <row r="30" spans="1:3" x14ac:dyDescent="0.15">
      <c r="A30" s="113" t="s">
        <v>912</v>
      </c>
      <c r="B30" s="89">
        <f>COUNTIFS('reductions data'!B:B,$A$6,'reductions data'!G:G,A30)</f>
        <v>0</v>
      </c>
      <c r="C30" s="90">
        <f>SUMIFS('reductions data'!H:H,'reductions data'!B:B,$A$6,'reductions data'!G:G,A30)</f>
        <v>0</v>
      </c>
    </row>
    <row r="31" spans="1:3" x14ac:dyDescent="0.15">
      <c r="A31" s="113" t="s">
        <v>913</v>
      </c>
      <c r="B31" s="89">
        <f>COUNTIFS('reductions data'!B:B,$A$6,'reductions data'!G:G,A31)</f>
        <v>0</v>
      </c>
      <c r="C31" s="90">
        <f>SUMIFS('reductions data'!H:H,'reductions data'!B:B,$A$6,'reductions data'!G:G,A31)</f>
        <v>0</v>
      </c>
    </row>
    <row r="32" spans="1:3" x14ac:dyDescent="0.15">
      <c r="A32" s="113" t="s">
        <v>914</v>
      </c>
      <c r="B32" s="89">
        <f>COUNTIFS('reductions data'!B:B,$A$6,'reductions data'!G:G,A32)</f>
        <v>0</v>
      </c>
      <c r="C32" s="90">
        <f>SUMIFS('reductions data'!H:H,'reductions data'!B:B,$A$6,'reductions data'!G:G,A32)</f>
        <v>0</v>
      </c>
    </row>
    <row r="33" spans="1:3" x14ac:dyDescent="0.15">
      <c r="A33" s="113" t="s">
        <v>915</v>
      </c>
      <c r="B33" s="89">
        <f>COUNTIFS('reductions data'!B:B,$A$6,'reductions data'!G:G,A33)</f>
        <v>0</v>
      </c>
      <c r="C33" s="90">
        <f>SUMIFS('reductions data'!H:H,'reductions data'!B:B,$A$6,'reductions data'!G:G,A33)</f>
        <v>0</v>
      </c>
    </row>
    <row r="34" spans="1:3" x14ac:dyDescent="0.15">
      <c r="A34" s="113" t="s">
        <v>1250</v>
      </c>
      <c r="B34" s="89">
        <f>COUNTIFS('reductions data'!B:B,$A$6,'reductions data'!G:G,A34)</f>
        <v>0</v>
      </c>
      <c r="C34" s="90">
        <f>SUMIFS('reductions data'!H:H,'reductions data'!B:B,$A$6,'reductions data'!G:G,A34)</f>
        <v>0</v>
      </c>
    </row>
    <row r="35" spans="1:3" x14ac:dyDescent="0.15">
      <c r="A35" s="113" t="s">
        <v>1251</v>
      </c>
      <c r="B35" s="89">
        <f>COUNTIFS('reductions data'!B:B,$A$6,'reductions data'!G:G,A35)</f>
        <v>0</v>
      </c>
      <c r="C35" s="90">
        <f>SUMIFS('reductions data'!H:H,'reductions data'!B:B,$A$6,'reductions data'!G:G,A35)</f>
        <v>0</v>
      </c>
    </row>
    <row r="36" spans="1:3" x14ac:dyDescent="0.15">
      <c r="A36" s="322" t="s">
        <v>1248</v>
      </c>
      <c r="B36" s="89">
        <f>COUNTIFS('reductions data'!B:B,$A$6,'reductions data'!G:G,A36)</f>
        <v>0</v>
      </c>
      <c r="C36" s="90">
        <f>SUMIFS('reductions data'!H:H,'reductions data'!B:B,$A$6,'reductions data'!G:G,A36)</f>
        <v>0</v>
      </c>
    </row>
    <row r="37" spans="1:3" x14ac:dyDescent="0.15">
      <c r="A37" s="322" t="s">
        <v>1249</v>
      </c>
      <c r="B37" s="89">
        <f>COUNTIFS('reductions data'!B:B,$A$6,'reductions data'!G:G,A37)</f>
        <v>0</v>
      </c>
      <c r="C37" s="90">
        <f>SUMIFS('reductions data'!H:H,'reductions data'!B:B,$A$6,'reductions data'!G:G,A37)</f>
        <v>0</v>
      </c>
    </row>
    <row r="38" spans="1:3" x14ac:dyDescent="0.15">
      <c r="A38" s="322" t="s">
        <v>1258</v>
      </c>
      <c r="B38" s="89">
        <f>COUNTIFS('reductions data'!B:B,$A$6,'reductions data'!G:G,A38)</f>
        <v>0</v>
      </c>
      <c r="C38" s="90">
        <f>SUMIFS('reductions data'!H:H,'reductions data'!B:B,$A$6,'reductions data'!G:G,A38)</f>
        <v>0</v>
      </c>
    </row>
    <row r="39" spans="1:3" x14ac:dyDescent="0.15">
      <c r="A39" s="112" t="s">
        <v>1252</v>
      </c>
      <c r="B39" s="89">
        <f>COUNTIFS('reductions data'!B:B,$A$6,'reductions data'!G:G,A39)</f>
        <v>0</v>
      </c>
      <c r="C39" s="90">
        <f>SUMIFS('reductions data'!H:H,'reductions data'!B:B,$A$6,'reductions data'!G:G,A39)</f>
        <v>0</v>
      </c>
    </row>
    <row r="40" spans="1:3" x14ac:dyDescent="0.15">
      <c r="A40" s="113" t="s">
        <v>1253</v>
      </c>
      <c r="B40" s="89">
        <f>COUNTIFS('reductions data'!B:B,$A$6,'reductions data'!G:G,A40)</f>
        <v>0</v>
      </c>
      <c r="C40" s="90">
        <f>SUMIFS('reductions data'!H:H,'reductions data'!B:B,$A$6,'reductions data'!G:G,A40)</f>
        <v>0</v>
      </c>
    </row>
    <row r="41" spans="1:3" x14ac:dyDescent="0.15">
      <c r="A41" s="113" t="s">
        <v>917</v>
      </c>
      <c r="B41" s="89">
        <f>COUNTIFS('reductions data'!B:B,$A$6,'reductions data'!G:G,A41)</f>
        <v>0</v>
      </c>
      <c r="C41" s="90">
        <f>SUMIFS('reductions data'!H:H,'reductions data'!B:B,$A$6,'reductions data'!G:G,A41)</f>
        <v>0</v>
      </c>
    </row>
    <row r="42" spans="1:3" x14ac:dyDescent="0.15">
      <c r="A42" s="113" t="s">
        <v>918</v>
      </c>
      <c r="B42" s="89">
        <f>COUNTIFS('reductions data'!B:B,$A$6,'reductions data'!G:G,A42)</f>
        <v>0</v>
      </c>
      <c r="C42" s="90">
        <f>SUMIFS('reductions data'!H:H,'reductions data'!B:B,$A$6,'reductions data'!G:G,A42)</f>
        <v>0</v>
      </c>
    </row>
    <row r="43" spans="1:3" x14ac:dyDescent="0.15">
      <c r="A43" s="113" t="s">
        <v>919</v>
      </c>
      <c r="B43" s="89">
        <f>COUNTIFS('reductions data'!B:B,$A$6,'reductions data'!G:G,A43)</f>
        <v>0</v>
      </c>
      <c r="C43" s="90">
        <f>SUMIFS('reductions data'!H:H,'reductions data'!B:B,$A$6,'reductions data'!G:G,A43)</f>
        <v>0</v>
      </c>
    </row>
    <row r="44" spans="1:3" x14ac:dyDescent="0.15">
      <c r="A44" s="322" t="s">
        <v>1254</v>
      </c>
      <c r="B44" s="89">
        <f>COUNTIFS('reductions data'!B:B,$A$6,'reductions data'!G:G,A44)</f>
        <v>0</v>
      </c>
      <c r="C44" s="90">
        <f>SUMIFS('reductions data'!H:H,'reductions data'!B:B,$A$6,'reductions data'!G:G,A44)</f>
        <v>0</v>
      </c>
    </row>
    <row r="45" spans="1:3" x14ac:dyDescent="0.15">
      <c r="A45" s="322" t="s">
        <v>1255</v>
      </c>
      <c r="B45" s="89">
        <f>COUNTIFS('reductions data'!B:B,$A$6,'reductions data'!G:G,A45)</f>
        <v>0</v>
      </c>
      <c r="C45" s="90">
        <f>SUMIFS('reductions data'!H:H,'reductions data'!B:B,$A$6,'reductions data'!G:G,A45)</f>
        <v>0</v>
      </c>
    </row>
    <row r="46" spans="1:3" x14ac:dyDescent="0.15">
      <c r="A46" s="322" t="s">
        <v>1259</v>
      </c>
      <c r="B46" s="78">
        <f>COUNTIFS('reductions data'!B:B,$A$6,'reductions data'!G:G,A46)</f>
        <v>0</v>
      </c>
      <c r="C46" s="214">
        <f>SUMIFS('reductions data'!H:H,'reductions data'!B:B,$A$6,'reductions data'!G:G,A46)</f>
        <v>0</v>
      </c>
    </row>
    <row r="47" spans="1:3" x14ac:dyDescent="0.15">
      <c r="A47" s="113" t="s">
        <v>920</v>
      </c>
      <c r="B47" s="78">
        <f>COUNTIFS('reductions data'!B:B,$A$6,'reductions data'!G:G,A47)</f>
        <v>0</v>
      </c>
      <c r="C47" s="395">
        <f>SUMIFS('reductions data'!H:H,'reductions data'!B:B,$A$6,'reductions data'!G:G,A47)</f>
        <v>0</v>
      </c>
    </row>
    <row r="48" spans="1:3" x14ac:dyDescent="0.15">
      <c r="A48" s="113" t="s">
        <v>921</v>
      </c>
      <c r="B48" s="78">
        <f>COUNTIFS('reductions data'!B:B,$A$6,'reductions data'!G:G,A48)</f>
        <v>0</v>
      </c>
      <c r="C48" s="395">
        <f>SUMIFS('reductions data'!H:H,'reductions data'!B:B,$A$6,'reductions data'!G:G,A48)</f>
        <v>0</v>
      </c>
    </row>
    <row r="49" spans="1:3" x14ac:dyDescent="0.15">
      <c r="A49" s="113" t="s">
        <v>922</v>
      </c>
      <c r="B49" s="326">
        <f>COUNTIFS('reductions data'!B:B,$A$6,'reductions data'!G:G,A49)</f>
        <v>0</v>
      </c>
      <c r="C49" s="214">
        <f>SUMIFS('reductions data'!H:H,'reductions data'!B:B,$A$6,'reductions data'!G:G,A49)</f>
        <v>0</v>
      </c>
    </row>
    <row r="50" spans="1:3" x14ac:dyDescent="0.15">
      <c r="A50" s="113" t="s">
        <v>916</v>
      </c>
      <c r="B50" s="326">
        <f>COUNTIFS('reductions data'!B:B,$A$6,'reductions data'!G:G,A50)</f>
        <v>0</v>
      </c>
      <c r="C50" s="214">
        <f>SUMIFS('reductions data'!H:H,'reductions data'!B:B,$A$6,'reductions data'!G:G,A50)</f>
        <v>0</v>
      </c>
    </row>
    <row r="51" spans="1:3" x14ac:dyDescent="0.15">
      <c r="A51" s="113" t="s">
        <v>923</v>
      </c>
      <c r="B51" s="326">
        <f>COUNTIFS('reductions data'!B:B,$A$6,'reductions data'!G:G,A51)</f>
        <v>0</v>
      </c>
      <c r="C51" s="214">
        <f>SUMIFS('reductions data'!H:H,'reductions data'!B:B,$A$6,'reductions data'!G:G,A51)</f>
        <v>0</v>
      </c>
    </row>
    <row r="52" spans="1:3" x14ac:dyDescent="0.15">
      <c r="A52" s="112" t="s">
        <v>924</v>
      </c>
      <c r="B52" s="78">
        <f>COUNTIFS('reductions data'!B:B,$A$6,'reductions data'!G:G,A52)</f>
        <v>0</v>
      </c>
      <c r="C52" s="214">
        <f>SUMIFS('reductions data'!H:H,'reductions data'!B:B,$A$6,'reductions data'!G:G,A52)</f>
        <v>0</v>
      </c>
    </row>
    <row r="53" spans="1:3" x14ac:dyDescent="0.15">
      <c r="A53" s="113" t="s">
        <v>925</v>
      </c>
      <c r="B53" s="78">
        <f>COUNTIFS('reductions data'!B:B,$A$6,'reductions data'!G:G,A53)</f>
        <v>0</v>
      </c>
      <c r="C53" s="314">
        <f>SUMIFS('reductions data'!H:H,'reductions data'!B:B,$A$6,'reductions data'!G:G,A53)</f>
        <v>0</v>
      </c>
    </row>
    <row r="54" spans="1:3" x14ac:dyDescent="0.15">
      <c r="A54" s="113" t="s">
        <v>926</v>
      </c>
      <c r="B54" s="78">
        <f>COUNTIFS('reductions data'!B:B,$A$6,'reductions data'!G:G,A54)</f>
        <v>0</v>
      </c>
      <c r="C54" s="314">
        <f>SUMIFS('reductions data'!H:H,'reductions data'!B:B,$A$6,'reductions data'!G:G,A54)</f>
        <v>0</v>
      </c>
    </row>
    <row r="55" spans="1:3" x14ac:dyDescent="0.15">
      <c r="A55" s="113" t="s">
        <v>927</v>
      </c>
      <c r="B55" s="78">
        <f>COUNTIFS('reductions data'!B:B,$A$6,'reductions data'!G:G,A55)</f>
        <v>0</v>
      </c>
      <c r="C55" s="314">
        <f>SUMIFS('reductions data'!H:H,'reductions data'!B:B,$A$6,'reductions data'!G:G,A55)</f>
        <v>0</v>
      </c>
    </row>
    <row r="56" spans="1:3" x14ac:dyDescent="0.15">
      <c r="A56" s="113" t="s">
        <v>928</v>
      </c>
      <c r="B56" s="78">
        <f>COUNTIFS('reductions data'!B:B,$A$6,'reductions data'!G:G,A56)</f>
        <v>0</v>
      </c>
      <c r="C56" s="214">
        <f>SUMIFS('reductions data'!H:H,'reductions data'!B:B,$A$6,'reductions data'!G:G,A56)</f>
        <v>0</v>
      </c>
    </row>
    <row r="57" spans="1:3" x14ac:dyDescent="0.15">
      <c r="A57" s="113" t="s">
        <v>929</v>
      </c>
      <c r="B57" s="78">
        <f>COUNTIFS('reductions data'!B:B,$A$6,'reductions data'!G:G,A57)</f>
        <v>0</v>
      </c>
      <c r="C57" s="214">
        <f>SUMIFS('reductions data'!H:H,'reductions data'!B:B,$A$6,'reductions data'!G:G,A57)</f>
        <v>0</v>
      </c>
    </row>
    <row r="58" spans="1:3" x14ac:dyDescent="0.15">
      <c r="A58" s="113" t="s">
        <v>930</v>
      </c>
      <c r="B58" s="78">
        <f>COUNTIFS('reductions data'!B:B,$A$6,'reductions data'!G:G,A58)</f>
        <v>0</v>
      </c>
      <c r="C58" s="214">
        <f>SUMIFS('reductions data'!H:H,'reductions data'!B:B,$A$6,'reductions data'!G:G,A58)</f>
        <v>0</v>
      </c>
    </row>
  </sheetData>
  <sheetProtection autoFilter="0"/>
  <sortState xmlns:xlrd2="http://schemas.microsoft.com/office/spreadsheetml/2017/richdata2" ref="A10:C58">
    <sortCondition ref="A10"/>
  </sortState>
  <mergeCells count="4">
    <mergeCell ref="A8:C8"/>
    <mergeCell ref="E9:F9"/>
    <mergeCell ref="A2:F2"/>
    <mergeCell ref="A1:F1"/>
  </mergeCells>
  <dataValidations count="2">
    <dataValidation type="list" allowBlank="1" showInputMessage="1" showErrorMessage="1" sqref="A5" xr:uid="{A04E6D76-8AF4-4156-8A0D-203732FA2E56}">
      <formula1>Regions</formula1>
    </dataValidation>
    <dataValidation type="list" allowBlank="1" showInputMessage="1" showErrorMessage="1" sqref="A6" xr:uid="{7F0AB500-F3DF-45CD-BC62-74C0ABD71DFD}">
      <formula1>OFFSET(Anchor_Cell,1,MATCH($A$5,Team_Regions,0)-1,COUNTA(OFFSET(Anchor_Cell,1,MATCH(A5,Regions,0)-1,100)),1)</formula1>
    </dataValidation>
  </dataValidations>
  <pageMargins left="0.7" right="0.7" top="0.75" bottom="0.75" header="0.3" footer="0.3"/>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3">
    <pageSetUpPr fitToPage="1"/>
  </sheetPr>
  <dimension ref="A1:AT19"/>
  <sheetViews>
    <sheetView showGridLines="0" zoomScale="85" zoomScaleNormal="85" workbookViewId="0">
      <selection activeCell="I24" sqref="I24"/>
    </sheetView>
  </sheetViews>
  <sheetFormatPr baseColWidth="10" defaultColWidth="9.1640625" defaultRowHeight="16" x14ac:dyDescent="0.2"/>
  <cols>
    <col min="1" max="1" width="4.5" style="1" customWidth="1"/>
    <col min="2" max="2" width="38.1640625" style="1" customWidth="1"/>
    <col min="3" max="3" width="13.83203125" style="2" bestFit="1" customWidth="1"/>
    <col min="4" max="4" width="12.83203125" style="2" customWidth="1"/>
    <col min="5" max="5" width="17.33203125" style="2" customWidth="1"/>
    <col min="6" max="6" width="14" style="2" customWidth="1"/>
    <col min="7" max="7" width="12.5" style="2" customWidth="1"/>
    <col min="8" max="8" width="17.6640625" style="2" customWidth="1"/>
    <col min="9" max="9" width="13.5" style="2" customWidth="1"/>
    <col min="10" max="10" width="12.5" style="2" customWidth="1"/>
    <col min="11" max="11" width="16.83203125" style="2" customWidth="1"/>
    <col min="12" max="12" width="15" style="2" customWidth="1"/>
    <col min="13" max="13" width="13.5" style="2" customWidth="1"/>
    <col min="14" max="14" width="16.6640625" style="2" customWidth="1"/>
    <col min="15" max="16384" width="9.1640625" style="1"/>
  </cols>
  <sheetData>
    <row r="1" spans="1:46" s="3" customFormat="1" ht="57" customHeight="1" x14ac:dyDescent="0.15">
      <c r="A1" s="533" t="s">
        <v>1189</v>
      </c>
      <c r="B1" s="533"/>
      <c r="C1" s="533"/>
      <c r="D1" s="533"/>
      <c r="E1" s="533"/>
      <c r="F1" s="533"/>
      <c r="G1" s="533"/>
      <c r="H1" s="533"/>
      <c r="I1" s="533"/>
      <c r="J1" s="533"/>
      <c r="K1" s="533"/>
      <c r="L1" s="533"/>
      <c r="M1" s="533"/>
      <c r="N1" s="533"/>
      <c r="O1" s="261"/>
      <c r="P1" s="261"/>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row>
    <row r="2" spans="1:46" ht="37.5" customHeight="1" x14ac:dyDescent="0.2">
      <c r="A2" s="426"/>
      <c r="B2" s="426"/>
      <c r="C2" s="426"/>
      <c r="D2" s="426"/>
      <c r="E2" s="426"/>
      <c r="F2" s="426"/>
      <c r="G2" s="426"/>
      <c r="H2" s="426"/>
      <c r="I2" s="426"/>
      <c r="J2" s="426"/>
      <c r="K2" s="426"/>
      <c r="L2" s="426"/>
      <c r="M2" s="426"/>
      <c r="N2" s="426"/>
      <c r="O2" s="271"/>
      <c r="P2" s="271"/>
      <c r="Q2" s="5"/>
      <c r="R2" s="5"/>
    </row>
    <row r="3" spans="1:46" s="2" customFormat="1" ht="39" customHeight="1" thickBot="1" x14ac:dyDescent="0.25"/>
    <row r="4" spans="1:46" ht="28.5" customHeight="1" x14ac:dyDescent="0.2">
      <c r="B4" s="598" t="s">
        <v>1190</v>
      </c>
      <c r="C4" s="589" t="s">
        <v>997</v>
      </c>
      <c r="D4" s="590"/>
      <c r="E4" s="591"/>
      <c r="F4" s="592" t="s">
        <v>1002</v>
      </c>
      <c r="G4" s="593"/>
      <c r="H4" s="594"/>
      <c r="I4" s="595" t="s">
        <v>1003</v>
      </c>
      <c r="J4" s="596"/>
      <c r="K4" s="597"/>
      <c r="L4" s="590" t="s">
        <v>1191</v>
      </c>
      <c r="M4" s="590"/>
      <c r="N4" s="591"/>
      <c r="P4" s="5"/>
      <c r="Q4" s="5"/>
      <c r="R4" s="5"/>
    </row>
    <row r="5" spans="1:46" ht="45" x14ac:dyDescent="0.2">
      <c r="B5" s="599"/>
      <c r="C5" s="187" t="s">
        <v>1192</v>
      </c>
      <c r="D5" s="37" t="s">
        <v>1193</v>
      </c>
      <c r="E5" s="188" t="s">
        <v>1194</v>
      </c>
      <c r="F5" s="275" t="s">
        <v>1192</v>
      </c>
      <c r="G5" s="276" t="s">
        <v>1193</v>
      </c>
      <c r="H5" s="277" t="s">
        <v>1194</v>
      </c>
      <c r="I5" s="272" t="s">
        <v>1192</v>
      </c>
      <c r="J5" s="273" t="s">
        <v>1193</v>
      </c>
      <c r="K5" s="274" t="s">
        <v>1194</v>
      </c>
      <c r="L5" s="202" t="s">
        <v>1192</v>
      </c>
      <c r="M5" s="37" t="s">
        <v>1195</v>
      </c>
      <c r="N5" s="188" t="s">
        <v>1194</v>
      </c>
    </row>
    <row r="6" spans="1:46" ht="21" customHeight="1" x14ac:dyDescent="0.2">
      <c r="B6" s="141" t="s">
        <v>17</v>
      </c>
      <c r="C6" s="200">
        <f>SUMIFS('capacity data'!I:I,'capacity data'!A:A,B6,'capacity data'!E:E,"PO")</f>
        <v>0</v>
      </c>
      <c r="D6" s="197">
        <f>SUMIFS('capacity data'!J:J,'capacity data'!A:A,B6,'capacity data'!E:E,"PO")</f>
        <v>0</v>
      </c>
      <c r="E6" s="194" t="e">
        <f>D6/C6</f>
        <v>#DIV/0!</v>
      </c>
      <c r="F6" s="200">
        <f>SUMIFS('capacity data'!I:I,'capacity data'!A:A,B6,'capacity data'!E:E,"PSO")</f>
        <v>0</v>
      </c>
      <c r="G6" s="197">
        <f>SUMIFS('capacity data'!J:J,'capacity data'!A:A,B6,'capacity data'!E:E,"PSO")</f>
        <v>0</v>
      </c>
      <c r="H6" s="194" t="e">
        <f t="shared" ref="H6:H18" si="0">G6/F6</f>
        <v>#DIV/0!</v>
      </c>
      <c r="I6" s="200">
        <f>SUMIFS('capacity data'!I:I,'capacity data'!A:A,B6,'capacity data'!E:E,"TPO")</f>
        <v>0</v>
      </c>
      <c r="J6" s="197">
        <f>SUMIFS('capacity data'!J:J,'capacity data'!A:A,B6,'capacity data'!E:E,"TPO")</f>
        <v>0</v>
      </c>
      <c r="K6" s="194" t="e">
        <f t="shared" ref="K6:K18" si="1">J6/I6</f>
        <v>#DIV/0!</v>
      </c>
      <c r="L6" s="201">
        <f>SUMIF('capacity data'!A:A,B6,'capacity data'!I:I)</f>
        <v>0</v>
      </c>
      <c r="M6" s="197">
        <f>SUMIF('capacity data'!A:A,B6,'capacity data'!J:J)</f>
        <v>0</v>
      </c>
      <c r="N6" s="194" t="e">
        <f t="shared" ref="N6:N18" si="2">M6/L6</f>
        <v>#DIV/0!</v>
      </c>
    </row>
    <row r="7" spans="1:46" ht="21" customHeight="1" x14ac:dyDescent="0.2">
      <c r="B7" s="141" t="s">
        <v>18</v>
      </c>
      <c r="C7" s="200">
        <f>SUMIFS('capacity data'!I:I,'capacity data'!A:A,B7,'capacity data'!E:E,"PO")</f>
        <v>0</v>
      </c>
      <c r="D7" s="197">
        <f>SUMIFS('capacity data'!J:J,'capacity data'!A:A,B7,'capacity data'!E:E,"PO")</f>
        <v>0</v>
      </c>
      <c r="E7" s="194" t="e">
        <f t="shared" ref="E7:E17" si="3">D7/C7</f>
        <v>#DIV/0!</v>
      </c>
      <c r="F7" s="200">
        <f>SUMIFS('capacity data'!I:I,'capacity data'!A:A,B7,'capacity data'!E:E,"PSO")</f>
        <v>0</v>
      </c>
      <c r="G7" s="197">
        <f>SUMIFS('capacity data'!J:J,'capacity data'!A:A,B7,'capacity data'!E:E,"PSO")</f>
        <v>0</v>
      </c>
      <c r="H7" s="194" t="e">
        <f t="shared" ref="H7:H17" si="4">G7/F7</f>
        <v>#DIV/0!</v>
      </c>
      <c r="I7" s="200">
        <f>SUMIFS('capacity data'!I:I,'capacity data'!A:A,B7,'capacity data'!E:E,"TPO")</f>
        <v>0</v>
      </c>
      <c r="J7" s="197">
        <f>SUMIFS('capacity data'!J:J,'capacity data'!A:A,B7,'capacity data'!E:E,"TPO")</f>
        <v>0</v>
      </c>
      <c r="K7" s="194" t="e">
        <f t="shared" ref="K7:K17" si="5">J7/I7</f>
        <v>#DIV/0!</v>
      </c>
      <c r="L7" s="201">
        <f>SUMIF('capacity data'!A:A,B7,'capacity data'!I:I)</f>
        <v>0</v>
      </c>
      <c r="M7" s="197">
        <f>SUMIF('capacity data'!A:A,B7,'capacity data'!J:J)</f>
        <v>0</v>
      </c>
      <c r="N7" s="194" t="e">
        <f t="shared" ref="N7:N17" si="6">M7/L7</f>
        <v>#DIV/0!</v>
      </c>
    </row>
    <row r="8" spans="1:46" ht="21" customHeight="1" x14ac:dyDescent="0.2">
      <c r="B8" s="141" t="s">
        <v>19</v>
      </c>
      <c r="C8" s="200">
        <f>SUMIFS('capacity data'!I:I,'capacity data'!A:A,B8,'capacity data'!E:E,"PO")</f>
        <v>0</v>
      </c>
      <c r="D8" s="197">
        <f>SUMIFS('capacity data'!J:J,'capacity data'!A:A,B8,'capacity data'!E:E,"PO")</f>
        <v>0</v>
      </c>
      <c r="E8" s="194" t="e">
        <f t="shared" si="3"/>
        <v>#DIV/0!</v>
      </c>
      <c r="F8" s="200">
        <f>SUMIFS('capacity data'!I:I,'capacity data'!A:A,B8,'capacity data'!E:E,"PSO")</f>
        <v>0</v>
      </c>
      <c r="G8" s="197">
        <f>SUMIFS('capacity data'!J:J,'capacity data'!A:A,B8,'capacity data'!E:E,"PSO")</f>
        <v>0</v>
      </c>
      <c r="H8" s="194" t="e">
        <f t="shared" si="4"/>
        <v>#DIV/0!</v>
      </c>
      <c r="I8" s="200">
        <f>SUMIFS('capacity data'!I:I,'capacity data'!A:A,B8,'capacity data'!E:E,"TPO")</f>
        <v>0</v>
      </c>
      <c r="J8" s="197">
        <f>SUMIFS('capacity data'!J:J,'capacity data'!A:A,B8,'capacity data'!E:E,"TPO")</f>
        <v>0</v>
      </c>
      <c r="K8" s="194" t="e">
        <f t="shared" si="5"/>
        <v>#DIV/0!</v>
      </c>
      <c r="L8" s="201">
        <f>SUMIF('capacity data'!A:A,B8,'capacity data'!I:I)</f>
        <v>0</v>
      </c>
      <c r="M8" s="197">
        <f>SUMIF('capacity data'!A:A,B8,'capacity data'!J:J)</f>
        <v>0</v>
      </c>
      <c r="N8" s="194" t="e">
        <f t="shared" si="6"/>
        <v>#DIV/0!</v>
      </c>
    </row>
    <row r="9" spans="1:46" ht="21" customHeight="1" x14ac:dyDescent="0.2">
      <c r="B9" s="141" t="s">
        <v>20</v>
      </c>
      <c r="C9" s="200">
        <f>SUMIFS('capacity data'!I:I,'capacity data'!A:A,B9,'capacity data'!E:E,"PO")</f>
        <v>0</v>
      </c>
      <c r="D9" s="197">
        <f>SUMIFS('capacity data'!J:J,'capacity data'!A:A,B9,'capacity data'!E:E,"PO")</f>
        <v>0</v>
      </c>
      <c r="E9" s="194" t="e">
        <f t="shared" si="3"/>
        <v>#DIV/0!</v>
      </c>
      <c r="F9" s="200">
        <f>SUMIFS('capacity data'!I:I,'capacity data'!A:A,B9,'capacity data'!E:E,"PSO")</f>
        <v>0</v>
      </c>
      <c r="G9" s="197">
        <f>SUMIFS('capacity data'!J:J,'capacity data'!A:A,B9,'capacity data'!E:E,"PSO")</f>
        <v>0</v>
      </c>
      <c r="H9" s="194" t="e">
        <f t="shared" si="4"/>
        <v>#DIV/0!</v>
      </c>
      <c r="I9" s="200">
        <f>SUMIFS('capacity data'!I:I,'capacity data'!A:A,B9,'capacity data'!E:E,"TPO")</f>
        <v>0</v>
      </c>
      <c r="J9" s="197">
        <f>SUMIFS('capacity data'!J:J,'capacity data'!A:A,B9,'capacity data'!E:E,"TPO")</f>
        <v>0</v>
      </c>
      <c r="K9" s="194" t="e">
        <f t="shared" si="5"/>
        <v>#DIV/0!</v>
      </c>
      <c r="L9" s="201">
        <f>SUMIF('capacity data'!A:A,B9,'capacity data'!I:I)</f>
        <v>0</v>
      </c>
      <c r="M9" s="197">
        <f>SUMIF('capacity data'!A:A,B9,'capacity data'!J:J)</f>
        <v>0</v>
      </c>
      <c r="N9" s="194" t="e">
        <f t="shared" si="6"/>
        <v>#DIV/0!</v>
      </c>
    </row>
    <row r="10" spans="1:46" ht="21" customHeight="1" x14ac:dyDescent="0.2">
      <c r="B10" s="141" t="s">
        <v>21</v>
      </c>
      <c r="C10" s="200">
        <f>SUMIFS('capacity data'!I:I,'capacity data'!A:A,B10,'capacity data'!E:E,"PO")</f>
        <v>0</v>
      </c>
      <c r="D10" s="197">
        <f>SUMIFS('capacity data'!J:J,'capacity data'!A:A,B10,'capacity data'!E:E,"PO")</f>
        <v>0</v>
      </c>
      <c r="E10" s="194" t="e">
        <f t="shared" si="3"/>
        <v>#DIV/0!</v>
      </c>
      <c r="F10" s="200">
        <f>SUMIFS('capacity data'!I:I,'capacity data'!A:A,B10,'capacity data'!E:E,"PSO")</f>
        <v>0</v>
      </c>
      <c r="G10" s="197">
        <f>SUMIFS('capacity data'!J:J,'capacity data'!A:A,B10,'capacity data'!E:E,"PSO")</f>
        <v>0</v>
      </c>
      <c r="H10" s="194" t="e">
        <f t="shared" si="4"/>
        <v>#DIV/0!</v>
      </c>
      <c r="I10" s="200">
        <f>SUMIFS('capacity data'!I:I,'capacity data'!A:A,B10,'capacity data'!E:E,"TPO")</f>
        <v>0</v>
      </c>
      <c r="J10" s="197">
        <f>SUMIFS('capacity data'!J:J,'capacity data'!A:A,B10,'capacity data'!E:E,"TPO")</f>
        <v>0</v>
      </c>
      <c r="K10" s="194" t="e">
        <f t="shared" si="5"/>
        <v>#DIV/0!</v>
      </c>
      <c r="L10" s="201">
        <f>SUMIF('capacity data'!A:A,B10,'capacity data'!I:I)</f>
        <v>0</v>
      </c>
      <c r="M10" s="197">
        <f>SUMIF('capacity data'!A:A,B10,'capacity data'!J:J)</f>
        <v>0</v>
      </c>
      <c r="N10" s="194" t="e">
        <f t="shared" si="6"/>
        <v>#DIV/0!</v>
      </c>
    </row>
    <row r="11" spans="1:46" ht="21" customHeight="1" x14ac:dyDescent="0.2">
      <c r="B11" s="141" t="s">
        <v>22</v>
      </c>
      <c r="C11" s="200">
        <f>SUMIFS('capacity data'!I:I,'capacity data'!A:A,B11,'capacity data'!E:E,"PO")</f>
        <v>0</v>
      </c>
      <c r="D11" s="197">
        <f>SUMIFS('capacity data'!J:J,'capacity data'!A:A,B11,'capacity data'!E:E,"PO")</f>
        <v>0</v>
      </c>
      <c r="E11" s="194" t="e">
        <f t="shared" si="3"/>
        <v>#DIV/0!</v>
      </c>
      <c r="F11" s="200">
        <f>SUMIFS('capacity data'!I:I,'capacity data'!A:A,B11,'capacity data'!E:E,"PSO")</f>
        <v>0</v>
      </c>
      <c r="G11" s="197">
        <f>SUMIFS('capacity data'!J:J,'capacity data'!A:A,B11,'capacity data'!E:E,"PSO")</f>
        <v>0</v>
      </c>
      <c r="H11" s="194" t="e">
        <f t="shared" si="4"/>
        <v>#DIV/0!</v>
      </c>
      <c r="I11" s="200">
        <f>SUMIFS('capacity data'!I:I,'capacity data'!A:A,B11,'capacity data'!E:E,"TPO")</f>
        <v>0</v>
      </c>
      <c r="J11" s="197">
        <f>SUMIFS('capacity data'!J:J,'capacity data'!A:A,B11,'capacity data'!E:E,"TPO")</f>
        <v>0</v>
      </c>
      <c r="K11" s="194" t="e">
        <f t="shared" si="5"/>
        <v>#DIV/0!</v>
      </c>
      <c r="L11" s="201">
        <f>SUMIF('capacity data'!A:A,B11,'capacity data'!I:I)</f>
        <v>0</v>
      </c>
      <c r="M11" s="197">
        <f>SUMIF('capacity data'!A:A,B11,'capacity data'!J:J)</f>
        <v>0</v>
      </c>
      <c r="N11" s="194" t="e">
        <f t="shared" si="6"/>
        <v>#DIV/0!</v>
      </c>
    </row>
    <row r="12" spans="1:46" ht="21" customHeight="1" x14ac:dyDescent="0.2">
      <c r="B12" s="141" t="s">
        <v>23</v>
      </c>
      <c r="C12" s="200">
        <f>SUMIFS('capacity data'!I:I,'capacity data'!A:A,B12,'capacity data'!E:E,"PO")</f>
        <v>0</v>
      </c>
      <c r="D12" s="197">
        <f>SUMIFS('capacity data'!J:J,'capacity data'!A:A,B12,'capacity data'!E:E,"PO")</f>
        <v>0</v>
      </c>
      <c r="E12" s="194" t="e">
        <f t="shared" si="3"/>
        <v>#DIV/0!</v>
      </c>
      <c r="F12" s="200">
        <f>SUMIFS('capacity data'!I:I,'capacity data'!A:A,B12,'capacity data'!E:E,"PSO")</f>
        <v>0</v>
      </c>
      <c r="G12" s="197">
        <f>SUMIFS('capacity data'!J:J,'capacity data'!A:A,B12,'capacity data'!E:E,"PSO")</f>
        <v>0</v>
      </c>
      <c r="H12" s="194" t="e">
        <f t="shared" si="4"/>
        <v>#DIV/0!</v>
      </c>
      <c r="I12" s="200">
        <f>SUMIFS('capacity data'!I:I,'capacity data'!A:A,B12,'capacity data'!E:E,"TPO")</f>
        <v>0</v>
      </c>
      <c r="J12" s="197">
        <f>SUMIFS('capacity data'!J:J,'capacity data'!A:A,B12,'capacity data'!E:E,"TPO")</f>
        <v>0</v>
      </c>
      <c r="K12" s="194" t="e">
        <f t="shared" si="5"/>
        <v>#DIV/0!</v>
      </c>
      <c r="L12" s="201">
        <f>SUMIF('capacity data'!A:A,B12,'capacity data'!I:I)</f>
        <v>0</v>
      </c>
      <c r="M12" s="197">
        <f>SUMIF('capacity data'!A:A,B12,'capacity data'!J:J)</f>
        <v>0</v>
      </c>
      <c r="N12" s="194" t="e">
        <f t="shared" si="6"/>
        <v>#DIV/0!</v>
      </c>
    </row>
    <row r="13" spans="1:46" ht="21" customHeight="1" x14ac:dyDescent="0.2">
      <c r="B13" s="141" t="s">
        <v>24</v>
      </c>
      <c r="C13" s="200">
        <f>SUMIFS('capacity data'!I:I,'capacity data'!A:A,B13,'capacity data'!E:E,"PO")</f>
        <v>0</v>
      </c>
      <c r="D13" s="197">
        <f>SUMIFS('capacity data'!J:J,'capacity data'!A:A,B13,'capacity data'!E:E,"PO")</f>
        <v>0</v>
      </c>
      <c r="E13" s="194" t="e">
        <f t="shared" ref="E13" si="7">D13/C13</f>
        <v>#DIV/0!</v>
      </c>
      <c r="F13" s="200">
        <f>SUMIFS('capacity data'!I:I,'capacity data'!A:A,B13,'capacity data'!E:E,"PSO")</f>
        <v>0</v>
      </c>
      <c r="G13" s="197">
        <f>SUMIFS('capacity data'!J:J,'capacity data'!A:A,B13,'capacity data'!E:E,"PSO")</f>
        <v>0</v>
      </c>
      <c r="H13" s="194" t="e">
        <f t="shared" ref="H13" si="8">G13/F13</f>
        <v>#DIV/0!</v>
      </c>
      <c r="I13" s="200">
        <f>SUMIFS('capacity data'!I:I,'capacity data'!A:A,B13,'capacity data'!E:E,"TPO")</f>
        <v>0</v>
      </c>
      <c r="J13" s="197">
        <f>SUMIFS('capacity data'!J:J,'capacity data'!A:A,B13,'capacity data'!E:E,"TPO")</f>
        <v>0</v>
      </c>
      <c r="K13" s="194" t="e">
        <f t="shared" ref="K13" si="9">J13/I13</f>
        <v>#DIV/0!</v>
      </c>
      <c r="L13" s="201">
        <f>SUMIF('capacity data'!A:A,B13,'capacity data'!I:I)</f>
        <v>0</v>
      </c>
      <c r="M13" s="197">
        <f>SUMIF('capacity data'!A:A,B13,'capacity data'!J:J)</f>
        <v>0</v>
      </c>
      <c r="N13" s="194" t="e">
        <f t="shared" ref="N13" si="10">M13/L13</f>
        <v>#DIV/0!</v>
      </c>
    </row>
    <row r="14" spans="1:46" ht="21" customHeight="1" x14ac:dyDescent="0.2">
      <c r="B14" s="141" t="s">
        <v>25</v>
      </c>
      <c r="C14" s="200">
        <f>SUMIFS('capacity data'!I:I,'capacity data'!A:A,B14,'capacity data'!E:E,"PO")</f>
        <v>0</v>
      </c>
      <c r="D14" s="197">
        <f>SUMIFS('capacity data'!J:J,'capacity data'!A:A,B14,'capacity data'!E:E,"PO")</f>
        <v>0</v>
      </c>
      <c r="E14" s="194" t="e">
        <f t="shared" si="3"/>
        <v>#DIV/0!</v>
      </c>
      <c r="F14" s="200">
        <f>SUMIFS('capacity data'!I:I,'capacity data'!A:A,B14,'capacity data'!E:E,"PSO")</f>
        <v>0</v>
      </c>
      <c r="G14" s="197">
        <f>SUMIFS('capacity data'!J:J,'capacity data'!A:A,B14,'capacity data'!E:E,"PSO")</f>
        <v>0</v>
      </c>
      <c r="H14" s="194" t="e">
        <f t="shared" si="4"/>
        <v>#DIV/0!</v>
      </c>
      <c r="I14" s="200">
        <f>SUMIFS('capacity data'!I:I,'capacity data'!A:A,B14,'capacity data'!E:E,"TPO")</f>
        <v>0</v>
      </c>
      <c r="J14" s="197">
        <f>SUMIFS('capacity data'!J:J,'capacity data'!A:A,B14,'capacity data'!E:E,"TPO")</f>
        <v>0</v>
      </c>
      <c r="K14" s="194" t="e">
        <f t="shared" si="5"/>
        <v>#DIV/0!</v>
      </c>
      <c r="L14" s="201">
        <f>SUMIF('capacity data'!A:A,B14,'capacity data'!I:I)</f>
        <v>0</v>
      </c>
      <c r="M14" s="197">
        <f>SUMIF('capacity data'!A:A,B14,'capacity data'!J:J)</f>
        <v>0</v>
      </c>
      <c r="N14" s="194" t="e">
        <f t="shared" si="6"/>
        <v>#DIV/0!</v>
      </c>
    </row>
    <row r="15" spans="1:46" ht="21" customHeight="1" x14ac:dyDescent="0.2">
      <c r="B15" s="141" t="s">
        <v>26</v>
      </c>
      <c r="C15" s="200">
        <f>SUMIFS('capacity data'!I:I,'capacity data'!A:A,B15,'capacity data'!E:E,"PO")</f>
        <v>0</v>
      </c>
      <c r="D15" s="197">
        <f>SUMIFS('capacity data'!J:J,'capacity data'!A:A,B15,'capacity data'!E:E,"PO")</f>
        <v>0</v>
      </c>
      <c r="E15" s="194" t="e">
        <f t="shared" si="3"/>
        <v>#DIV/0!</v>
      </c>
      <c r="F15" s="200">
        <f>SUMIFS('capacity data'!I:I,'capacity data'!A:A,B15,'capacity data'!E:E,"PSO")</f>
        <v>0</v>
      </c>
      <c r="G15" s="197">
        <f>SUMIFS('capacity data'!J:J,'capacity data'!A:A,B15,'capacity data'!E:E,"PSO")</f>
        <v>0</v>
      </c>
      <c r="H15" s="194" t="e">
        <f t="shared" si="4"/>
        <v>#DIV/0!</v>
      </c>
      <c r="I15" s="200">
        <f>SUMIFS('capacity data'!I:I,'capacity data'!A:A,B15,'capacity data'!E:E,"TPO")</f>
        <v>0</v>
      </c>
      <c r="J15" s="197">
        <f>SUMIFS('capacity data'!J:J,'capacity data'!A:A,B15,'capacity data'!E:E,"TPO")</f>
        <v>0</v>
      </c>
      <c r="K15" s="194" t="e">
        <f t="shared" si="5"/>
        <v>#DIV/0!</v>
      </c>
      <c r="L15" s="201">
        <f>SUMIF('capacity data'!A:A,B15,'capacity data'!I:I)</f>
        <v>0</v>
      </c>
      <c r="M15" s="197">
        <f>SUMIF('capacity data'!A:A,B15,'capacity data'!J:J)</f>
        <v>0</v>
      </c>
      <c r="N15" s="194" t="e">
        <f t="shared" si="6"/>
        <v>#DIV/0!</v>
      </c>
    </row>
    <row r="16" spans="1:46" ht="21" customHeight="1" x14ac:dyDescent="0.2">
      <c r="B16" s="141" t="s">
        <v>27</v>
      </c>
      <c r="C16" s="200">
        <f>SUMIFS('capacity data'!I:I,'capacity data'!A:A,B16,'capacity data'!E:E,"PO")</f>
        <v>0</v>
      </c>
      <c r="D16" s="197">
        <f>SUMIFS('capacity data'!J:J,'capacity data'!A:A,B16,'capacity data'!E:E,"PO")</f>
        <v>0</v>
      </c>
      <c r="E16" s="194" t="e">
        <f t="shared" si="3"/>
        <v>#DIV/0!</v>
      </c>
      <c r="F16" s="200">
        <f>SUMIFS('capacity data'!I:I,'capacity data'!A:A,B16,'capacity data'!E:E,"PSO")</f>
        <v>0</v>
      </c>
      <c r="G16" s="197">
        <f>SUMIFS('capacity data'!J:J,'capacity data'!A:A,B16,'capacity data'!E:E,"PSO")</f>
        <v>0</v>
      </c>
      <c r="H16" s="194" t="e">
        <f t="shared" si="4"/>
        <v>#DIV/0!</v>
      </c>
      <c r="I16" s="200">
        <f>SUMIFS('capacity data'!I:I,'capacity data'!A:A,B16,'capacity data'!E:E,"TPO")</f>
        <v>0</v>
      </c>
      <c r="J16" s="197">
        <f>SUMIFS('capacity data'!J:J,'capacity data'!A:A,B16,'capacity data'!E:E,"TPO")</f>
        <v>0</v>
      </c>
      <c r="K16" s="194" t="e">
        <f t="shared" si="5"/>
        <v>#DIV/0!</v>
      </c>
      <c r="L16" s="201">
        <f>SUMIF('capacity data'!A:A,B16,'capacity data'!I:I)</f>
        <v>0</v>
      </c>
      <c r="M16" s="197">
        <f>SUMIF('capacity data'!A:A,B16,'capacity data'!J:J)</f>
        <v>0</v>
      </c>
      <c r="N16" s="194" t="e">
        <f t="shared" si="6"/>
        <v>#DIV/0!</v>
      </c>
    </row>
    <row r="17" spans="2:14" ht="21" customHeight="1" x14ac:dyDescent="0.2">
      <c r="B17" s="141" t="s">
        <v>28</v>
      </c>
      <c r="C17" s="200">
        <f>SUMIFS('capacity data'!I:I,'capacity data'!A:A,B17,'capacity data'!E:E,"PO")</f>
        <v>0</v>
      </c>
      <c r="D17" s="197">
        <f>SUMIFS('capacity data'!J:J,'capacity data'!A:A,B17,'capacity data'!E:E,"PO")</f>
        <v>0</v>
      </c>
      <c r="E17" s="194" t="e">
        <f t="shared" si="3"/>
        <v>#DIV/0!</v>
      </c>
      <c r="F17" s="200">
        <f>SUMIFS('capacity data'!I:I,'capacity data'!A:A,B17,'capacity data'!E:E,"PSO")</f>
        <v>0</v>
      </c>
      <c r="G17" s="197">
        <f>SUMIFS('capacity data'!J:J,'capacity data'!A:A,B17,'capacity data'!E:E,"PSO")</f>
        <v>0</v>
      </c>
      <c r="H17" s="194" t="e">
        <f t="shared" si="4"/>
        <v>#DIV/0!</v>
      </c>
      <c r="I17" s="200">
        <f>SUMIFS('capacity data'!I:I,'capacity data'!A:A,B17,'capacity data'!E:E,"TPO")</f>
        <v>0</v>
      </c>
      <c r="J17" s="197">
        <f>SUMIFS('capacity data'!J:J,'capacity data'!A:A,B17,'capacity data'!E:E,"TPO")</f>
        <v>0</v>
      </c>
      <c r="K17" s="194" t="e">
        <f t="shared" si="5"/>
        <v>#DIV/0!</v>
      </c>
      <c r="L17" s="201">
        <f>SUMIF('capacity data'!A:A,B17,'capacity data'!I:I)</f>
        <v>0</v>
      </c>
      <c r="M17" s="197">
        <f>SUMIF('capacity data'!A:A,B17,'capacity data'!J:J)</f>
        <v>0</v>
      </c>
      <c r="N17" s="194" t="e">
        <f t="shared" si="6"/>
        <v>#DIV/0!</v>
      </c>
    </row>
    <row r="18" spans="2:14" ht="21" customHeight="1" thickBot="1" x14ac:dyDescent="0.25">
      <c r="B18" s="195" t="s">
        <v>1180</v>
      </c>
      <c r="C18" s="198">
        <f>SUMIF('capacity data'!E:E,"PO",'capacity data'!I:I)</f>
        <v>0</v>
      </c>
      <c r="D18" s="199">
        <f>SUMIF('capacity data'!E:E,"PO",'capacity data'!J:J)</f>
        <v>0</v>
      </c>
      <c r="E18" s="196" t="e">
        <f t="shared" ref="E18" si="11">D18/C18</f>
        <v>#DIV/0!</v>
      </c>
      <c r="F18" s="198">
        <f>SUMIF('capacity data'!E:E,"PSO",'capacity data'!I:I)</f>
        <v>0</v>
      </c>
      <c r="G18" s="199">
        <f>SUMIF('capacity data'!E:E,"PSO",'capacity data'!J:J)</f>
        <v>0</v>
      </c>
      <c r="H18" s="196" t="e">
        <f t="shared" si="0"/>
        <v>#DIV/0!</v>
      </c>
      <c r="I18" s="198">
        <f>SUMIF('capacity data'!E:E,"TPO",'capacity data'!I:I)</f>
        <v>0</v>
      </c>
      <c r="J18" s="199">
        <f>SUMIF('capacity data'!E:E,"TPO",'capacity data'!J:J)</f>
        <v>0</v>
      </c>
      <c r="K18" s="196" t="e">
        <f t="shared" si="1"/>
        <v>#DIV/0!</v>
      </c>
      <c r="L18" s="198">
        <f>SUM('capacity data'!I:I)</f>
        <v>0</v>
      </c>
      <c r="M18" s="199">
        <f>SUM('capacity data'!J:J)</f>
        <v>0</v>
      </c>
      <c r="N18" s="196" t="e">
        <f t="shared" si="2"/>
        <v>#DIV/0!</v>
      </c>
    </row>
    <row r="19" spans="2:14" x14ac:dyDescent="0.2">
      <c r="C19" s="227"/>
      <c r="D19" s="1"/>
      <c r="E19" s="1"/>
      <c r="F19" s="1"/>
      <c r="G19" s="1"/>
      <c r="H19" s="1"/>
      <c r="I19" s="1"/>
      <c r="J19" s="1"/>
      <c r="K19" s="1"/>
      <c r="L19" s="1"/>
      <c r="M19" s="1"/>
      <c r="N19" s="1"/>
    </row>
  </sheetData>
  <mergeCells count="7">
    <mergeCell ref="A1:N1"/>
    <mergeCell ref="A2:N2"/>
    <mergeCell ref="C4:E4"/>
    <mergeCell ref="F4:H4"/>
    <mergeCell ref="I4:K4"/>
    <mergeCell ref="L4:N4"/>
    <mergeCell ref="B4:B5"/>
  </mergeCells>
  <pageMargins left="0.25" right="0.25" top="0.75" bottom="0.75" header="0.3" footer="0.3"/>
  <pageSetup scale="67"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4">
    <tabColor rgb="FFFFFF00"/>
    <pageSetUpPr fitToPage="1"/>
  </sheetPr>
  <dimension ref="A1:AZ16"/>
  <sheetViews>
    <sheetView showGridLines="0" showRowColHeaders="0" zoomScale="70" zoomScaleNormal="70" zoomScaleSheetLayoutView="55" workbookViewId="0">
      <selection activeCell="P3" sqref="P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82.5" customHeight="1" x14ac:dyDescent="0.15">
      <c r="A1" s="600" t="s">
        <v>1196</v>
      </c>
      <c r="B1" s="600"/>
      <c r="C1" s="600"/>
      <c r="D1" s="600"/>
      <c r="E1" s="600"/>
      <c r="F1" s="600"/>
      <c r="G1" s="600"/>
      <c r="H1" s="600"/>
      <c r="I1" s="600"/>
      <c r="J1" s="600"/>
      <c r="K1" s="600"/>
      <c r="L1" s="600"/>
      <c r="M1" s="600"/>
      <c r="N1" s="600"/>
      <c r="O1" s="600"/>
      <c r="P1" s="600"/>
      <c r="Q1" s="600"/>
      <c r="R1" s="600"/>
      <c r="S1" s="600"/>
      <c r="T1" s="600"/>
    </row>
    <row r="2" spans="1:52" s="1" customFormat="1" ht="59.25" customHeight="1" x14ac:dyDescent="0.2">
      <c r="A2" s="601" t="s">
        <v>1197</v>
      </c>
      <c r="B2" s="601"/>
      <c r="C2" s="602" t="e">
        <f>home!#REF!</f>
        <v>#REF!</v>
      </c>
      <c r="D2" s="602"/>
      <c r="E2" s="602"/>
      <c r="F2" s="602"/>
      <c r="G2" s="602"/>
      <c r="H2" s="602"/>
      <c r="I2" s="602"/>
      <c r="J2" s="602"/>
      <c r="K2" s="602"/>
      <c r="L2" s="602"/>
      <c r="M2" s="602"/>
      <c r="N2" s="602"/>
      <c r="O2" s="602"/>
      <c r="P2" s="602"/>
      <c r="Q2" s="602"/>
      <c r="R2" s="602"/>
      <c r="S2" s="602"/>
      <c r="T2" s="602"/>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6" x14ac:dyDescent="0.15">
      <c r="A4" s="16"/>
      <c r="B4" s="16"/>
      <c r="C4" s="16"/>
      <c r="D4" s="16" t="s">
        <v>1198</v>
      </c>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E0" sheet="1" objects="1" scenarios="1"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
    <tabColor rgb="FFC00000"/>
    <pageSetUpPr fitToPage="1"/>
  </sheetPr>
  <dimension ref="A1:AZ16"/>
  <sheetViews>
    <sheetView showGridLines="0" showRowColHeaders="0" zoomScale="85" zoomScaleNormal="85" zoomScaleSheetLayoutView="55" workbookViewId="0">
      <selection activeCell="I3" sqref="I3"/>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03" t="s">
        <v>1199</v>
      </c>
      <c r="B1" s="603"/>
      <c r="C1" s="603"/>
      <c r="D1" s="603"/>
      <c r="E1" s="603"/>
      <c r="F1" s="603"/>
      <c r="G1" s="603"/>
      <c r="H1" s="603"/>
      <c r="I1" s="603"/>
      <c r="J1" s="603"/>
      <c r="K1" s="603"/>
      <c r="L1" s="603"/>
      <c r="M1" s="603"/>
      <c r="N1" s="603"/>
      <c r="O1" s="603"/>
      <c r="P1" s="603"/>
      <c r="Q1" s="603"/>
      <c r="R1" s="603"/>
      <c r="S1" s="603"/>
      <c r="T1" s="603"/>
    </row>
    <row r="2" spans="1:52" s="1" customFormat="1" ht="36.75" customHeight="1" x14ac:dyDescent="0.2">
      <c r="A2" s="604" t="s">
        <v>1197</v>
      </c>
      <c r="B2" s="604"/>
      <c r="C2" s="605" t="e">
        <f>home!#REF!</f>
        <v>#REF!</v>
      </c>
      <c r="D2" s="605"/>
      <c r="E2" s="605"/>
      <c r="F2" s="605"/>
      <c r="G2" s="605"/>
      <c r="H2" s="605"/>
      <c r="I2" s="605"/>
      <c r="J2" s="605"/>
      <c r="K2" s="605"/>
      <c r="L2" s="605"/>
      <c r="M2" s="605"/>
      <c r="N2" s="605"/>
      <c r="O2" s="605"/>
      <c r="P2" s="605"/>
      <c r="Q2" s="605"/>
      <c r="R2" s="605"/>
      <c r="S2" s="605"/>
      <c r="T2" s="605"/>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password="B0D8" sheet="1" objects="1" insertColumns="0" insertRows="0"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
    <tabColor rgb="FFC00000"/>
    <pageSetUpPr fitToPage="1"/>
  </sheetPr>
  <dimension ref="A1:AZ16"/>
  <sheetViews>
    <sheetView showGridLines="0" showRowColHeaders="0" zoomScale="85" zoomScaleNormal="85" zoomScaleSheetLayoutView="55" workbookViewId="0">
      <selection sqref="A1:T1"/>
    </sheetView>
  </sheetViews>
  <sheetFormatPr baseColWidth="10" defaultColWidth="9.1640625" defaultRowHeight="14" x14ac:dyDescent="0.15"/>
  <cols>
    <col min="1" max="1" width="15.5" style="3" customWidth="1"/>
    <col min="2" max="2" width="26.5" style="3" customWidth="1"/>
    <col min="3" max="3" width="24" style="3" customWidth="1"/>
    <col min="4" max="4" width="52.83203125" style="3" customWidth="1"/>
    <col min="5" max="5" width="14.5" style="3" customWidth="1"/>
    <col min="6" max="6" width="10.83203125" style="3" customWidth="1"/>
    <col min="7" max="9" width="10.5" style="3" customWidth="1"/>
    <col min="10" max="10" width="11.5" style="3" customWidth="1"/>
    <col min="11" max="12" width="9.1640625" style="3" customWidth="1"/>
    <col min="13" max="13" width="12" style="3" customWidth="1"/>
    <col min="14" max="14" width="11.5" style="3" customWidth="1"/>
    <col min="15" max="15" width="3.5" style="3" customWidth="1"/>
    <col min="16" max="17" width="22.5" style="3" bestFit="1" customWidth="1"/>
    <col min="18" max="18" width="32.5" style="3" bestFit="1" customWidth="1"/>
    <col min="19" max="19" width="14.5" style="3" bestFit="1" customWidth="1"/>
    <col min="20" max="20" width="12.5" style="3" bestFit="1" customWidth="1"/>
    <col min="21" max="23" width="10.5" style="3" bestFit="1" customWidth="1"/>
    <col min="24" max="24" width="11.5" style="3" bestFit="1" customWidth="1"/>
    <col min="25" max="25" width="10" style="3" bestFit="1" customWidth="1"/>
    <col min="26" max="26" width="9.1640625" style="3"/>
    <col min="27" max="27" width="3.5" style="3" customWidth="1"/>
    <col min="28" max="29" width="20.5" style="3" customWidth="1"/>
    <col min="30" max="30" width="37.5" style="3" customWidth="1"/>
    <col min="31" max="31" width="14.5" style="3" bestFit="1" customWidth="1"/>
    <col min="32" max="32" width="11.5" style="3" bestFit="1" customWidth="1"/>
    <col min="33" max="35" width="10.5" style="3" bestFit="1" customWidth="1"/>
    <col min="36" max="36" width="11.5" style="3" bestFit="1" customWidth="1"/>
    <col min="37" max="41" width="9.1640625" style="3"/>
    <col min="42" max="42" width="5.5" style="3" customWidth="1"/>
    <col min="43" max="43" width="9.1640625" style="3"/>
    <col min="44" max="44" width="255.5" style="3" customWidth="1"/>
    <col min="45" max="45" width="127.5" style="3" customWidth="1"/>
    <col min="46" max="46" width="16.5" style="3" bestFit="1" customWidth="1"/>
    <col min="47" max="48" width="10" style="3" bestFit="1" customWidth="1"/>
    <col min="49" max="49" width="9.5" style="3" bestFit="1" customWidth="1"/>
    <col min="50" max="53" width="10" style="3" bestFit="1" customWidth="1"/>
    <col min="54" max="16384" width="9.1640625" style="3"/>
  </cols>
  <sheetData>
    <row r="1" spans="1:52" ht="48" customHeight="1" x14ac:dyDescent="0.15">
      <c r="A1" s="603" t="s">
        <v>1200</v>
      </c>
      <c r="B1" s="603"/>
      <c r="C1" s="603"/>
      <c r="D1" s="603"/>
      <c r="E1" s="603"/>
      <c r="F1" s="603"/>
      <c r="G1" s="603"/>
      <c r="H1" s="603"/>
      <c r="I1" s="603"/>
      <c r="J1" s="603"/>
      <c r="K1" s="603"/>
      <c r="L1" s="603"/>
      <c r="M1" s="603"/>
      <c r="N1" s="603"/>
      <c r="O1" s="603"/>
      <c r="P1" s="603"/>
      <c r="Q1" s="603"/>
      <c r="R1" s="603"/>
      <c r="S1" s="603"/>
      <c r="T1" s="603"/>
    </row>
    <row r="2" spans="1:52" s="1" customFormat="1" ht="36.75" customHeight="1" x14ac:dyDescent="0.2">
      <c r="A2" s="606" t="s">
        <v>1197</v>
      </c>
      <c r="B2" s="606"/>
      <c r="C2" s="605" t="e">
        <f>home!#REF!</f>
        <v>#REF!</v>
      </c>
      <c r="D2" s="605"/>
      <c r="E2" s="605"/>
      <c r="F2" s="605"/>
      <c r="G2" s="605"/>
      <c r="H2" s="605"/>
      <c r="I2" s="605"/>
      <c r="J2" s="605"/>
      <c r="K2" s="605"/>
      <c r="L2" s="605"/>
      <c r="M2" s="605"/>
      <c r="N2" s="605"/>
      <c r="O2" s="605"/>
      <c r="P2" s="605"/>
      <c r="Q2" s="605"/>
      <c r="R2" s="605"/>
      <c r="S2" s="605"/>
      <c r="T2" s="605"/>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row>
    <row r="3" spans="1:52" ht="303" customHeight="1" x14ac:dyDescent="0.15">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row>
    <row r="4" spans="1:52" ht="25" x14ac:dyDescent="0.15">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row>
    <row r="16" spans="1:52" ht="99" customHeight="1" x14ac:dyDescent="0.15"/>
  </sheetData>
  <sheetProtection selectLockedCells="1" selectUnlockedCells="1"/>
  <mergeCells count="3">
    <mergeCell ref="A1:T1"/>
    <mergeCell ref="A2:B2"/>
    <mergeCell ref="C2:T2"/>
  </mergeCells>
  <pageMargins left="0.70866141732283472" right="0.70866141732283472" top="0.74803149606299213" bottom="0.74803149606299213" header="0.31496062992125984" footer="0.31496062992125984"/>
  <pageSetup paperSize="9" scale="25" fitToHeight="8"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D45B1D6DF654648B2EEA91787796023" ma:contentTypeVersion="8" ma:contentTypeDescription="Create a new document." ma:contentTypeScope="" ma:versionID="31496c0d22205b29da80203d04ddbeee">
  <xsd:schema xmlns:xsd="http://www.w3.org/2001/XMLSchema" xmlns:xs="http://www.w3.org/2001/XMLSchema" xmlns:p="http://schemas.microsoft.com/office/2006/metadata/properties" xmlns:ns2="15dae5b3-84da-4543-847a-162339226388" xmlns:ns3="33a257ad-a3df-428a-a3a2-dd8f88d28374" targetNamespace="http://schemas.microsoft.com/office/2006/metadata/properties" ma:root="true" ma:fieldsID="c5e9d631f9172e2a48f792533de2a98d" ns2:_="" ns3:_="">
    <xsd:import namespace="15dae5b3-84da-4543-847a-162339226388"/>
    <xsd:import namespace="33a257ad-a3df-428a-a3a2-dd8f88d2837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dae5b3-84da-4543-847a-16233922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a257ad-a3df-428a-a3a2-dd8f88d28374"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2DFDF0-ACE5-4080-86C8-F8F369747E74}">
  <ds:schemaRefs>
    <ds:schemaRef ds:uri="http://schemas.microsoft.com/sharepoint/v3/contenttype/forms"/>
  </ds:schemaRefs>
</ds:datastoreItem>
</file>

<file path=customXml/itemProps2.xml><?xml version="1.0" encoding="utf-8"?>
<ds:datastoreItem xmlns:ds="http://schemas.openxmlformats.org/officeDocument/2006/customXml" ds:itemID="{7BC261C4-397E-4E52-ACEF-8067968E19D3}">
  <ds:schemaRefs>
    <ds:schemaRef ds:uri="http://schemas.microsoft.com/office/2006/documentManagement/types"/>
    <ds:schemaRef ds:uri="http://schemas.microsoft.com/office/infopath/2007/PartnerControls"/>
    <ds:schemaRef ds:uri="33a257ad-a3df-428a-a3a2-dd8f88d28374"/>
    <ds:schemaRef ds:uri="http://purl.org/dc/elements/1.1/"/>
    <ds:schemaRef ds:uri="http://schemas.microsoft.com/office/2006/metadata/properties"/>
    <ds:schemaRef ds:uri="http://purl.org/dc/terms/"/>
    <ds:schemaRef ds:uri="http://schemas.openxmlformats.org/package/2006/metadata/core-properties"/>
    <ds:schemaRef ds:uri="15dae5b3-84da-4543-847a-162339226388"/>
    <ds:schemaRef ds:uri="http://www.w3.org/XML/1998/namespace"/>
    <ds:schemaRef ds:uri="http://purl.org/dc/dcmitype/"/>
  </ds:schemaRefs>
</ds:datastoreItem>
</file>

<file path=customXml/itemProps3.xml><?xml version="1.0" encoding="utf-8"?>
<ds:datastoreItem xmlns:ds="http://schemas.openxmlformats.org/officeDocument/2006/customXml" ds:itemID="{10EEABE2-0638-4B97-8BDA-F52607AB1A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dae5b3-84da-4543-847a-162339226388"/>
    <ds:schemaRef ds:uri="33a257ad-a3df-428a-a3a2-dd8f88d28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19</vt:i4>
      </vt:variant>
    </vt:vector>
  </HeadingPairs>
  <TitlesOfParts>
    <vt:vector size="50" baseType="lpstr">
      <vt:lpstr>home</vt:lpstr>
      <vt:lpstr>PDUs</vt:lpstr>
      <vt:lpstr>capacity data</vt:lpstr>
      <vt:lpstr>caseload data</vt:lpstr>
      <vt:lpstr>reductions data</vt:lpstr>
      <vt:lpstr>reductions workings</vt:lpstr>
      <vt:lpstr>FAQs</vt:lpstr>
      <vt:lpstr>divisional &amp; regional overview</vt:lpstr>
      <vt:lpstr>HMIP caseload divisional</vt:lpstr>
      <vt:lpstr>HMIP caseload cluster</vt:lpstr>
      <vt:lpstr>cluster overview</vt:lpstr>
      <vt:lpstr>team overview</vt:lpstr>
      <vt:lpstr>national caseload</vt:lpstr>
      <vt:lpstr>national tier ratios</vt:lpstr>
      <vt:lpstr>divisional &amp; regional caseload</vt:lpstr>
      <vt:lpstr>divisional &amp; regional caseload%</vt:lpstr>
      <vt:lpstr>cluster capacity, unallocateds</vt:lpstr>
      <vt:lpstr>custody caseload</vt:lpstr>
      <vt:lpstr>custody %</vt:lpstr>
      <vt:lpstr>community caseload</vt:lpstr>
      <vt:lpstr>community %</vt:lpstr>
      <vt:lpstr>divisional &amp; regional capacity</vt:lpstr>
      <vt:lpstr>cluster officer capacity ranks</vt:lpstr>
      <vt:lpstr>div &amp; regional over-capacities</vt:lpstr>
      <vt:lpstr>unallocated cases</vt:lpstr>
      <vt:lpstr>reasons for reduction division</vt:lpstr>
      <vt:lpstr>cluster reductions</vt:lpstr>
      <vt:lpstr>div &amp; regional reduction hours</vt:lpstr>
      <vt:lpstr>Caseload Buttons</vt:lpstr>
      <vt:lpstr>Capacity Buttons</vt:lpstr>
      <vt:lpstr>Reductions Buttons</vt:lpstr>
      <vt:lpstr>Anchor_Cell</vt:lpstr>
      <vt:lpstr>EMR</vt:lpstr>
      <vt:lpstr>EoE</vt:lpstr>
      <vt:lpstr>GM</vt:lpstr>
      <vt:lpstr>KSSR</vt:lpstr>
      <vt:lpstr>L</vt:lpstr>
      <vt:lpstr>NER</vt:lpstr>
      <vt:lpstr>NWR</vt:lpstr>
      <vt:lpstr>'div &amp; regional reduction hours'!Print_Area</vt:lpstr>
      <vt:lpstr>'divisional &amp; regional capacity'!Print_Area</vt:lpstr>
      <vt:lpstr>home!Print_Area</vt:lpstr>
      <vt:lpstr>Region_Table</vt:lpstr>
      <vt:lpstr>Regions</vt:lpstr>
      <vt:lpstr>Second_Anchor</vt:lpstr>
      <vt:lpstr>SWSC</vt:lpstr>
      <vt:lpstr>Team_Regions</vt:lpstr>
      <vt:lpstr>W</vt:lpstr>
      <vt:lpstr>WMR</vt:lpstr>
      <vt:lpstr>YATH</vt:lpstr>
    </vt:vector>
  </TitlesOfParts>
  <Manager/>
  <Company>MOJ</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Schofield, Ben [NOMS]</dc:creator>
  <cp:keywords/>
  <dc:description/>
  <cp:lastModifiedBy>Microsoft Office User</cp:lastModifiedBy>
  <cp:revision/>
  <dcterms:created xsi:type="dcterms:W3CDTF">2018-06-21T11:47:43Z</dcterms:created>
  <dcterms:modified xsi:type="dcterms:W3CDTF">2022-07-25T12:33:15Z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0x0101002D45B1D6DF654648B2EEA91787796023</vt:lpwstr>
  </property>
</Properties>
</file>